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2120A849-657F-452D-BDC6-562E258CE17B}" xr6:coauthVersionLast="31" xr6:coauthVersionMax="41" xr10:uidLastSave="{00000000-0000-0000-0000-000000000000}"/>
  <workbookProtection workbookAlgorithmName="SHA-512" workbookHashValue="O41y2cMfzsSVB6jCjK49Gr6PJSlmpBx5KMVeV8pvqFMQ7jsiKLMvN9hy/tDXMu1qJLoLtJxRGFHG3fT3FfEzmA==" workbookSaltValue="e66yDrzfJ/jYuGoHXy+D7A==" workbookSpinCount="100000" lockStructure="1"/>
  <bookViews>
    <workbookView xWindow="-120" yWindow="-120" windowWidth="25440" windowHeight="15390" firstSheet="10" activeTab="10" xr2:uid="{00000000-000D-0000-FFFF-FFFF00000000}"/>
  </bookViews>
  <sheets>
    <sheet name="(2016-17)" sheetId="1" state="hidden" r:id="rId1"/>
    <sheet name="2017-18_working" sheetId="2" state="hidden" r:id="rId2"/>
    <sheet name="(2017-18)" sheetId="3" state="hidden" r:id="rId3"/>
    <sheet name="2018-19_working" sheetId="9" state="hidden" r:id="rId4"/>
    <sheet name="(2018-19)" sheetId="10" state="hidden" r:id="rId5"/>
    <sheet name="raw" sheetId="7" state="hidden" r:id="rId6"/>
    <sheet name="macro" sheetId="8" state="hidden" r:id="rId7"/>
    <sheet name="QA" sheetId="11" state="hidden" r:id="rId8"/>
    <sheet name="FIRE1122_raw" sheetId="4" state="hidden" r:id="rId9"/>
    <sheet name="stats release" sheetId="6" state="hidden" r:id="rId10"/>
    <sheet name="FIRE1122" sheetId="5" r:id="rId11"/>
  </sheets>
  <definedNames>
    <definedName name="_xlnm._FilterDatabase" localSheetId="5" hidden="1">raw!$A$1:$G$1289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1" l="1"/>
  <c r="E19" i="11"/>
  <c r="E18" i="11"/>
  <c r="E17" i="11"/>
  <c r="E16" i="11"/>
  <c r="E15" i="11"/>
  <c r="E14" i="11"/>
  <c r="E13" i="11"/>
  <c r="E12" i="11"/>
  <c r="E11" i="11"/>
  <c r="E10" i="11"/>
  <c r="E9" i="11"/>
  <c r="E8" i="11"/>
  <c r="E7" i="11"/>
  <c r="E6" i="11"/>
  <c r="E5" i="11"/>
  <c r="E4" i="11"/>
  <c r="C22" i="11" l="1"/>
  <c r="AF56" i="9"/>
  <c r="AM56" i="10" s="1"/>
  <c r="AE56" i="9"/>
  <c r="AD56" i="9"/>
  <c r="AC56" i="9"/>
  <c r="AK56" i="10" s="1"/>
  <c r="AB56" i="9"/>
  <c r="AJ56" i="10" s="1"/>
  <c r="AA56" i="9"/>
  <c r="AI56" i="10" s="1"/>
  <c r="Z56" i="9"/>
  <c r="AH56" i="10" s="1"/>
  <c r="AF55" i="9"/>
  <c r="AM55" i="10" s="1"/>
  <c r="AE55" i="9"/>
  <c r="AD55" i="9"/>
  <c r="AC55" i="9"/>
  <c r="AK55" i="10" s="1"/>
  <c r="AB55" i="9"/>
  <c r="AJ55" i="10" s="1"/>
  <c r="AA55" i="9"/>
  <c r="AI55" i="10" s="1"/>
  <c r="Z55" i="9"/>
  <c r="AH55" i="10" s="1"/>
  <c r="AF54" i="9"/>
  <c r="AM54" i="10" s="1"/>
  <c r="AE54" i="9"/>
  <c r="AD54" i="9"/>
  <c r="AC54" i="9"/>
  <c r="AK54" i="10" s="1"/>
  <c r="AB54" i="9"/>
  <c r="AJ54" i="10" s="1"/>
  <c r="AA54" i="9"/>
  <c r="AI54" i="10" s="1"/>
  <c r="Z54" i="9"/>
  <c r="AH54" i="10" s="1"/>
  <c r="AF53" i="9"/>
  <c r="AM53" i="10" s="1"/>
  <c r="AE53" i="9"/>
  <c r="AD53" i="9"/>
  <c r="AC53" i="9"/>
  <c r="AK53" i="10" s="1"/>
  <c r="AB53" i="9"/>
  <c r="AJ53" i="10" s="1"/>
  <c r="AA53" i="9"/>
  <c r="AI53" i="10" s="1"/>
  <c r="Z53" i="9"/>
  <c r="AH53" i="10" s="1"/>
  <c r="AF52" i="9"/>
  <c r="AM52" i="10" s="1"/>
  <c r="AE52" i="9"/>
  <c r="AD52" i="9"/>
  <c r="AC52" i="9"/>
  <c r="AK52" i="10" s="1"/>
  <c r="AB52" i="9"/>
  <c r="AJ52" i="10" s="1"/>
  <c r="AA52" i="9"/>
  <c r="AI52" i="10" s="1"/>
  <c r="Z52" i="9"/>
  <c r="AH52" i="10" s="1"/>
  <c r="AF51" i="9"/>
  <c r="AM51" i="10" s="1"/>
  <c r="AE51" i="9"/>
  <c r="AD51" i="9"/>
  <c r="AC51" i="9"/>
  <c r="AK51" i="10" s="1"/>
  <c r="AB51" i="9"/>
  <c r="AJ51" i="10" s="1"/>
  <c r="AA51" i="9"/>
  <c r="AI51" i="10" s="1"/>
  <c r="Z51" i="9"/>
  <c r="AH51" i="10" s="1"/>
  <c r="AF50" i="9"/>
  <c r="AM50" i="10" s="1"/>
  <c r="AE50" i="9"/>
  <c r="AD50" i="9"/>
  <c r="AC50" i="9"/>
  <c r="AK50" i="10" s="1"/>
  <c r="AB50" i="9"/>
  <c r="AA50" i="9"/>
  <c r="Z50" i="9"/>
  <c r="Z11" i="9"/>
  <c r="AH11" i="10" s="1"/>
  <c r="AA11" i="9"/>
  <c r="AI11" i="10" s="1"/>
  <c r="AB11" i="9"/>
  <c r="AJ11" i="10" s="1"/>
  <c r="AC11" i="9"/>
  <c r="AK11" i="10" s="1"/>
  <c r="AD11" i="9"/>
  <c r="AE11" i="9"/>
  <c r="AF11" i="9"/>
  <c r="AM11" i="10" s="1"/>
  <c r="Z12" i="9"/>
  <c r="AH12" i="10" s="1"/>
  <c r="AA12" i="9"/>
  <c r="AI12" i="10" s="1"/>
  <c r="AB12" i="9"/>
  <c r="AJ12" i="10" s="1"/>
  <c r="AC12" i="9"/>
  <c r="AK12" i="10" s="1"/>
  <c r="AD12" i="9"/>
  <c r="AE12" i="9"/>
  <c r="AF12" i="9"/>
  <c r="AM12" i="10" s="1"/>
  <c r="Z13" i="9"/>
  <c r="AH13" i="10" s="1"/>
  <c r="AA13" i="9"/>
  <c r="AI13" i="10" s="1"/>
  <c r="AB13" i="9"/>
  <c r="AJ13" i="10" s="1"/>
  <c r="AC13" i="9"/>
  <c r="AK13" i="10" s="1"/>
  <c r="AD13" i="9"/>
  <c r="AE13" i="9"/>
  <c r="AF13" i="9"/>
  <c r="AM13" i="10" s="1"/>
  <c r="Z14" i="9"/>
  <c r="AH14" i="10" s="1"/>
  <c r="AA14" i="9"/>
  <c r="AI14" i="10" s="1"/>
  <c r="AB14" i="9"/>
  <c r="AJ14" i="10" s="1"/>
  <c r="AC14" i="9"/>
  <c r="AK14" i="10" s="1"/>
  <c r="AD14" i="9"/>
  <c r="AE14" i="9"/>
  <c r="AF14" i="9"/>
  <c r="AM14" i="10" s="1"/>
  <c r="Z15" i="9"/>
  <c r="AH15" i="10" s="1"/>
  <c r="AA15" i="9"/>
  <c r="AI15" i="10" s="1"/>
  <c r="AB15" i="9"/>
  <c r="AJ15" i="10" s="1"/>
  <c r="AC15" i="9"/>
  <c r="AK15" i="10" s="1"/>
  <c r="AD15" i="9"/>
  <c r="AE15" i="9"/>
  <c r="AF15" i="9"/>
  <c r="AM15" i="10" s="1"/>
  <c r="Z16" i="9"/>
  <c r="AH16" i="10" s="1"/>
  <c r="AA16" i="9"/>
  <c r="AI16" i="10" s="1"/>
  <c r="AB16" i="9"/>
  <c r="AJ16" i="10" s="1"/>
  <c r="AC16" i="9"/>
  <c r="AK16" i="10" s="1"/>
  <c r="AD16" i="9"/>
  <c r="AE16" i="9"/>
  <c r="AF16" i="9"/>
  <c r="AM16" i="10" s="1"/>
  <c r="Z17" i="9"/>
  <c r="AH17" i="10" s="1"/>
  <c r="AA17" i="9"/>
  <c r="AI17" i="10" s="1"/>
  <c r="AB17" i="9"/>
  <c r="AJ17" i="10" s="1"/>
  <c r="AC17" i="9"/>
  <c r="AK17" i="10" s="1"/>
  <c r="AD17" i="9"/>
  <c r="AE17" i="9"/>
  <c r="AF17" i="9"/>
  <c r="AM17" i="10" s="1"/>
  <c r="Z18" i="9"/>
  <c r="AH18" i="10" s="1"/>
  <c r="AA18" i="9"/>
  <c r="AI18" i="10" s="1"/>
  <c r="AB18" i="9"/>
  <c r="AJ18" i="10" s="1"/>
  <c r="AC18" i="9"/>
  <c r="AK18" i="10" s="1"/>
  <c r="AD18" i="9"/>
  <c r="AE18" i="9"/>
  <c r="AF18" i="9"/>
  <c r="AM18" i="10" s="1"/>
  <c r="Z19" i="9"/>
  <c r="AH19" i="10" s="1"/>
  <c r="AA19" i="9"/>
  <c r="AI19" i="10" s="1"/>
  <c r="AB19" i="9"/>
  <c r="AJ19" i="10" s="1"/>
  <c r="AC19" i="9"/>
  <c r="AK19" i="10" s="1"/>
  <c r="AD19" i="9"/>
  <c r="AE19" i="9"/>
  <c r="AF19" i="9"/>
  <c r="AM19" i="10" s="1"/>
  <c r="Z20" i="9"/>
  <c r="AH20" i="10" s="1"/>
  <c r="AA20" i="9"/>
  <c r="AI20" i="10" s="1"/>
  <c r="AB20" i="9"/>
  <c r="AJ20" i="10" s="1"/>
  <c r="AC20" i="9"/>
  <c r="AK20" i="10" s="1"/>
  <c r="AD20" i="9"/>
  <c r="AE20" i="9"/>
  <c r="AF20" i="9"/>
  <c r="AM20" i="10" s="1"/>
  <c r="Z21" i="9"/>
  <c r="AH21" i="10" s="1"/>
  <c r="AA21" i="9"/>
  <c r="AI21" i="10" s="1"/>
  <c r="AB21" i="9"/>
  <c r="AJ21" i="10" s="1"/>
  <c r="AC21" i="9"/>
  <c r="AK21" i="10" s="1"/>
  <c r="AD21" i="9"/>
  <c r="AE21" i="9"/>
  <c r="AF21" i="9"/>
  <c r="AM21" i="10" s="1"/>
  <c r="Z22" i="9"/>
  <c r="AH22" i="10" s="1"/>
  <c r="AA22" i="9"/>
  <c r="AI22" i="10" s="1"/>
  <c r="AB22" i="9"/>
  <c r="AJ22" i="10" s="1"/>
  <c r="AC22" i="9"/>
  <c r="AK22" i="10" s="1"/>
  <c r="AD22" i="9"/>
  <c r="AE22" i="9"/>
  <c r="AF22" i="9"/>
  <c r="AM22" i="10" s="1"/>
  <c r="Z23" i="9"/>
  <c r="AH23" i="10" s="1"/>
  <c r="AA23" i="9"/>
  <c r="AI23" i="10" s="1"/>
  <c r="AB23" i="9"/>
  <c r="AJ23" i="10" s="1"/>
  <c r="AC23" i="9"/>
  <c r="AK23" i="10" s="1"/>
  <c r="AD23" i="9"/>
  <c r="AE23" i="9"/>
  <c r="AF23" i="9"/>
  <c r="AM23" i="10" s="1"/>
  <c r="Z24" i="9"/>
  <c r="AH24" i="10" s="1"/>
  <c r="AA24" i="9"/>
  <c r="AI24" i="10" s="1"/>
  <c r="AB24" i="9"/>
  <c r="AJ24" i="10" s="1"/>
  <c r="AC24" i="9"/>
  <c r="AK24" i="10" s="1"/>
  <c r="AD24" i="9"/>
  <c r="AE24" i="9"/>
  <c r="AF24" i="9"/>
  <c r="AM24" i="10" s="1"/>
  <c r="Z25" i="9"/>
  <c r="AH25" i="10" s="1"/>
  <c r="AA25" i="9"/>
  <c r="AI25" i="10" s="1"/>
  <c r="AB25" i="9"/>
  <c r="AJ25" i="10" s="1"/>
  <c r="AC25" i="9"/>
  <c r="AK25" i="10" s="1"/>
  <c r="AD25" i="9"/>
  <c r="AE25" i="9"/>
  <c r="AF25" i="9"/>
  <c r="AM25" i="10" s="1"/>
  <c r="Z26" i="9"/>
  <c r="AH26" i="10" s="1"/>
  <c r="AA26" i="9"/>
  <c r="AI26" i="10" s="1"/>
  <c r="AB26" i="9"/>
  <c r="AJ26" i="10" s="1"/>
  <c r="AC26" i="9"/>
  <c r="AK26" i="10" s="1"/>
  <c r="AD26" i="9"/>
  <c r="AE26" i="9"/>
  <c r="AF26" i="9"/>
  <c r="AM26" i="10" s="1"/>
  <c r="Z27" i="9"/>
  <c r="AH27" i="10" s="1"/>
  <c r="AA27" i="9"/>
  <c r="AI27" i="10" s="1"/>
  <c r="AB27" i="9"/>
  <c r="AJ27" i="10" s="1"/>
  <c r="AC27" i="9"/>
  <c r="AK27" i="10" s="1"/>
  <c r="AD27" i="9"/>
  <c r="AE27" i="9"/>
  <c r="AF27" i="9"/>
  <c r="AM27" i="10" s="1"/>
  <c r="Z28" i="9"/>
  <c r="AH28" i="10" s="1"/>
  <c r="AA28" i="9"/>
  <c r="AI28" i="10" s="1"/>
  <c r="AB28" i="9"/>
  <c r="AJ28" i="10" s="1"/>
  <c r="AC28" i="9"/>
  <c r="AK28" i="10" s="1"/>
  <c r="AD28" i="9"/>
  <c r="AE28" i="9"/>
  <c r="AF28" i="9"/>
  <c r="AM28" i="10" s="1"/>
  <c r="Z29" i="9"/>
  <c r="AH29" i="10" s="1"/>
  <c r="AA29" i="9"/>
  <c r="AI29" i="10" s="1"/>
  <c r="AB29" i="9"/>
  <c r="AJ29" i="10" s="1"/>
  <c r="AC29" i="9"/>
  <c r="AK29" i="10" s="1"/>
  <c r="AD29" i="9"/>
  <c r="AE29" i="9"/>
  <c r="AF29" i="9"/>
  <c r="AM29" i="10" s="1"/>
  <c r="Z30" i="9"/>
  <c r="AH30" i="10" s="1"/>
  <c r="AA30" i="9"/>
  <c r="AI30" i="10" s="1"/>
  <c r="AB30" i="9"/>
  <c r="AJ30" i="10" s="1"/>
  <c r="AC30" i="9"/>
  <c r="AK30" i="10" s="1"/>
  <c r="AD30" i="9"/>
  <c r="AE30" i="9"/>
  <c r="AF30" i="9"/>
  <c r="AM30" i="10" s="1"/>
  <c r="Z31" i="9"/>
  <c r="AH31" i="10" s="1"/>
  <c r="AA31" i="9"/>
  <c r="AI31" i="10" s="1"/>
  <c r="AB31" i="9"/>
  <c r="AJ31" i="10" s="1"/>
  <c r="AC31" i="9"/>
  <c r="AK31" i="10" s="1"/>
  <c r="AD31" i="9"/>
  <c r="AE31" i="9"/>
  <c r="AF31" i="9"/>
  <c r="AM31" i="10" s="1"/>
  <c r="Z32" i="9"/>
  <c r="AH32" i="10" s="1"/>
  <c r="AA32" i="9"/>
  <c r="AI32" i="10" s="1"/>
  <c r="AB32" i="9"/>
  <c r="AJ32" i="10" s="1"/>
  <c r="AC32" i="9"/>
  <c r="AK32" i="10" s="1"/>
  <c r="AD32" i="9"/>
  <c r="AE32" i="9"/>
  <c r="AF32" i="9"/>
  <c r="AM32" i="10" s="1"/>
  <c r="Z33" i="9"/>
  <c r="AH33" i="10" s="1"/>
  <c r="AA33" i="9"/>
  <c r="AI33" i="10" s="1"/>
  <c r="AB33" i="9"/>
  <c r="AJ33" i="10" s="1"/>
  <c r="AC33" i="9"/>
  <c r="AK33" i="10" s="1"/>
  <c r="AD33" i="9"/>
  <c r="AE33" i="9"/>
  <c r="AF33" i="9"/>
  <c r="AM33" i="10" s="1"/>
  <c r="Z34" i="9"/>
  <c r="AH34" i="10" s="1"/>
  <c r="AA34" i="9"/>
  <c r="AI34" i="10" s="1"/>
  <c r="AB34" i="9"/>
  <c r="AJ34" i="10" s="1"/>
  <c r="AC34" i="9"/>
  <c r="AK34" i="10" s="1"/>
  <c r="AD34" i="9"/>
  <c r="AE34" i="9"/>
  <c r="AF34" i="9"/>
  <c r="AM34" i="10" s="1"/>
  <c r="Z35" i="9"/>
  <c r="AH35" i="10" s="1"/>
  <c r="AA35" i="9"/>
  <c r="AI35" i="10" s="1"/>
  <c r="AB35" i="9"/>
  <c r="AJ35" i="10" s="1"/>
  <c r="AC35" i="9"/>
  <c r="AD35" i="9"/>
  <c r="AE35" i="9"/>
  <c r="AF35" i="9"/>
  <c r="AM35" i="10" s="1"/>
  <c r="Z36" i="9"/>
  <c r="AH36" i="10" s="1"/>
  <c r="AA36" i="9"/>
  <c r="AI36" i="10" s="1"/>
  <c r="AB36" i="9"/>
  <c r="AJ36" i="10" s="1"/>
  <c r="AC36" i="9"/>
  <c r="AK36" i="10" s="1"/>
  <c r="AD36" i="9"/>
  <c r="AE36" i="9"/>
  <c r="AF36" i="9"/>
  <c r="AM36" i="10" s="1"/>
  <c r="Z37" i="9"/>
  <c r="AH37" i="10" s="1"/>
  <c r="AA37" i="9"/>
  <c r="AI37" i="10" s="1"/>
  <c r="AB37" i="9"/>
  <c r="AJ37" i="10" s="1"/>
  <c r="AC37" i="9"/>
  <c r="AK37" i="10" s="1"/>
  <c r="AD37" i="9"/>
  <c r="AE37" i="9"/>
  <c r="AF37" i="9"/>
  <c r="AM37" i="10" s="1"/>
  <c r="Z38" i="9"/>
  <c r="AH38" i="10" s="1"/>
  <c r="AA38" i="9"/>
  <c r="AI38" i="10" s="1"/>
  <c r="AB38" i="9"/>
  <c r="AC38" i="9"/>
  <c r="AK38" i="10" s="1"/>
  <c r="AD38" i="9"/>
  <c r="AE38" i="9"/>
  <c r="AF38" i="9"/>
  <c r="AM38" i="10" s="1"/>
  <c r="Z39" i="9"/>
  <c r="AH39" i="10" s="1"/>
  <c r="AA39" i="9"/>
  <c r="AI39" i="10" s="1"/>
  <c r="AB39" i="9"/>
  <c r="AJ39" i="10" s="1"/>
  <c r="AC39" i="9"/>
  <c r="AK39" i="10" s="1"/>
  <c r="AD39" i="9"/>
  <c r="AE39" i="9"/>
  <c r="AF39" i="9"/>
  <c r="AM39" i="10" s="1"/>
  <c r="Z40" i="9"/>
  <c r="AH40" i="10" s="1"/>
  <c r="AA40" i="9"/>
  <c r="AI40" i="10" s="1"/>
  <c r="AB40" i="9"/>
  <c r="AJ40" i="10" s="1"/>
  <c r="AC40" i="9"/>
  <c r="AK40" i="10" s="1"/>
  <c r="AD40" i="9"/>
  <c r="AE40" i="9"/>
  <c r="AF40" i="9"/>
  <c r="AM40" i="10" s="1"/>
  <c r="Z41" i="9"/>
  <c r="AH41" i="10" s="1"/>
  <c r="AA41" i="9"/>
  <c r="AI41" i="10" s="1"/>
  <c r="AB41" i="9"/>
  <c r="AJ41" i="10" s="1"/>
  <c r="AC41" i="9"/>
  <c r="AK41" i="10" s="1"/>
  <c r="AD41" i="9"/>
  <c r="AE41" i="9"/>
  <c r="AF41" i="9"/>
  <c r="AM41" i="10" s="1"/>
  <c r="Z42" i="9"/>
  <c r="AH42" i="10" s="1"/>
  <c r="AA42" i="9"/>
  <c r="AI42" i="10" s="1"/>
  <c r="AB42" i="9"/>
  <c r="AJ42" i="10" s="1"/>
  <c r="AC42" i="9"/>
  <c r="AK42" i="10" s="1"/>
  <c r="AD42" i="9"/>
  <c r="AE42" i="9"/>
  <c r="AF42" i="9"/>
  <c r="AM42" i="10" s="1"/>
  <c r="Z43" i="9"/>
  <c r="AH43" i="10" s="1"/>
  <c r="AA43" i="9"/>
  <c r="AI43" i="10" s="1"/>
  <c r="AB43" i="9"/>
  <c r="AJ43" i="10" s="1"/>
  <c r="AC43" i="9"/>
  <c r="AK43" i="10" s="1"/>
  <c r="AD43" i="9"/>
  <c r="AE43" i="9"/>
  <c r="AF43" i="9"/>
  <c r="AM43" i="10" s="1"/>
  <c r="Z44" i="9"/>
  <c r="AH44" i="10" s="1"/>
  <c r="AA44" i="9"/>
  <c r="AI44" i="10" s="1"/>
  <c r="AB44" i="9"/>
  <c r="AJ44" i="10" s="1"/>
  <c r="AC44" i="9"/>
  <c r="AK44" i="10" s="1"/>
  <c r="AD44" i="9"/>
  <c r="AE44" i="9"/>
  <c r="AF44" i="9"/>
  <c r="AM44" i="10" s="1"/>
  <c r="Z45" i="9"/>
  <c r="AH45" i="10" s="1"/>
  <c r="AA45" i="9"/>
  <c r="AI45" i="10" s="1"/>
  <c r="AB45" i="9"/>
  <c r="AJ45" i="10" s="1"/>
  <c r="AC45" i="9"/>
  <c r="AK45" i="10" s="1"/>
  <c r="AD45" i="9"/>
  <c r="AE45" i="9"/>
  <c r="AF45" i="9"/>
  <c r="AM45" i="10" s="1"/>
  <c r="Z46" i="9"/>
  <c r="AH46" i="10" s="1"/>
  <c r="AA46" i="9"/>
  <c r="AI46" i="10" s="1"/>
  <c r="AB46" i="9"/>
  <c r="AJ46" i="10" s="1"/>
  <c r="AC46" i="9"/>
  <c r="AK46" i="10" s="1"/>
  <c r="AD46" i="9"/>
  <c r="AE46" i="9"/>
  <c r="AF46" i="9"/>
  <c r="AM46" i="10" s="1"/>
  <c r="Z47" i="9"/>
  <c r="AH47" i="10" s="1"/>
  <c r="AA47" i="9"/>
  <c r="AI47" i="10" s="1"/>
  <c r="AB47" i="9"/>
  <c r="AJ47" i="10" s="1"/>
  <c r="AC47" i="9"/>
  <c r="AK47" i="10" s="1"/>
  <c r="AD47" i="9"/>
  <c r="AE47" i="9"/>
  <c r="AF47" i="9"/>
  <c r="AM47" i="10" s="1"/>
  <c r="Z48" i="9"/>
  <c r="AH48" i="10" s="1"/>
  <c r="AA48" i="9"/>
  <c r="AI48" i="10" s="1"/>
  <c r="AB48" i="9"/>
  <c r="AJ48" i="10" s="1"/>
  <c r="AC48" i="9"/>
  <c r="AK48" i="10" s="1"/>
  <c r="AD48" i="9"/>
  <c r="AE48" i="9"/>
  <c r="AF48" i="9"/>
  <c r="AM48" i="10" s="1"/>
  <c r="AA10" i="9"/>
  <c r="AI10" i="10" s="1"/>
  <c r="AB10" i="9"/>
  <c r="AJ10" i="10" s="1"/>
  <c r="AC10" i="9"/>
  <c r="AK10" i="10" s="1"/>
  <c r="AD10" i="9"/>
  <c r="AE10" i="9"/>
  <c r="AF10" i="9"/>
  <c r="AM10" i="10" s="1"/>
  <c r="Z10" i="9"/>
  <c r="X56" i="9"/>
  <c r="AE56" i="10" s="1"/>
  <c r="W56" i="9"/>
  <c r="V56" i="9"/>
  <c r="U56" i="9"/>
  <c r="AC56" i="10" s="1"/>
  <c r="T56" i="9"/>
  <c r="AB56" i="10" s="1"/>
  <c r="S56" i="9"/>
  <c r="AA56" i="10" s="1"/>
  <c r="R56" i="9"/>
  <c r="Z56" i="10" s="1"/>
  <c r="X55" i="9"/>
  <c r="AE55" i="10" s="1"/>
  <c r="W55" i="9"/>
  <c r="V55" i="9"/>
  <c r="U55" i="9"/>
  <c r="AC55" i="10" s="1"/>
  <c r="T55" i="9"/>
  <c r="AB55" i="10" s="1"/>
  <c r="S55" i="9"/>
  <c r="AA55" i="10" s="1"/>
  <c r="R55" i="9"/>
  <c r="Z55" i="10" s="1"/>
  <c r="X54" i="9"/>
  <c r="AE54" i="10" s="1"/>
  <c r="W54" i="9"/>
  <c r="V54" i="9"/>
  <c r="U54" i="9"/>
  <c r="AC54" i="10" s="1"/>
  <c r="T54" i="9"/>
  <c r="AB54" i="10" s="1"/>
  <c r="S54" i="9"/>
  <c r="AA54" i="10" s="1"/>
  <c r="R54" i="9"/>
  <c r="Z54" i="10" s="1"/>
  <c r="X53" i="9"/>
  <c r="AE53" i="10" s="1"/>
  <c r="W53" i="9"/>
  <c r="V53" i="9"/>
  <c r="U53" i="9"/>
  <c r="AC53" i="10" s="1"/>
  <c r="T53" i="9"/>
  <c r="AB53" i="10" s="1"/>
  <c r="S53" i="9"/>
  <c r="AA53" i="10" s="1"/>
  <c r="R53" i="9"/>
  <c r="Z53" i="10" s="1"/>
  <c r="X52" i="9"/>
  <c r="AE52" i="10" s="1"/>
  <c r="W52" i="9"/>
  <c r="V52" i="9"/>
  <c r="U52" i="9"/>
  <c r="AC52" i="10" s="1"/>
  <c r="T52" i="9"/>
  <c r="AB52" i="10" s="1"/>
  <c r="S52" i="9"/>
  <c r="AA52" i="10" s="1"/>
  <c r="R52" i="9"/>
  <c r="Z52" i="10" s="1"/>
  <c r="X51" i="9"/>
  <c r="AE51" i="10" s="1"/>
  <c r="W51" i="9"/>
  <c r="V51" i="9"/>
  <c r="U51" i="9"/>
  <c r="AC51" i="10" s="1"/>
  <c r="T51" i="9"/>
  <c r="S51" i="9"/>
  <c r="AA51" i="10" s="1"/>
  <c r="R51" i="9"/>
  <c r="Z51" i="10" s="1"/>
  <c r="X50" i="9"/>
  <c r="AE50" i="10" s="1"/>
  <c r="W50" i="9"/>
  <c r="V50" i="9"/>
  <c r="U50" i="9"/>
  <c r="T50" i="9"/>
  <c r="AB50" i="10" s="1"/>
  <c r="S50" i="9"/>
  <c r="R50" i="9"/>
  <c r="R11" i="9"/>
  <c r="Z11" i="10" s="1"/>
  <c r="S11" i="9"/>
  <c r="AA11" i="10" s="1"/>
  <c r="T11" i="9"/>
  <c r="AB11" i="10" s="1"/>
  <c r="U11" i="9"/>
  <c r="AC11" i="10" s="1"/>
  <c r="V11" i="9"/>
  <c r="W11" i="9"/>
  <c r="X11" i="9"/>
  <c r="AE11" i="10" s="1"/>
  <c r="R12" i="9"/>
  <c r="Z12" i="10" s="1"/>
  <c r="S12" i="9"/>
  <c r="AA12" i="10" s="1"/>
  <c r="T12" i="9"/>
  <c r="AB12" i="10" s="1"/>
  <c r="U12" i="9"/>
  <c r="AC12" i="10" s="1"/>
  <c r="V12" i="9"/>
  <c r="W12" i="9"/>
  <c r="X12" i="9"/>
  <c r="AE12" i="10" s="1"/>
  <c r="R13" i="9"/>
  <c r="Z13" i="10" s="1"/>
  <c r="S13" i="9"/>
  <c r="AA13" i="10" s="1"/>
  <c r="T13" i="9"/>
  <c r="AB13" i="10" s="1"/>
  <c r="U13" i="9"/>
  <c r="AC13" i="10" s="1"/>
  <c r="V13" i="9"/>
  <c r="W13" i="9"/>
  <c r="X13" i="9"/>
  <c r="AE13" i="10" s="1"/>
  <c r="R14" i="9"/>
  <c r="Z14" i="10" s="1"/>
  <c r="S14" i="9"/>
  <c r="AA14" i="10" s="1"/>
  <c r="T14" i="9"/>
  <c r="AB14" i="10" s="1"/>
  <c r="U14" i="9"/>
  <c r="AC14" i="10" s="1"/>
  <c r="V14" i="9"/>
  <c r="W14" i="9"/>
  <c r="X14" i="9"/>
  <c r="AE14" i="10" s="1"/>
  <c r="R15" i="9"/>
  <c r="Z15" i="10" s="1"/>
  <c r="S15" i="9"/>
  <c r="AA15" i="10" s="1"/>
  <c r="T15" i="9"/>
  <c r="AB15" i="10" s="1"/>
  <c r="U15" i="9"/>
  <c r="AC15" i="10" s="1"/>
  <c r="V15" i="9"/>
  <c r="W15" i="9"/>
  <c r="X15" i="9"/>
  <c r="AE15" i="10" s="1"/>
  <c r="R16" i="9"/>
  <c r="Z16" i="10" s="1"/>
  <c r="S16" i="9"/>
  <c r="AA16" i="10" s="1"/>
  <c r="T16" i="9"/>
  <c r="AB16" i="10" s="1"/>
  <c r="U16" i="9"/>
  <c r="AC16" i="10" s="1"/>
  <c r="V16" i="9"/>
  <c r="W16" i="9"/>
  <c r="X16" i="9"/>
  <c r="AE16" i="10" s="1"/>
  <c r="R17" i="9"/>
  <c r="Z17" i="10" s="1"/>
  <c r="S17" i="9"/>
  <c r="AA17" i="10" s="1"/>
  <c r="T17" i="9"/>
  <c r="AB17" i="10" s="1"/>
  <c r="U17" i="9"/>
  <c r="AC17" i="10" s="1"/>
  <c r="V17" i="9"/>
  <c r="W17" i="9"/>
  <c r="X17" i="9"/>
  <c r="AE17" i="10" s="1"/>
  <c r="R18" i="9"/>
  <c r="Z18" i="10" s="1"/>
  <c r="S18" i="9"/>
  <c r="AA18" i="10" s="1"/>
  <c r="T18" i="9"/>
  <c r="AB18" i="10" s="1"/>
  <c r="U18" i="9"/>
  <c r="AC18" i="10" s="1"/>
  <c r="V18" i="9"/>
  <c r="W18" i="9"/>
  <c r="X18" i="9"/>
  <c r="AE18" i="10" s="1"/>
  <c r="R19" i="9"/>
  <c r="Z19" i="10" s="1"/>
  <c r="S19" i="9"/>
  <c r="AA19" i="10" s="1"/>
  <c r="T19" i="9"/>
  <c r="AB19" i="10" s="1"/>
  <c r="U19" i="9"/>
  <c r="AC19" i="10" s="1"/>
  <c r="V19" i="9"/>
  <c r="W19" i="9"/>
  <c r="X19" i="9"/>
  <c r="AE19" i="10" s="1"/>
  <c r="R20" i="9"/>
  <c r="Z20" i="10" s="1"/>
  <c r="S20" i="9"/>
  <c r="AA20" i="10" s="1"/>
  <c r="T20" i="9"/>
  <c r="AB20" i="10" s="1"/>
  <c r="U20" i="9"/>
  <c r="AC20" i="10" s="1"/>
  <c r="V20" i="9"/>
  <c r="W20" i="9"/>
  <c r="X20" i="9"/>
  <c r="AE20" i="10" s="1"/>
  <c r="R21" i="9"/>
  <c r="Z21" i="10" s="1"/>
  <c r="S21" i="9"/>
  <c r="AA21" i="10" s="1"/>
  <c r="T21" i="9"/>
  <c r="AB21" i="10" s="1"/>
  <c r="U21" i="9"/>
  <c r="AC21" i="10" s="1"/>
  <c r="V21" i="9"/>
  <c r="W21" i="9"/>
  <c r="X21" i="9"/>
  <c r="AE21" i="10" s="1"/>
  <c r="R22" i="9"/>
  <c r="Z22" i="10" s="1"/>
  <c r="S22" i="9"/>
  <c r="AA22" i="10" s="1"/>
  <c r="T22" i="9"/>
  <c r="AB22" i="10" s="1"/>
  <c r="U22" i="9"/>
  <c r="AC22" i="10" s="1"/>
  <c r="V22" i="9"/>
  <c r="W22" i="9"/>
  <c r="X22" i="9"/>
  <c r="AE22" i="10" s="1"/>
  <c r="R23" i="9"/>
  <c r="Z23" i="10" s="1"/>
  <c r="S23" i="9"/>
  <c r="AA23" i="10" s="1"/>
  <c r="T23" i="9"/>
  <c r="AB23" i="10" s="1"/>
  <c r="U23" i="9"/>
  <c r="AC23" i="10" s="1"/>
  <c r="V23" i="9"/>
  <c r="W23" i="9"/>
  <c r="X23" i="9"/>
  <c r="AE23" i="10" s="1"/>
  <c r="R24" i="9"/>
  <c r="Z24" i="10" s="1"/>
  <c r="S24" i="9"/>
  <c r="AA24" i="10" s="1"/>
  <c r="T24" i="9"/>
  <c r="AB24" i="10" s="1"/>
  <c r="U24" i="9"/>
  <c r="AC24" i="10" s="1"/>
  <c r="V24" i="9"/>
  <c r="W24" i="9"/>
  <c r="X24" i="9"/>
  <c r="AE24" i="10" s="1"/>
  <c r="R25" i="9"/>
  <c r="Z25" i="10" s="1"/>
  <c r="S25" i="9"/>
  <c r="AA25" i="10" s="1"/>
  <c r="T25" i="9"/>
  <c r="AB25" i="10" s="1"/>
  <c r="U25" i="9"/>
  <c r="AC25" i="10" s="1"/>
  <c r="V25" i="9"/>
  <c r="W25" i="9"/>
  <c r="X25" i="9"/>
  <c r="AE25" i="10" s="1"/>
  <c r="R26" i="9"/>
  <c r="Z26" i="10" s="1"/>
  <c r="S26" i="9"/>
  <c r="AA26" i="10" s="1"/>
  <c r="T26" i="9"/>
  <c r="AB26" i="10" s="1"/>
  <c r="U26" i="9"/>
  <c r="AC26" i="10" s="1"/>
  <c r="V26" i="9"/>
  <c r="W26" i="9"/>
  <c r="X26" i="9"/>
  <c r="AE26" i="10" s="1"/>
  <c r="R27" i="9"/>
  <c r="Z27" i="10" s="1"/>
  <c r="S27" i="9"/>
  <c r="AA27" i="10" s="1"/>
  <c r="T27" i="9"/>
  <c r="AB27" i="10" s="1"/>
  <c r="U27" i="9"/>
  <c r="AC27" i="10" s="1"/>
  <c r="V27" i="9"/>
  <c r="W27" i="9"/>
  <c r="X27" i="9"/>
  <c r="AE27" i="10" s="1"/>
  <c r="R28" i="9"/>
  <c r="Z28" i="10" s="1"/>
  <c r="S28" i="9"/>
  <c r="AA28" i="10" s="1"/>
  <c r="T28" i="9"/>
  <c r="AB28" i="10" s="1"/>
  <c r="U28" i="9"/>
  <c r="AC28" i="10" s="1"/>
  <c r="V28" i="9"/>
  <c r="W28" i="9"/>
  <c r="X28" i="9"/>
  <c r="AE28" i="10" s="1"/>
  <c r="R29" i="9"/>
  <c r="Z29" i="10" s="1"/>
  <c r="S29" i="9"/>
  <c r="AA29" i="10" s="1"/>
  <c r="T29" i="9"/>
  <c r="AB29" i="10" s="1"/>
  <c r="U29" i="9"/>
  <c r="AC29" i="10" s="1"/>
  <c r="V29" i="9"/>
  <c r="W29" i="9"/>
  <c r="X29" i="9"/>
  <c r="AE29" i="10" s="1"/>
  <c r="R30" i="9"/>
  <c r="Z30" i="10" s="1"/>
  <c r="S30" i="9"/>
  <c r="AA30" i="10" s="1"/>
  <c r="T30" i="9"/>
  <c r="AB30" i="10" s="1"/>
  <c r="U30" i="9"/>
  <c r="AC30" i="10" s="1"/>
  <c r="V30" i="9"/>
  <c r="W30" i="9"/>
  <c r="X30" i="9"/>
  <c r="AE30" i="10" s="1"/>
  <c r="R31" i="9"/>
  <c r="Z31" i="10" s="1"/>
  <c r="S31" i="9"/>
  <c r="AA31" i="10" s="1"/>
  <c r="T31" i="9"/>
  <c r="AB31" i="10" s="1"/>
  <c r="U31" i="9"/>
  <c r="AC31" i="10" s="1"/>
  <c r="V31" i="9"/>
  <c r="W31" i="9"/>
  <c r="X31" i="9"/>
  <c r="AE31" i="10" s="1"/>
  <c r="R32" i="9"/>
  <c r="Z32" i="10" s="1"/>
  <c r="S32" i="9"/>
  <c r="AA32" i="10" s="1"/>
  <c r="T32" i="9"/>
  <c r="AB32" i="10" s="1"/>
  <c r="U32" i="9"/>
  <c r="AC32" i="10" s="1"/>
  <c r="V32" i="9"/>
  <c r="W32" i="9"/>
  <c r="X32" i="9"/>
  <c r="AE32" i="10" s="1"/>
  <c r="R33" i="9"/>
  <c r="Z33" i="10" s="1"/>
  <c r="S33" i="9"/>
  <c r="AA33" i="10" s="1"/>
  <c r="T33" i="9"/>
  <c r="AB33" i="10" s="1"/>
  <c r="U33" i="9"/>
  <c r="AC33" i="10" s="1"/>
  <c r="V33" i="9"/>
  <c r="W33" i="9"/>
  <c r="X33" i="9"/>
  <c r="AE33" i="10" s="1"/>
  <c r="R34" i="9"/>
  <c r="Z34" i="10" s="1"/>
  <c r="S34" i="9"/>
  <c r="AA34" i="10" s="1"/>
  <c r="T34" i="9"/>
  <c r="AB34" i="10" s="1"/>
  <c r="U34" i="9"/>
  <c r="AC34" i="10" s="1"/>
  <c r="V34" i="9"/>
  <c r="W34" i="9"/>
  <c r="X34" i="9"/>
  <c r="AE34" i="10" s="1"/>
  <c r="R35" i="9"/>
  <c r="Z35" i="10" s="1"/>
  <c r="S35" i="9"/>
  <c r="AA35" i="10" s="1"/>
  <c r="T35" i="9"/>
  <c r="AB35" i="10" s="1"/>
  <c r="U35" i="9"/>
  <c r="AC35" i="10" s="1"/>
  <c r="V35" i="9"/>
  <c r="W35" i="9"/>
  <c r="X35" i="9"/>
  <c r="AE35" i="10" s="1"/>
  <c r="R36" i="9"/>
  <c r="Z36" i="10" s="1"/>
  <c r="S36" i="9"/>
  <c r="AA36" i="10" s="1"/>
  <c r="T36" i="9"/>
  <c r="AB36" i="10" s="1"/>
  <c r="U36" i="9"/>
  <c r="AC36" i="10" s="1"/>
  <c r="V36" i="9"/>
  <c r="W36" i="9"/>
  <c r="X36" i="9"/>
  <c r="AE36" i="10" s="1"/>
  <c r="R37" i="9"/>
  <c r="Z37" i="10" s="1"/>
  <c r="S37" i="9"/>
  <c r="AA37" i="10" s="1"/>
  <c r="T37" i="9"/>
  <c r="AB37" i="10" s="1"/>
  <c r="U37" i="9"/>
  <c r="AC37" i="10" s="1"/>
  <c r="V37" i="9"/>
  <c r="W37" i="9"/>
  <c r="X37" i="9"/>
  <c r="AE37" i="10" s="1"/>
  <c r="R38" i="9"/>
  <c r="Z38" i="10" s="1"/>
  <c r="S38" i="9"/>
  <c r="AA38" i="10" s="1"/>
  <c r="T38" i="9"/>
  <c r="AB38" i="10" s="1"/>
  <c r="U38" i="9"/>
  <c r="AC38" i="10" s="1"/>
  <c r="V38" i="9"/>
  <c r="W38" i="9"/>
  <c r="X38" i="9"/>
  <c r="AE38" i="10" s="1"/>
  <c r="R39" i="9"/>
  <c r="Z39" i="10" s="1"/>
  <c r="S39" i="9"/>
  <c r="AA39" i="10" s="1"/>
  <c r="T39" i="9"/>
  <c r="AB39" i="10" s="1"/>
  <c r="U39" i="9"/>
  <c r="AC39" i="10" s="1"/>
  <c r="V39" i="9"/>
  <c r="W39" i="9"/>
  <c r="X39" i="9"/>
  <c r="AE39" i="10" s="1"/>
  <c r="R40" i="9"/>
  <c r="Z40" i="10" s="1"/>
  <c r="S40" i="9"/>
  <c r="AA40" i="10" s="1"/>
  <c r="T40" i="9"/>
  <c r="AB40" i="10" s="1"/>
  <c r="U40" i="9"/>
  <c r="AC40" i="10" s="1"/>
  <c r="V40" i="9"/>
  <c r="W40" i="9"/>
  <c r="X40" i="9"/>
  <c r="AE40" i="10" s="1"/>
  <c r="R41" i="9"/>
  <c r="Z41" i="10" s="1"/>
  <c r="S41" i="9"/>
  <c r="AA41" i="10" s="1"/>
  <c r="T41" i="9"/>
  <c r="U41" i="9"/>
  <c r="AC41" i="10" s="1"/>
  <c r="V41" i="9"/>
  <c r="W41" i="9"/>
  <c r="X41" i="9"/>
  <c r="AE41" i="10" s="1"/>
  <c r="R42" i="9"/>
  <c r="Z42" i="10" s="1"/>
  <c r="S42" i="9"/>
  <c r="AA42" i="10" s="1"/>
  <c r="T42" i="9"/>
  <c r="AB42" i="10" s="1"/>
  <c r="U42" i="9"/>
  <c r="AC42" i="10" s="1"/>
  <c r="V42" i="9"/>
  <c r="W42" i="9"/>
  <c r="X42" i="9"/>
  <c r="AE42" i="10" s="1"/>
  <c r="R43" i="9"/>
  <c r="Z43" i="10" s="1"/>
  <c r="S43" i="9"/>
  <c r="AA43" i="10" s="1"/>
  <c r="T43" i="9"/>
  <c r="AB43" i="10" s="1"/>
  <c r="U43" i="9"/>
  <c r="AC43" i="10" s="1"/>
  <c r="V43" i="9"/>
  <c r="W43" i="9"/>
  <c r="X43" i="9"/>
  <c r="AE43" i="10" s="1"/>
  <c r="R44" i="9"/>
  <c r="Z44" i="10" s="1"/>
  <c r="S44" i="9"/>
  <c r="T44" i="9"/>
  <c r="AB44" i="10" s="1"/>
  <c r="U44" i="9"/>
  <c r="AC44" i="10" s="1"/>
  <c r="V44" i="9"/>
  <c r="W44" i="9"/>
  <c r="X44" i="9"/>
  <c r="AE44" i="10" s="1"/>
  <c r="R45" i="9"/>
  <c r="Z45" i="10" s="1"/>
  <c r="S45" i="9"/>
  <c r="AA45" i="10" s="1"/>
  <c r="T45" i="9"/>
  <c r="AB45" i="10" s="1"/>
  <c r="U45" i="9"/>
  <c r="AC45" i="10" s="1"/>
  <c r="V45" i="9"/>
  <c r="W45" i="9"/>
  <c r="X45" i="9"/>
  <c r="AE45" i="10" s="1"/>
  <c r="R46" i="9"/>
  <c r="Z46" i="10" s="1"/>
  <c r="S46" i="9"/>
  <c r="AA46" i="10" s="1"/>
  <c r="T46" i="9"/>
  <c r="AB46" i="10" s="1"/>
  <c r="U46" i="9"/>
  <c r="AC46" i="10" s="1"/>
  <c r="V46" i="9"/>
  <c r="W46" i="9"/>
  <c r="X46" i="9"/>
  <c r="AE46" i="10" s="1"/>
  <c r="R47" i="9"/>
  <c r="Z47" i="10" s="1"/>
  <c r="S47" i="9"/>
  <c r="AA47" i="10" s="1"/>
  <c r="T47" i="9"/>
  <c r="AB47" i="10" s="1"/>
  <c r="U47" i="9"/>
  <c r="AC47" i="10" s="1"/>
  <c r="V47" i="9"/>
  <c r="W47" i="9"/>
  <c r="X47" i="9"/>
  <c r="AE47" i="10" s="1"/>
  <c r="R48" i="9"/>
  <c r="Z48" i="10" s="1"/>
  <c r="S48" i="9"/>
  <c r="AA48" i="10" s="1"/>
  <c r="T48" i="9"/>
  <c r="AB48" i="10" s="1"/>
  <c r="U48" i="9"/>
  <c r="AC48" i="10" s="1"/>
  <c r="V48" i="9"/>
  <c r="W48" i="9"/>
  <c r="X48" i="9"/>
  <c r="AE48" i="10" s="1"/>
  <c r="S10" i="9"/>
  <c r="AA10" i="10" s="1"/>
  <c r="T10" i="9"/>
  <c r="AB10" i="10" s="1"/>
  <c r="U10" i="9"/>
  <c r="V10" i="9"/>
  <c r="W10" i="9"/>
  <c r="X10" i="9"/>
  <c r="AE10" i="10" s="1"/>
  <c r="R10" i="9"/>
  <c r="X49" i="9"/>
  <c r="AE49" i="10" s="1"/>
  <c r="P56" i="9"/>
  <c r="O56" i="10" s="1"/>
  <c r="O56" i="9"/>
  <c r="N56" i="9"/>
  <c r="M56" i="9"/>
  <c r="M56" i="10" s="1"/>
  <c r="L56" i="9"/>
  <c r="L56" i="10" s="1"/>
  <c r="K56" i="9"/>
  <c r="K56" i="10" s="1"/>
  <c r="J56" i="9"/>
  <c r="J56" i="10" s="1"/>
  <c r="P55" i="9"/>
  <c r="O55" i="10" s="1"/>
  <c r="O55" i="9"/>
  <c r="N55" i="9"/>
  <c r="M55" i="9"/>
  <c r="M55" i="10" s="1"/>
  <c r="L55" i="9"/>
  <c r="L55" i="10" s="1"/>
  <c r="K55" i="9"/>
  <c r="K55" i="10" s="1"/>
  <c r="J55" i="9"/>
  <c r="J55" i="10" s="1"/>
  <c r="P54" i="9"/>
  <c r="O54" i="10" s="1"/>
  <c r="O54" i="9"/>
  <c r="N54" i="9"/>
  <c r="M54" i="9"/>
  <c r="M54" i="10" s="1"/>
  <c r="L54" i="9"/>
  <c r="L54" i="10" s="1"/>
  <c r="K54" i="9"/>
  <c r="K54" i="10" s="1"/>
  <c r="J54" i="9"/>
  <c r="J54" i="10" s="1"/>
  <c r="P53" i="9"/>
  <c r="O53" i="10" s="1"/>
  <c r="O53" i="9"/>
  <c r="N53" i="9"/>
  <c r="M53" i="9"/>
  <c r="M53" i="10" s="1"/>
  <c r="L53" i="9"/>
  <c r="L53" i="10" s="1"/>
  <c r="K53" i="9"/>
  <c r="K53" i="10" s="1"/>
  <c r="J53" i="9"/>
  <c r="J53" i="10" s="1"/>
  <c r="P52" i="9"/>
  <c r="O52" i="10" s="1"/>
  <c r="O52" i="9"/>
  <c r="N52" i="9"/>
  <c r="M52" i="9"/>
  <c r="L52" i="9"/>
  <c r="L52" i="10" s="1"/>
  <c r="K52" i="9"/>
  <c r="K52" i="10" s="1"/>
  <c r="J52" i="9"/>
  <c r="J52" i="10" s="1"/>
  <c r="P51" i="9"/>
  <c r="O51" i="10" s="1"/>
  <c r="O51" i="9"/>
  <c r="N51" i="9"/>
  <c r="M51" i="9"/>
  <c r="M51" i="10" s="1"/>
  <c r="L51" i="9"/>
  <c r="L51" i="10" s="1"/>
  <c r="K51" i="9"/>
  <c r="K51" i="10" s="1"/>
  <c r="J51" i="9"/>
  <c r="J51" i="10" s="1"/>
  <c r="P50" i="9"/>
  <c r="O50" i="10" s="1"/>
  <c r="O50" i="9"/>
  <c r="N50" i="9"/>
  <c r="M50" i="9"/>
  <c r="M50" i="10" s="1"/>
  <c r="L50" i="9"/>
  <c r="K50" i="9"/>
  <c r="J50" i="9"/>
  <c r="J11" i="9"/>
  <c r="J11" i="10" s="1"/>
  <c r="K11" i="9"/>
  <c r="K11" i="10" s="1"/>
  <c r="L11" i="9"/>
  <c r="L11" i="10" s="1"/>
  <c r="M11" i="9"/>
  <c r="M11" i="10" s="1"/>
  <c r="N11" i="9"/>
  <c r="O11" i="9"/>
  <c r="P11" i="9"/>
  <c r="O11" i="10" s="1"/>
  <c r="J12" i="9"/>
  <c r="J12" i="10" s="1"/>
  <c r="K12" i="9"/>
  <c r="K12" i="10" s="1"/>
  <c r="L12" i="9"/>
  <c r="L12" i="10" s="1"/>
  <c r="M12" i="9"/>
  <c r="M12" i="10" s="1"/>
  <c r="N12" i="9"/>
  <c r="O12" i="9"/>
  <c r="P12" i="9"/>
  <c r="O12" i="10" s="1"/>
  <c r="J13" i="9"/>
  <c r="J13" i="10" s="1"/>
  <c r="K13" i="9"/>
  <c r="K13" i="10" s="1"/>
  <c r="L13" i="9"/>
  <c r="L13" i="10" s="1"/>
  <c r="M13" i="9"/>
  <c r="M13" i="10" s="1"/>
  <c r="N13" i="9"/>
  <c r="O13" i="9"/>
  <c r="P13" i="9"/>
  <c r="O13" i="10" s="1"/>
  <c r="J14" i="9"/>
  <c r="J14" i="10" s="1"/>
  <c r="K14" i="9"/>
  <c r="K14" i="10" s="1"/>
  <c r="L14" i="9"/>
  <c r="L14" i="10" s="1"/>
  <c r="M14" i="9"/>
  <c r="M14" i="10" s="1"/>
  <c r="N14" i="9"/>
  <c r="O14" i="9"/>
  <c r="P14" i="9"/>
  <c r="O14" i="10" s="1"/>
  <c r="J15" i="9"/>
  <c r="J15" i="10" s="1"/>
  <c r="K15" i="9"/>
  <c r="K15" i="10" s="1"/>
  <c r="L15" i="9"/>
  <c r="L15" i="10" s="1"/>
  <c r="M15" i="9"/>
  <c r="M15" i="10" s="1"/>
  <c r="N15" i="9"/>
  <c r="O15" i="9"/>
  <c r="P15" i="9"/>
  <c r="O15" i="10" s="1"/>
  <c r="J16" i="9"/>
  <c r="J16" i="10" s="1"/>
  <c r="K16" i="9"/>
  <c r="K16" i="10" s="1"/>
  <c r="L16" i="9"/>
  <c r="L16" i="10" s="1"/>
  <c r="M16" i="9"/>
  <c r="M16" i="10" s="1"/>
  <c r="N16" i="9"/>
  <c r="O16" i="9"/>
  <c r="P16" i="9"/>
  <c r="O16" i="10" s="1"/>
  <c r="J17" i="9"/>
  <c r="J17" i="10" s="1"/>
  <c r="K17" i="9"/>
  <c r="K17" i="10" s="1"/>
  <c r="L17" i="9"/>
  <c r="L17" i="10" s="1"/>
  <c r="M17" i="9"/>
  <c r="M17" i="10" s="1"/>
  <c r="N17" i="9"/>
  <c r="O17" i="9"/>
  <c r="P17" i="9"/>
  <c r="O17" i="10" s="1"/>
  <c r="J18" i="9"/>
  <c r="J18" i="10" s="1"/>
  <c r="K18" i="9"/>
  <c r="K18" i="10" s="1"/>
  <c r="L18" i="9"/>
  <c r="L18" i="10" s="1"/>
  <c r="M18" i="9"/>
  <c r="M18" i="10" s="1"/>
  <c r="N18" i="9"/>
  <c r="O18" i="9"/>
  <c r="P18" i="9"/>
  <c r="O18" i="10" s="1"/>
  <c r="J19" i="9"/>
  <c r="J19" i="10" s="1"/>
  <c r="K19" i="9"/>
  <c r="K19" i="10" s="1"/>
  <c r="L19" i="9"/>
  <c r="L19" i="10" s="1"/>
  <c r="M19" i="9"/>
  <c r="M19" i="10" s="1"/>
  <c r="N19" i="9"/>
  <c r="O19" i="9"/>
  <c r="P19" i="9"/>
  <c r="O19" i="10" s="1"/>
  <c r="J20" i="9"/>
  <c r="J20" i="10" s="1"/>
  <c r="K20" i="9"/>
  <c r="K20" i="10" s="1"/>
  <c r="L20" i="9"/>
  <c r="L20" i="10" s="1"/>
  <c r="M20" i="9"/>
  <c r="M20" i="10" s="1"/>
  <c r="N20" i="9"/>
  <c r="O20" i="9"/>
  <c r="P20" i="9"/>
  <c r="O20" i="10" s="1"/>
  <c r="J21" i="9"/>
  <c r="J21" i="10" s="1"/>
  <c r="K21" i="9"/>
  <c r="K21" i="10" s="1"/>
  <c r="L21" i="9"/>
  <c r="L21" i="10" s="1"/>
  <c r="M21" i="9"/>
  <c r="M21" i="10" s="1"/>
  <c r="N21" i="9"/>
  <c r="O21" i="9"/>
  <c r="P21" i="9"/>
  <c r="O21" i="10" s="1"/>
  <c r="J22" i="9"/>
  <c r="J22" i="10" s="1"/>
  <c r="K22" i="9"/>
  <c r="K22" i="10" s="1"/>
  <c r="L22" i="9"/>
  <c r="L22" i="10" s="1"/>
  <c r="M22" i="9"/>
  <c r="M22" i="10" s="1"/>
  <c r="N22" i="9"/>
  <c r="O22" i="9"/>
  <c r="P22" i="9"/>
  <c r="O22" i="10" s="1"/>
  <c r="J23" i="9"/>
  <c r="J23" i="10" s="1"/>
  <c r="K23" i="9"/>
  <c r="K23" i="10" s="1"/>
  <c r="L23" i="9"/>
  <c r="L23" i="10" s="1"/>
  <c r="M23" i="9"/>
  <c r="M23" i="10" s="1"/>
  <c r="N23" i="9"/>
  <c r="O23" i="9"/>
  <c r="P23" i="9"/>
  <c r="O23" i="10" s="1"/>
  <c r="J24" i="9"/>
  <c r="J24" i="10" s="1"/>
  <c r="K24" i="9"/>
  <c r="K24" i="10" s="1"/>
  <c r="L24" i="9"/>
  <c r="L24" i="10" s="1"/>
  <c r="M24" i="9"/>
  <c r="M24" i="10" s="1"/>
  <c r="N24" i="9"/>
  <c r="O24" i="9"/>
  <c r="P24" i="9"/>
  <c r="O24" i="10" s="1"/>
  <c r="J25" i="9"/>
  <c r="J25" i="10" s="1"/>
  <c r="K25" i="9"/>
  <c r="K25" i="10" s="1"/>
  <c r="L25" i="9"/>
  <c r="L25" i="10" s="1"/>
  <c r="M25" i="9"/>
  <c r="M25" i="10" s="1"/>
  <c r="N25" i="9"/>
  <c r="O25" i="9"/>
  <c r="P25" i="9"/>
  <c r="O25" i="10" s="1"/>
  <c r="J26" i="9"/>
  <c r="J26" i="10" s="1"/>
  <c r="K26" i="9"/>
  <c r="K26" i="10" s="1"/>
  <c r="L26" i="9"/>
  <c r="L26" i="10" s="1"/>
  <c r="M26" i="9"/>
  <c r="M26" i="10" s="1"/>
  <c r="N26" i="9"/>
  <c r="O26" i="9"/>
  <c r="P26" i="9"/>
  <c r="O26" i="10" s="1"/>
  <c r="J27" i="9"/>
  <c r="J27" i="10" s="1"/>
  <c r="K27" i="9"/>
  <c r="K27" i="10" s="1"/>
  <c r="L27" i="9"/>
  <c r="L27" i="10" s="1"/>
  <c r="M27" i="9"/>
  <c r="M27" i="10" s="1"/>
  <c r="N27" i="9"/>
  <c r="O27" i="9"/>
  <c r="P27" i="9"/>
  <c r="O27" i="10" s="1"/>
  <c r="J28" i="9"/>
  <c r="J28" i="10" s="1"/>
  <c r="K28" i="9"/>
  <c r="K28" i="10" s="1"/>
  <c r="L28" i="9"/>
  <c r="L28" i="10" s="1"/>
  <c r="M28" i="9"/>
  <c r="M28" i="10" s="1"/>
  <c r="N28" i="9"/>
  <c r="O28" i="9"/>
  <c r="P28" i="9"/>
  <c r="O28" i="10" s="1"/>
  <c r="J29" i="9"/>
  <c r="J29" i="10" s="1"/>
  <c r="K29" i="9"/>
  <c r="K29" i="10" s="1"/>
  <c r="L29" i="9"/>
  <c r="L29" i="10" s="1"/>
  <c r="M29" i="9"/>
  <c r="M29" i="10" s="1"/>
  <c r="N29" i="9"/>
  <c r="O29" i="9"/>
  <c r="P29" i="9"/>
  <c r="O29" i="10" s="1"/>
  <c r="J30" i="9"/>
  <c r="J30" i="10" s="1"/>
  <c r="K30" i="9"/>
  <c r="K30" i="10" s="1"/>
  <c r="L30" i="9"/>
  <c r="L30" i="10" s="1"/>
  <c r="M30" i="9"/>
  <c r="M30" i="10" s="1"/>
  <c r="N30" i="9"/>
  <c r="O30" i="9"/>
  <c r="P30" i="9"/>
  <c r="O30" i="10" s="1"/>
  <c r="J31" i="9"/>
  <c r="J31" i="10" s="1"/>
  <c r="K31" i="9"/>
  <c r="K31" i="10" s="1"/>
  <c r="L31" i="9"/>
  <c r="L31" i="10" s="1"/>
  <c r="M31" i="9"/>
  <c r="M31" i="10" s="1"/>
  <c r="N31" i="9"/>
  <c r="O31" i="9"/>
  <c r="P31" i="9"/>
  <c r="O31" i="10" s="1"/>
  <c r="J32" i="9"/>
  <c r="J32" i="10" s="1"/>
  <c r="K32" i="9"/>
  <c r="K32" i="10" s="1"/>
  <c r="L32" i="9"/>
  <c r="L32" i="10" s="1"/>
  <c r="M32" i="9"/>
  <c r="M32" i="10" s="1"/>
  <c r="N32" i="9"/>
  <c r="O32" i="9"/>
  <c r="P32" i="9"/>
  <c r="O32" i="10" s="1"/>
  <c r="J33" i="9"/>
  <c r="J33" i="10" s="1"/>
  <c r="K33" i="9"/>
  <c r="K33" i="10" s="1"/>
  <c r="L33" i="9"/>
  <c r="L33" i="10" s="1"/>
  <c r="M33" i="9"/>
  <c r="M33" i="10" s="1"/>
  <c r="N33" i="9"/>
  <c r="O33" i="9"/>
  <c r="P33" i="9"/>
  <c r="O33" i="10" s="1"/>
  <c r="J34" i="9"/>
  <c r="J34" i="10" s="1"/>
  <c r="K34" i="9"/>
  <c r="K34" i="10" s="1"/>
  <c r="L34" i="9"/>
  <c r="L34" i="10" s="1"/>
  <c r="M34" i="9"/>
  <c r="M34" i="10" s="1"/>
  <c r="N34" i="9"/>
  <c r="O34" i="9"/>
  <c r="P34" i="9"/>
  <c r="O34" i="10" s="1"/>
  <c r="J35" i="9"/>
  <c r="J35" i="10" s="1"/>
  <c r="K35" i="9"/>
  <c r="K35" i="10" s="1"/>
  <c r="L35" i="9"/>
  <c r="L35" i="10" s="1"/>
  <c r="M35" i="9"/>
  <c r="M35" i="10" s="1"/>
  <c r="N35" i="9"/>
  <c r="O35" i="9"/>
  <c r="P35" i="9"/>
  <c r="O35" i="10" s="1"/>
  <c r="J36" i="9"/>
  <c r="J36" i="10" s="1"/>
  <c r="K36" i="9"/>
  <c r="L36" i="9"/>
  <c r="L36" i="10" s="1"/>
  <c r="M36" i="9"/>
  <c r="M36" i="10" s="1"/>
  <c r="N36" i="9"/>
  <c r="O36" i="9"/>
  <c r="P36" i="9"/>
  <c r="O36" i="10" s="1"/>
  <c r="J37" i="9"/>
  <c r="J37" i="10" s="1"/>
  <c r="K37" i="9"/>
  <c r="K37" i="10" s="1"/>
  <c r="L37" i="9"/>
  <c r="M37" i="9"/>
  <c r="M37" i="10" s="1"/>
  <c r="N37" i="9"/>
  <c r="O37" i="9"/>
  <c r="P37" i="9"/>
  <c r="O37" i="10" s="1"/>
  <c r="J38" i="9"/>
  <c r="J38" i="10" s="1"/>
  <c r="K38" i="9"/>
  <c r="K38" i="10" s="1"/>
  <c r="L38" i="9"/>
  <c r="L38" i="10" s="1"/>
  <c r="M38" i="9"/>
  <c r="M38" i="10" s="1"/>
  <c r="N38" i="9"/>
  <c r="O38" i="9"/>
  <c r="P38" i="9"/>
  <c r="O38" i="10" s="1"/>
  <c r="J39" i="9"/>
  <c r="J39" i="10" s="1"/>
  <c r="K39" i="9"/>
  <c r="K39" i="10" s="1"/>
  <c r="L39" i="9"/>
  <c r="L39" i="10" s="1"/>
  <c r="M39" i="9"/>
  <c r="M39" i="10" s="1"/>
  <c r="N39" i="9"/>
  <c r="O39" i="9"/>
  <c r="P39" i="9"/>
  <c r="O39" i="10" s="1"/>
  <c r="J40" i="9"/>
  <c r="J40" i="10" s="1"/>
  <c r="K40" i="9"/>
  <c r="K40" i="10" s="1"/>
  <c r="L40" i="9"/>
  <c r="L40" i="10" s="1"/>
  <c r="M40" i="9"/>
  <c r="M40" i="10" s="1"/>
  <c r="N40" i="9"/>
  <c r="O40" i="9"/>
  <c r="P40" i="9"/>
  <c r="O40" i="10" s="1"/>
  <c r="J41" i="9"/>
  <c r="J41" i="10" s="1"/>
  <c r="K41" i="9"/>
  <c r="K41" i="10" s="1"/>
  <c r="L41" i="9"/>
  <c r="L41" i="10" s="1"/>
  <c r="M41" i="9"/>
  <c r="M41" i="10" s="1"/>
  <c r="N41" i="9"/>
  <c r="O41" i="9"/>
  <c r="P41" i="9"/>
  <c r="O41" i="10" s="1"/>
  <c r="J42" i="9"/>
  <c r="J42" i="10" s="1"/>
  <c r="K42" i="9"/>
  <c r="K42" i="10" s="1"/>
  <c r="L42" i="9"/>
  <c r="L42" i="10" s="1"/>
  <c r="M42" i="9"/>
  <c r="M42" i="10" s="1"/>
  <c r="N42" i="9"/>
  <c r="O42" i="9"/>
  <c r="P42" i="9"/>
  <c r="O42" i="10" s="1"/>
  <c r="J43" i="9"/>
  <c r="J43" i="10" s="1"/>
  <c r="K43" i="9"/>
  <c r="K43" i="10" s="1"/>
  <c r="L43" i="9"/>
  <c r="L43" i="10" s="1"/>
  <c r="M43" i="9"/>
  <c r="M43" i="10" s="1"/>
  <c r="N43" i="9"/>
  <c r="O43" i="9"/>
  <c r="P43" i="9"/>
  <c r="O43" i="10" s="1"/>
  <c r="J44" i="9"/>
  <c r="J44" i="10" s="1"/>
  <c r="K44" i="9"/>
  <c r="K44" i="10" s="1"/>
  <c r="L44" i="9"/>
  <c r="L44" i="10" s="1"/>
  <c r="M44" i="9"/>
  <c r="M44" i="10" s="1"/>
  <c r="N44" i="9"/>
  <c r="O44" i="9"/>
  <c r="P44" i="9"/>
  <c r="O44" i="10" s="1"/>
  <c r="J45" i="9"/>
  <c r="J45" i="10" s="1"/>
  <c r="K45" i="9"/>
  <c r="K45" i="10" s="1"/>
  <c r="L45" i="9"/>
  <c r="L45" i="10" s="1"/>
  <c r="M45" i="9"/>
  <c r="M45" i="10" s="1"/>
  <c r="N45" i="9"/>
  <c r="O45" i="9"/>
  <c r="P45" i="9"/>
  <c r="O45" i="10" s="1"/>
  <c r="J46" i="9"/>
  <c r="J46" i="10" s="1"/>
  <c r="K46" i="9"/>
  <c r="K46" i="10" s="1"/>
  <c r="L46" i="9"/>
  <c r="L46" i="10" s="1"/>
  <c r="M46" i="9"/>
  <c r="M46" i="10" s="1"/>
  <c r="N46" i="9"/>
  <c r="O46" i="9"/>
  <c r="P46" i="9"/>
  <c r="O46" i="10" s="1"/>
  <c r="J47" i="9"/>
  <c r="J47" i="10" s="1"/>
  <c r="K47" i="9"/>
  <c r="K47" i="10" s="1"/>
  <c r="L47" i="9"/>
  <c r="L47" i="10" s="1"/>
  <c r="M47" i="9"/>
  <c r="M47" i="10" s="1"/>
  <c r="N47" i="9"/>
  <c r="O47" i="9"/>
  <c r="P47" i="9"/>
  <c r="O47" i="10" s="1"/>
  <c r="J48" i="9"/>
  <c r="J48" i="10" s="1"/>
  <c r="K48" i="9"/>
  <c r="K48" i="10" s="1"/>
  <c r="L48" i="9"/>
  <c r="L48" i="10" s="1"/>
  <c r="M48" i="9"/>
  <c r="M48" i="10" s="1"/>
  <c r="N48" i="9"/>
  <c r="O48" i="9"/>
  <c r="P48" i="9"/>
  <c r="O48" i="10" s="1"/>
  <c r="K10" i="9"/>
  <c r="K10" i="10" s="1"/>
  <c r="L10" i="9"/>
  <c r="L10" i="10" s="1"/>
  <c r="M10" i="9"/>
  <c r="M10" i="10" s="1"/>
  <c r="N10" i="9"/>
  <c r="O10" i="9"/>
  <c r="P10" i="9"/>
  <c r="O10" i="10" s="1"/>
  <c r="J10" i="9"/>
  <c r="P49" i="9"/>
  <c r="O49" i="10" s="1"/>
  <c r="B51" i="9"/>
  <c r="B51" i="10" s="1"/>
  <c r="C51" i="9"/>
  <c r="C51" i="10" s="1"/>
  <c r="S51" i="10" s="1"/>
  <c r="AQ51" i="10" s="1"/>
  <c r="D51" i="9"/>
  <c r="D51" i="10" s="1"/>
  <c r="T51" i="10" s="1"/>
  <c r="E51" i="9"/>
  <c r="E51" i="10" s="1"/>
  <c r="U51" i="10" s="1"/>
  <c r="AS51" i="10" s="1"/>
  <c r="F51" i="9"/>
  <c r="G51" i="9"/>
  <c r="H51" i="9"/>
  <c r="G51" i="10" s="1"/>
  <c r="W51" i="10" s="1"/>
  <c r="AU51" i="10" s="1"/>
  <c r="B52" i="9"/>
  <c r="B52" i="10" s="1"/>
  <c r="C52" i="9"/>
  <c r="C52" i="10" s="1"/>
  <c r="S52" i="10" s="1"/>
  <c r="AQ52" i="10" s="1"/>
  <c r="D52" i="9"/>
  <c r="D52" i="10" s="1"/>
  <c r="T52" i="10" s="1"/>
  <c r="AR52" i="10" s="1"/>
  <c r="E52" i="9"/>
  <c r="E52" i="10" s="1"/>
  <c r="F52" i="9"/>
  <c r="G52" i="9"/>
  <c r="H52" i="9"/>
  <c r="G52" i="10" s="1"/>
  <c r="W52" i="10" s="1"/>
  <c r="AU52" i="10" s="1"/>
  <c r="B53" i="9"/>
  <c r="B53" i="10" s="1"/>
  <c r="C53" i="9"/>
  <c r="C53" i="10" s="1"/>
  <c r="S53" i="10" s="1"/>
  <c r="AQ53" i="10" s="1"/>
  <c r="D53" i="9"/>
  <c r="D53" i="10" s="1"/>
  <c r="T53" i="10" s="1"/>
  <c r="AR53" i="10" s="1"/>
  <c r="E53" i="9"/>
  <c r="E53" i="10" s="1"/>
  <c r="U53" i="10" s="1"/>
  <c r="AS53" i="10" s="1"/>
  <c r="F53" i="9"/>
  <c r="G53" i="9"/>
  <c r="H53" i="9"/>
  <c r="G53" i="10" s="1"/>
  <c r="W53" i="10" s="1"/>
  <c r="AU53" i="10" s="1"/>
  <c r="B54" i="9"/>
  <c r="B54" i="10" s="1"/>
  <c r="C54" i="9"/>
  <c r="C54" i="10" s="1"/>
  <c r="S54" i="10" s="1"/>
  <c r="AQ54" i="10" s="1"/>
  <c r="D54" i="9"/>
  <c r="D54" i="10" s="1"/>
  <c r="T54" i="10" s="1"/>
  <c r="AR54" i="10" s="1"/>
  <c r="E54" i="9"/>
  <c r="E54" i="10" s="1"/>
  <c r="U54" i="10" s="1"/>
  <c r="AS54" i="10" s="1"/>
  <c r="F54" i="9"/>
  <c r="G54" i="9"/>
  <c r="H54" i="9"/>
  <c r="G54" i="10" s="1"/>
  <c r="B55" i="9"/>
  <c r="B55" i="10" s="1"/>
  <c r="C55" i="9"/>
  <c r="C55" i="10" s="1"/>
  <c r="S55" i="10" s="1"/>
  <c r="AQ55" i="10" s="1"/>
  <c r="D55" i="9"/>
  <c r="D55" i="10" s="1"/>
  <c r="T55" i="10" s="1"/>
  <c r="AR55" i="10" s="1"/>
  <c r="E55" i="9"/>
  <c r="E55" i="10" s="1"/>
  <c r="U55" i="10" s="1"/>
  <c r="AS55" i="10" s="1"/>
  <c r="F55" i="9"/>
  <c r="G55" i="9"/>
  <c r="H55" i="9"/>
  <c r="G55" i="10" s="1"/>
  <c r="W55" i="10" s="1"/>
  <c r="AU55" i="10" s="1"/>
  <c r="B56" i="9"/>
  <c r="B56" i="10" s="1"/>
  <c r="C56" i="9"/>
  <c r="C56" i="10" s="1"/>
  <c r="S56" i="10" s="1"/>
  <c r="AQ56" i="10" s="1"/>
  <c r="D56" i="9"/>
  <c r="D56" i="10" s="1"/>
  <c r="T56" i="10" s="1"/>
  <c r="AR56" i="10" s="1"/>
  <c r="E56" i="9"/>
  <c r="E56" i="10" s="1"/>
  <c r="U56" i="10" s="1"/>
  <c r="AS56" i="10" s="1"/>
  <c r="F56" i="9"/>
  <c r="G56" i="9"/>
  <c r="H56" i="9"/>
  <c r="G56" i="10" s="1"/>
  <c r="W56" i="10" s="1"/>
  <c r="AU56" i="10" s="1"/>
  <c r="H50" i="9"/>
  <c r="G50" i="10" s="1"/>
  <c r="W50" i="10" s="1"/>
  <c r="AU50" i="10" s="1"/>
  <c r="G50" i="9"/>
  <c r="F50" i="9"/>
  <c r="E50" i="9"/>
  <c r="E50" i="10" s="1"/>
  <c r="U50" i="10" s="1"/>
  <c r="D50" i="9"/>
  <c r="D50" i="10" s="1"/>
  <c r="C50" i="9"/>
  <c r="C50" i="10" s="1"/>
  <c r="B50" i="9"/>
  <c r="B11" i="9"/>
  <c r="B11" i="10" s="1"/>
  <c r="C11" i="9"/>
  <c r="C11" i="10" s="1"/>
  <c r="S11" i="10" s="1"/>
  <c r="AQ11" i="10" s="1"/>
  <c r="D11" i="9"/>
  <c r="D11" i="10" s="1"/>
  <c r="T11" i="10" s="1"/>
  <c r="AR11" i="10" s="1"/>
  <c r="E11" i="9"/>
  <c r="E11" i="10" s="1"/>
  <c r="U11" i="10" s="1"/>
  <c r="AS11" i="10" s="1"/>
  <c r="F11" i="9"/>
  <c r="G11" i="9"/>
  <c r="H11" i="9"/>
  <c r="G11" i="10" s="1"/>
  <c r="W11" i="10" s="1"/>
  <c r="AU11" i="10" s="1"/>
  <c r="B12" i="9"/>
  <c r="B12" i="10" s="1"/>
  <c r="C12" i="9"/>
  <c r="C12" i="10" s="1"/>
  <c r="S12" i="10" s="1"/>
  <c r="AQ12" i="10" s="1"/>
  <c r="D12" i="9"/>
  <c r="D12" i="10" s="1"/>
  <c r="T12" i="10" s="1"/>
  <c r="AR12" i="10" s="1"/>
  <c r="E12" i="9"/>
  <c r="E12" i="10" s="1"/>
  <c r="U12" i="10" s="1"/>
  <c r="AS12" i="10" s="1"/>
  <c r="F12" i="9"/>
  <c r="G12" i="9"/>
  <c r="H12" i="9"/>
  <c r="G12" i="10" s="1"/>
  <c r="W12" i="10" s="1"/>
  <c r="AU12" i="10" s="1"/>
  <c r="B13" i="9"/>
  <c r="B13" i="10" s="1"/>
  <c r="C13" i="9"/>
  <c r="C13" i="10" s="1"/>
  <c r="S13" i="10" s="1"/>
  <c r="AQ13" i="10" s="1"/>
  <c r="D13" i="9"/>
  <c r="D13" i="10" s="1"/>
  <c r="T13" i="10" s="1"/>
  <c r="AR13" i="10" s="1"/>
  <c r="E13" i="9"/>
  <c r="E13" i="10" s="1"/>
  <c r="U13" i="10" s="1"/>
  <c r="AS13" i="10" s="1"/>
  <c r="F13" i="9"/>
  <c r="G13" i="9"/>
  <c r="H13" i="9"/>
  <c r="G13" i="10" s="1"/>
  <c r="W13" i="10" s="1"/>
  <c r="AU13" i="10" s="1"/>
  <c r="B14" i="9"/>
  <c r="B14" i="10" s="1"/>
  <c r="C14" i="9"/>
  <c r="C14" i="10" s="1"/>
  <c r="S14" i="10" s="1"/>
  <c r="AQ14" i="10" s="1"/>
  <c r="D14" i="9"/>
  <c r="D14" i="10" s="1"/>
  <c r="T14" i="10" s="1"/>
  <c r="AR14" i="10" s="1"/>
  <c r="E14" i="9"/>
  <c r="E14" i="10" s="1"/>
  <c r="U14" i="10" s="1"/>
  <c r="AS14" i="10" s="1"/>
  <c r="F14" i="9"/>
  <c r="G14" i="9"/>
  <c r="H14" i="9"/>
  <c r="G14" i="10" s="1"/>
  <c r="W14" i="10" s="1"/>
  <c r="AU14" i="10" s="1"/>
  <c r="B15" i="9"/>
  <c r="B15" i="10" s="1"/>
  <c r="C15" i="9"/>
  <c r="C15" i="10" s="1"/>
  <c r="S15" i="10" s="1"/>
  <c r="AQ15" i="10" s="1"/>
  <c r="D15" i="9"/>
  <c r="D15" i="10" s="1"/>
  <c r="T15" i="10" s="1"/>
  <c r="AR15" i="10" s="1"/>
  <c r="E15" i="9"/>
  <c r="E15" i="10" s="1"/>
  <c r="U15" i="10" s="1"/>
  <c r="AS15" i="10" s="1"/>
  <c r="F15" i="9"/>
  <c r="G15" i="9"/>
  <c r="H15" i="9"/>
  <c r="G15" i="10" s="1"/>
  <c r="W15" i="10" s="1"/>
  <c r="AU15" i="10" s="1"/>
  <c r="B16" i="9"/>
  <c r="B16" i="10" s="1"/>
  <c r="C16" i="9"/>
  <c r="C16" i="10" s="1"/>
  <c r="S16" i="10" s="1"/>
  <c r="AQ16" i="10" s="1"/>
  <c r="D16" i="9"/>
  <c r="D16" i="10" s="1"/>
  <c r="T16" i="10" s="1"/>
  <c r="AR16" i="10" s="1"/>
  <c r="E16" i="9"/>
  <c r="E16" i="10" s="1"/>
  <c r="U16" i="10" s="1"/>
  <c r="AS16" i="10" s="1"/>
  <c r="F16" i="9"/>
  <c r="G16" i="9"/>
  <c r="H16" i="9"/>
  <c r="G16" i="10" s="1"/>
  <c r="B17" i="9"/>
  <c r="B17" i="10" s="1"/>
  <c r="C17" i="9"/>
  <c r="C17" i="10" s="1"/>
  <c r="S17" i="10" s="1"/>
  <c r="AQ17" i="10" s="1"/>
  <c r="D17" i="9"/>
  <c r="D17" i="10" s="1"/>
  <c r="T17" i="10" s="1"/>
  <c r="AR17" i="10" s="1"/>
  <c r="E17" i="9"/>
  <c r="E17" i="10" s="1"/>
  <c r="U17" i="10" s="1"/>
  <c r="F17" i="9"/>
  <c r="G17" i="9"/>
  <c r="H17" i="9"/>
  <c r="G17" i="10" s="1"/>
  <c r="W17" i="10" s="1"/>
  <c r="AU17" i="10" s="1"/>
  <c r="B18" i="9"/>
  <c r="B18" i="10" s="1"/>
  <c r="C18" i="9"/>
  <c r="C18" i="10" s="1"/>
  <c r="S18" i="10" s="1"/>
  <c r="AQ18" i="10" s="1"/>
  <c r="D18" i="9"/>
  <c r="D18" i="10" s="1"/>
  <c r="T18" i="10" s="1"/>
  <c r="AR18" i="10" s="1"/>
  <c r="E18" i="9"/>
  <c r="E18" i="10" s="1"/>
  <c r="U18" i="10" s="1"/>
  <c r="AS18" i="10" s="1"/>
  <c r="F18" i="9"/>
  <c r="G18" i="9"/>
  <c r="H18" i="9"/>
  <c r="G18" i="10" s="1"/>
  <c r="W18" i="10" s="1"/>
  <c r="AU18" i="10" s="1"/>
  <c r="B19" i="9"/>
  <c r="B19" i="10" s="1"/>
  <c r="C19" i="9"/>
  <c r="C19" i="10" s="1"/>
  <c r="S19" i="10" s="1"/>
  <c r="AQ19" i="10" s="1"/>
  <c r="D19" i="9"/>
  <c r="D19" i="10" s="1"/>
  <c r="T19" i="10" s="1"/>
  <c r="AR19" i="10" s="1"/>
  <c r="E19" i="9"/>
  <c r="E19" i="10" s="1"/>
  <c r="U19" i="10" s="1"/>
  <c r="AS19" i="10" s="1"/>
  <c r="F19" i="9"/>
  <c r="G19" i="9"/>
  <c r="H19" i="9"/>
  <c r="G19" i="10" s="1"/>
  <c r="W19" i="10" s="1"/>
  <c r="AU19" i="10" s="1"/>
  <c r="B20" i="9"/>
  <c r="B20" i="10" s="1"/>
  <c r="C20" i="9"/>
  <c r="C20" i="10" s="1"/>
  <c r="S20" i="10" s="1"/>
  <c r="AQ20" i="10" s="1"/>
  <c r="D20" i="9"/>
  <c r="D20" i="10" s="1"/>
  <c r="T20" i="10" s="1"/>
  <c r="AR20" i="10" s="1"/>
  <c r="E20" i="9"/>
  <c r="E20" i="10" s="1"/>
  <c r="U20" i="10" s="1"/>
  <c r="AS20" i="10" s="1"/>
  <c r="F20" i="9"/>
  <c r="G20" i="9"/>
  <c r="H20" i="9"/>
  <c r="G20" i="10" s="1"/>
  <c r="B21" i="9"/>
  <c r="B21" i="10" s="1"/>
  <c r="C21" i="9"/>
  <c r="C21" i="10" s="1"/>
  <c r="S21" i="10" s="1"/>
  <c r="AQ21" i="10" s="1"/>
  <c r="D21" i="9"/>
  <c r="D21" i="10" s="1"/>
  <c r="T21" i="10" s="1"/>
  <c r="AR21" i="10" s="1"/>
  <c r="E21" i="9"/>
  <c r="E21" i="10" s="1"/>
  <c r="U21" i="10" s="1"/>
  <c r="AS21" i="10" s="1"/>
  <c r="F21" i="9"/>
  <c r="G21" i="9"/>
  <c r="H21" i="9"/>
  <c r="G21" i="10" s="1"/>
  <c r="W21" i="10" s="1"/>
  <c r="AU21" i="10" s="1"/>
  <c r="B22" i="9"/>
  <c r="B22" i="10" s="1"/>
  <c r="C22" i="9"/>
  <c r="C22" i="10" s="1"/>
  <c r="S22" i="10" s="1"/>
  <c r="AQ22" i="10" s="1"/>
  <c r="D22" i="9"/>
  <c r="D22" i="10" s="1"/>
  <c r="T22" i="10" s="1"/>
  <c r="AR22" i="10" s="1"/>
  <c r="E22" i="9"/>
  <c r="E22" i="10" s="1"/>
  <c r="U22" i="10" s="1"/>
  <c r="AS22" i="10" s="1"/>
  <c r="F22" i="9"/>
  <c r="G22" i="9"/>
  <c r="H22" i="9"/>
  <c r="G22" i="10" s="1"/>
  <c r="W22" i="10" s="1"/>
  <c r="AU22" i="10" s="1"/>
  <c r="B23" i="9"/>
  <c r="B23" i="10" s="1"/>
  <c r="C23" i="9"/>
  <c r="C23" i="10" s="1"/>
  <c r="S23" i="10" s="1"/>
  <c r="AQ23" i="10" s="1"/>
  <c r="D23" i="9"/>
  <c r="D23" i="10" s="1"/>
  <c r="T23" i="10" s="1"/>
  <c r="AR23" i="10" s="1"/>
  <c r="E23" i="9"/>
  <c r="E23" i="10" s="1"/>
  <c r="U23" i="10" s="1"/>
  <c r="AS23" i="10" s="1"/>
  <c r="F23" i="9"/>
  <c r="G23" i="9"/>
  <c r="H23" i="9"/>
  <c r="G23" i="10" s="1"/>
  <c r="W23" i="10" s="1"/>
  <c r="AU23" i="10" s="1"/>
  <c r="B24" i="9"/>
  <c r="B24" i="10" s="1"/>
  <c r="C24" i="9"/>
  <c r="C24" i="10" s="1"/>
  <c r="S24" i="10" s="1"/>
  <c r="AQ24" i="10" s="1"/>
  <c r="D24" i="9"/>
  <c r="D24" i="10" s="1"/>
  <c r="T24" i="10" s="1"/>
  <c r="AR24" i="10" s="1"/>
  <c r="E24" i="9"/>
  <c r="E24" i="10" s="1"/>
  <c r="U24" i="10" s="1"/>
  <c r="AS24" i="10" s="1"/>
  <c r="F24" i="9"/>
  <c r="G24" i="9"/>
  <c r="H24" i="9"/>
  <c r="G24" i="10" s="1"/>
  <c r="B25" i="9"/>
  <c r="B25" i="10" s="1"/>
  <c r="C25" i="9"/>
  <c r="C25" i="10" s="1"/>
  <c r="S25" i="10" s="1"/>
  <c r="AQ25" i="10" s="1"/>
  <c r="D25" i="9"/>
  <c r="D25" i="10" s="1"/>
  <c r="T25" i="10" s="1"/>
  <c r="AR25" i="10" s="1"/>
  <c r="E25" i="9"/>
  <c r="E25" i="10" s="1"/>
  <c r="U25" i="10" s="1"/>
  <c r="AS25" i="10" s="1"/>
  <c r="F25" i="9"/>
  <c r="G25" i="9"/>
  <c r="H25" i="9"/>
  <c r="G25" i="10" s="1"/>
  <c r="W25" i="10" s="1"/>
  <c r="AU25" i="10" s="1"/>
  <c r="B26" i="9"/>
  <c r="B26" i="10" s="1"/>
  <c r="C26" i="9"/>
  <c r="C26" i="10" s="1"/>
  <c r="S26" i="10" s="1"/>
  <c r="AQ26" i="10" s="1"/>
  <c r="D26" i="9"/>
  <c r="D26" i="10" s="1"/>
  <c r="T26" i="10" s="1"/>
  <c r="AR26" i="10" s="1"/>
  <c r="E26" i="9"/>
  <c r="E26" i="10" s="1"/>
  <c r="U26" i="10" s="1"/>
  <c r="AS26" i="10" s="1"/>
  <c r="F26" i="9"/>
  <c r="G26" i="9"/>
  <c r="H26" i="9"/>
  <c r="G26" i="10" s="1"/>
  <c r="W26" i="10" s="1"/>
  <c r="B27" i="9"/>
  <c r="B27" i="10" s="1"/>
  <c r="C27" i="9"/>
  <c r="C27" i="10" s="1"/>
  <c r="S27" i="10" s="1"/>
  <c r="AQ27" i="10" s="1"/>
  <c r="D27" i="9"/>
  <c r="D27" i="10" s="1"/>
  <c r="T27" i="10" s="1"/>
  <c r="AR27" i="10" s="1"/>
  <c r="E27" i="9"/>
  <c r="E27" i="10" s="1"/>
  <c r="U27" i="10" s="1"/>
  <c r="AS27" i="10" s="1"/>
  <c r="F27" i="9"/>
  <c r="G27" i="9"/>
  <c r="H27" i="9"/>
  <c r="G27" i="10" s="1"/>
  <c r="W27" i="10" s="1"/>
  <c r="B28" i="9"/>
  <c r="B28" i="10" s="1"/>
  <c r="C28" i="9"/>
  <c r="C28" i="10" s="1"/>
  <c r="S28" i="10" s="1"/>
  <c r="AQ28" i="10" s="1"/>
  <c r="D28" i="9"/>
  <c r="D28" i="10" s="1"/>
  <c r="T28" i="10" s="1"/>
  <c r="AR28" i="10" s="1"/>
  <c r="E28" i="9"/>
  <c r="E28" i="10" s="1"/>
  <c r="U28" i="10" s="1"/>
  <c r="AS28" i="10" s="1"/>
  <c r="F28" i="9"/>
  <c r="G28" i="9"/>
  <c r="H28" i="9"/>
  <c r="G28" i="10" s="1"/>
  <c r="B29" i="9"/>
  <c r="B29" i="10" s="1"/>
  <c r="C29" i="9"/>
  <c r="C29" i="10" s="1"/>
  <c r="S29" i="10" s="1"/>
  <c r="AQ29" i="10" s="1"/>
  <c r="D29" i="9"/>
  <c r="D29" i="10" s="1"/>
  <c r="T29" i="10" s="1"/>
  <c r="AR29" i="10" s="1"/>
  <c r="E29" i="9"/>
  <c r="E29" i="10" s="1"/>
  <c r="U29" i="10" s="1"/>
  <c r="AS29" i="10" s="1"/>
  <c r="F29" i="9"/>
  <c r="G29" i="9"/>
  <c r="H29" i="9"/>
  <c r="G29" i="10" s="1"/>
  <c r="W29" i="10" s="1"/>
  <c r="AU29" i="10" s="1"/>
  <c r="B30" i="9"/>
  <c r="B30" i="10" s="1"/>
  <c r="C30" i="9"/>
  <c r="C30" i="10" s="1"/>
  <c r="S30" i="10" s="1"/>
  <c r="AQ30" i="10" s="1"/>
  <c r="D30" i="9"/>
  <c r="D30" i="10" s="1"/>
  <c r="T30" i="10" s="1"/>
  <c r="AR30" i="10" s="1"/>
  <c r="E30" i="9"/>
  <c r="E30" i="10" s="1"/>
  <c r="U30" i="10" s="1"/>
  <c r="AS30" i="10" s="1"/>
  <c r="F30" i="9"/>
  <c r="G30" i="9"/>
  <c r="H30" i="9"/>
  <c r="G30" i="10" s="1"/>
  <c r="W30" i="10" s="1"/>
  <c r="B31" i="9"/>
  <c r="B31" i="10" s="1"/>
  <c r="C31" i="9"/>
  <c r="C31" i="10" s="1"/>
  <c r="S31" i="10" s="1"/>
  <c r="AQ31" i="10" s="1"/>
  <c r="D31" i="9"/>
  <c r="D31" i="10" s="1"/>
  <c r="T31" i="10" s="1"/>
  <c r="AR31" i="10" s="1"/>
  <c r="E31" i="9"/>
  <c r="E31" i="10" s="1"/>
  <c r="U31" i="10" s="1"/>
  <c r="AS31" i="10" s="1"/>
  <c r="F31" i="9"/>
  <c r="G31" i="9"/>
  <c r="H31" i="9"/>
  <c r="G31" i="10" s="1"/>
  <c r="W31" i="10" s="1"/>
  <c r="AU31" i="10" s="1"/>
  <c r="B32" i="9"/>
  <c r="B32" i="10" s="1"/>
  <c r="C32" i="9"/>
  <c r="C32" i="10" s="1"/>
  <c r="S32" i="10" s="1"/>
  <c r="AQ32" i="10" s="1"/>
  <c r="D32" i="9"/>
  <c r="D32" i="10" s="1"/>
  <c r="T32" i="10" s="1"/>
  <c r="AR32" i="10" s="1"/>
  <c r="E32" i="9"/>
  <c r="E32" i="10" s="1"/>
  <c r="U32" i="10" s="1"/>
  <c r="AS32" i="10" s="1"/>
  <c r="F32" i="9"/>
  <c r="G32" i="9"/>
  <c r="H32" i="9"/>
  <c r="G32" i="10" s="1"/>
  <c r="B33" i="9"/>
  <c r="B33" i="10" s="1"/>
  <c r="C33" i="9"/>
  <c r="C33" i="10" s="1"/>
  <c r="S33" i="10" s="1"/>
  <c r="AQ33" i="10" s="1"/>
  <c r="D33" i="9"/>
  <c r="D33" i="10" s="1"/>
  <c r="T33" i="10" s="1"/>
  <c r="AR33" i="10" s="1"/>
  <c r="E33" i="9"/>
  <c r="E33" i="10" s="1"/>
  <c r="U33" i="10" s="1"/>
  <c r="AS33" i="10" s="1"/>
  <c r="F33" i="9"/>
  <c r="G33" i="9"/>
  <c r="H33" i="9"/>
  <c r="G33" i="10" s="1"/>
  <c r="W33" i="10" s="1"/>
  <c r="AU33" i="10" s="1"/>
  <c r="B34" i="9"/>
  <c r="B34" i="10" s="1"/>
  <c r="C34" i="9"/>
  <c r="C34" i="10" s="1"/>
  <c r="S34" i="10" s="1"/>
  <c r="AQ34" i="10" s="1"/>
  <c r="D34" i="9"/>
  <c r="D34" i="10" s="1"/>
  <c r="T34" i="10" s="1"/>
  <c r="AR34" i="10" s="1"/>
  <c r="E34" i="9"/>
  <c r="E34" i="10" s="1"/>
  <c r="U34" i="10" s="1"/>
  <c r="AS34" i="10" s="1"/>
  <c r="F34" i="9"/>
  <c r="G34" i="9"/>
  <c r="H34" i="9"/>
  <c r="G34" i="10" s="1"/>
  <c r="W34" i="10" s="1"/>
  <c r="B35" i="9"/>
  <c r="B35" i="10" s="1"/>
  <c r="C35" i="9"/>
  <c r="C35" i="10" s="1"/>
  <c r="S35" i="10" s="1"/>
  <c r="AQ35" i="10" s="1"/>
  <c r="D35" i="9"/>
  <c r="D35" i="10" s="1"/>
  <c r="T35" i="10" s="1"/>
  <c r="AR35" i="10" s="1"/>
  <c r="E35" i="9"/>
  <c r="E35" i="10" s="1"/>
  <c r="U35" i="10" s="1"/>
  <c r="F35" i="9"/>
  <c r="G35" i="9"/>
  <c r="H35" i="9"/>
  <c r="G35" i="10" s="1"/>
  <c r="W35" i="10" s="1"/>
  <c r="AU35" i="10" s="1"/>
  <c r="B36" i="9"/>
  <c r="B36" i="10" s="1"/>
  <c r="C36" i="9"/>
  <c r="C36" i="10" s="1"/>
  <c r="D36" i="9"/>
  <c r="D36" i="10" s="1"/>
  <c r="T36" i="10" s="1"/>
  <c r="AR36" i="10" s="1"/>
  <c r="E36" i="9"/>
  <c r="E36" i="10" s="1"/>
  <c r="U36" i="10" s="1"/>
  <c r="AS36" i="10" s="1"/>
  <c r="F36" i="9"/>
  <c r="G36" i="9"/>
  <c r="H36" i="9"/>
  <c r="G36" i="10" s="1"/>
  <c r="B37" i="9"/>
  <c r="B37" i="10" s="1"/>
  <c r="C37" i="9"/>
  <c r="C37" i="10" s="1"/>
  <c r="S37" i="10" s="1"/>
  <c r="AQ37" i="10" s="1"/>
  <c r="D37" i="9"/>
  <c r="D37" i="10" s="1"/>
  <c r="E37" i="9"/>
  <c r="E37" i="10" s="1"/>
  <c r="U37" i="10" s="1"/>
  <c r="AS37" i="10" s="1"/>
  <c r="F37" i="9"/>
  <c r="G37" i="9"/>
  <c r="H37" i="9"/>
  <c r="G37" i="10" s="1"/>
  <c r="W37" i="10" s="1"/>
  <c r="AU37" i="10" s="1"/>
  <c r="B38" i="9"/>
  <c r="B38" i="10" s="1"/>
  <c r="C38" i="9"/>
  <c r="C38" i="10" s="1"/>
  <c r="S38" i="10" s="1"/>
  <c r="AQ38" i="10" s="1"/>
  <c r="D38" i="9"/>
  <c r="D38" i="10" s="1"/>
  <c r="T38" i="10" s="1"/>
  <c r="E38" i="9"/>
  <c r="E38" i="10" s="1"/>
  <c r="U38" i="10" s="1"/>
  <c r="AS38" i="10" s="1"/>
  <c r="F38" i="9"/>
  <c r="G38" i="9"/>
  <c r="H38" i="9"/>
  <c r="G38" i="10" s="1"/>
  <c r="W38" i="10" s="1"/>
  <c r="B39" i="9"/>
  <c r="B39" i="10" s="1"/>
  <c r="C39" i="9"/>
  <c r="C39" i="10" s="1"/>
  <c r="S39" i="10" s="1"/>
  <c r="AQ39" i="10" s="1"/>
  <c r="D39" i="9"/>
  <c r="D39" i="10" s="1"/>
  <c r="T39" i="10" s="1"/>
  <c r="AR39" i="10" s="1"/>
  <c r="E39" i="9"/>
  <c r="E39" i="10" s="1"/>
  <c r="U39" i="10" s="1"/>
  <c r="AS39" i="10" s="1"/>
  <c r="F39" i="9"/>
  <c r="G39" i="9"/>
  <c r="H39" i="9"/>
  <c r="G39" i="10" s="1"/>
  <c r="B40" i="9"/>
  <c r="B40" i="10" s="1"/>
  <c r="C40" i="9"/>
  <c r="C40" i="10" s="1"/>
  <c r="S40" i="10" s="1"/>
  <c r="AQ40" i="10" s="1"/>
  <c r="D40" i="9"/>
  <c r="D40" i="10" s="1"/>
  <c r="T40" i="10" s="1"/>
  <c r="AR40" i="10" s="1"/>
  <c r="E40" i="9"/>
  <c r="E40" i="10" s="1"/>
  <c r="U40" i="10" s="1"/>
  <c r="F40" i="9"/>
  <c r="G40" i="9"/>
  <c r="H40" i="9"/>
  <c r="G40" i="10" s="1"/>
  <c r="B41" i="9"/>
  <c r="B41" i="10" s="1"/>
  <c r="C41" i="9"/>
  <c r="C41" i="10" s="1"/>
  <c r="S41" i="10" s="1"/>
  <c r="AQ41" i="10" s="1"/>
  <c r="D41" i="9"/>
  <c r="D41" i="10" s="1"/>
  <c r="T41" i="10" s="1"/>
  <c r="E41" i="9"/>
  <c r="E41" i="10" s="1"/>
  <c r="U41" i="10" s="1"/>
  <c r="AS41" i="10" s="1"/>
  <c r="F41" i="9"/>
  <c r="G41" i="9"/>
  <c r="H41" i="9"/>
  <c r="G41" i="10" s="1"/>
  <c r="W41" i="10" s="1"/>
  <c r="AU41" i="10" s="1"/>
  <c r="B42" i="9"/>
  <c r="B42" i="10" s="1"/>
  <c r="C42" i="9"/>
  <c r="C42" i="10" s="1"/>
  <c r="S42" i="10" s="1"/>
  <c r="AQ42" i="10" s="1"/>
  <c r="D42" i="9"/>
  <c r="D42" i="10" s="1"/>
  <c r="T42" i="10" s="1"/>
  <c r="AR42" i="10" s="1"/>
  <c r="E42" i="9"/>
  <c r="E42" i="10" s="1"/>
  <c r="U42" i="10" s="1"/>
  <c r="AS42" i="10" s="1"/>
  <c r="F42" i="9"/>
  <c r="G42" i="9"/>
  <c r="H42" i="9"/>
  <c r="G42" i="10" s="1"/>
  <c r="W42" i="10" s="1"/>
  <c r="B43" i="9"/>
  <c r="B43" i="10" s="1"/>
  <c r="C43" i="9"/>
  <c r="C43" i="10" s="1"/>
  <c r="S43" i="10" s="1"/>
  <c r="AQ43" i="10" s="1"/>
  <c r="D43" i="9"/>
  <c r="D43" i="10" s="1"/>
  <c r="T43" i="10" s="1"/>
  <c r="AR43" i="10" s="1"/>
  <c r="E43" i="9"/>
  <c r="E43" i="10" s="1"/>
  <c r="U43" i="10" s="1"/>
  <c r="AS43" i="10" s="1"/>
  <c r="F43" i="9"/>
  <c r="G43" i="9"/>
  <c r="H43" i="9"/>
  <c r="G43" i="10" s="1"/>
  <c r="B44" i="9"/>
  <c r="B44" i="10" s="1"/>
  <c r="C44" i="9"/>
  <c r="C44" i="10" s="1"/>
  <c r="S44" i="10" s="1"/>
  <c r="D44" i="9"/>
  <c r="D44" i="10" s="1"/>
  <c r="T44" i="10" s="1"/>
  <c r="AR44" i="10" s="1"/>
  <c r="E44" i="9"/>
  <c r="E44" i="10" s="1"/>
  <c r="U44" i="10" s="1"/>
  <c r="AS44" i="10" s="1"/>
  <c r="F44" i="9"/>
  <c r="G44" i="9"/>
  <c r="H44" i="9"/>
  <c r="G44" i="10" s="1"/>
  <c r="B45" i="9"/>
  <c r="B45" i="10" s="1"/>
  <c r="C45" i="9"/>
  <c r="C45" i="10" s="1"/>
  <c r="S45" i="10" s="1"/>
  <c r="AQ45" i="10" s="1"/>
  <c r="D45" i="9"/>
  <c r="D45" i="10" s="1"/>
  <c r="T45" i="10" s="1"/>
  <c r="AR45" i="10" s="1"/>
  <c r="E45" i="9"/>
  <c r="E45" i="10" s="1"/>
  <c r="U45" i="10" s="1"/>
  <c r="AS45" i="10" s="1"/>
  <c r="F45" i="9"/>
  <c r="G45" i="9"/>
  <c r="H45" i="9"/>
  <c r="G45" i="10" s="1"/>
  <c r="W45" i="10" s="1"/>
  <c r="AU45" i="10" s="1"/>
  <c r="B46" i="9"/>
  <c r="B46" i="10" s="1"/>
  <c r="C46" i="9"/>
  <c r="C46" i="10" s="1"/>
  <c r="S46" i="10" s="1"/>
  <c r="AQ46" i="10" s="1"/>
  <c r="D46" i="9"/>
  <c r="D46" i="10" s="1"/>
  <c r="T46" i="10" s="1"/>
  <c r="AR46" i="10" s="1"/>
  <c r="E46" i="9"/>
  <c r="E46" i="10" s="1"/>
  <c r="U46" i="10" s="1"/>
  <c r="AS46" i="10" s="1"/>
  <c r="F46" i="9"/>
  <c r="G46" i="9"/>
  <c r="H46" i="9"/>
  <c r="G46" i="10" s="1"/>
  <c r="B47" i="9"/>
  <c r="B47" i="10" s="1"/>
  <c r="C47" i="9"/>
  <c r="C47" i="10" s="1"/>
  <c r="S47" i="10" s="1"/>
  <c r="AQ47" i="10" s="1"/>
  <c r="D47" i="9"/>
  <c r="D47" i="10" s="1"/>
  <c r="T47" i="10" s="1"/>
  <c r="AR47" i="10" s="1"/>
  <c r="E47" i="9"/>
  <c r="E47" i="10" s="1"/>
  <c r="U47" i="10" s="1"/>
  <c r="AS47" i="10" s="1"/>
  <c r="F47" i="9"/>
  <c r="G47" i="9"/>
  <c r="H47" i="9"/>
  <c r="G47" i="10" s="1"/>
  <c r="B48" i="9"/>
  <c r="B48" i="10" s="1"/>
  <c r="C48" i="9"/>
  <c r="C48" i="10" s="1"/>
  <c r="S48" i="10" s="1"/>
  <c r="AQ48" i="10" s="1"/>
  <c r="D48" i="9"/>
  <c r="D48" i="10" s="1"/>
  <c r="T48" i="10" s="1"/>
  <c r="AR48" i="10" s="1"/>
  <c r="E48" i="9"/>
  <c r="E48" i="10" s="1"/>
  <c r="U48" i="10" s="1"/>
  <c r="AS48" i="10" s="1"/>
  <c r="F48" i="9"/>
  <c r="G48" i="9"/>
  <c r="H48" i="9"/>
  <c r="G48" i="10" s="1"/>
  <c r="C10" i="9"/>
  <c r="C10" i="10" s="1"/>
  <c r="S10" i="10" s="1"/>
  <c r="AQ10" i="10" s="1"/>
  <c r="D10" i="9"/>
  <c r="D10" i="10" s="1"/>
  <c r="T10" i="10" s="1"/>
  <c r="AR10" i="10" s="1"/>
  <c r="E10" i="9"/>
  <c r="E10" i="10" s="1"/>
  <c r="U10" i="10" s="1"/>
  <c r="F10" i="9"/>
  <c r="G10" i="9"/>
  <c r="H10" i="9"/>
  <c r="G10" i="10" s="1"/>
  <c r="B10" i="9"/>
  <c r="B10" i="10" s="1"/>
  <c r="AD47" i="10" l="1"/>
  <c r="AD43" i="10"/>
  <c r="AD39" i="10"/>
  <c r="AD35" i="10"/>
  <c r="AD31" i="10"/>
  <c r="AD27" i="10"/>
  <c r="AD23" i="10"/>
  <c r="AD19" i="10"/>
  <c r="AD15" i="10"/>
  <c r="AD11" i="10"/>
  <c r="AD51" i="10"/>
  <c r="W49" i="9"/>
  <c r="AD55" i="10"/>
  <c r="AF55" i="10" s="1"/>
  <c r="F26" i="10"/>
  <c r="F22" i="10"/>
  <c r="F18" i="10"/>
  <c r="H18" i="10" s="1"/>
  <c r="F14" i="10"/>
  <c r="N47" i="10"/>
  <c r="N43" i="10"/>
  <c r="N39" i="10"/>
  <c r="P39" i="10" s="1"/>
  <c r="N35" i="10"/>
  <c r="N31" i="10"/>
  <c r="N27" i="10"/>
  <c r="N23" i="10"/>
  <c r="N19" i="10"/>
  <c r="N15" i="10"/>
  <c r="N11" i="10"/>
  <c r="N49" i="9"/>
  <c r="N50" i="10"/>
  <c r="N54" i="10"/>
  <c r="AD17" i="10"/>
  <c r="AD13" i="10"/>
  <c r="AF13" i="10" s="1"/>
  <c r="AL47" i="10"/>
  <c r="F48" i="10"/>
  <c r="F44" i="10"/>
  <c r="F40" i="10"/>
  <c r="F36" i="10"/>
  <c r="F32" i="10"/>
  <c r="F28" i="10"/>
  <c r="F24" i="10"/>
  <c r="H24" i="10" s="1"/>
  <c r="F20" i="10"/>
  <c r="F16" i="10"/>
  <c r="F12" i="10"/>
  <c r="B49" i="9"/>
  <c r="B49" i="10" s="1"/>
  <c r="F55" i="10"/>
  <c r="F51" i="10"/>
  <c r="AL26" i="10"/>
  <c r="G9" i="9"/>
  <c r="AD45" i="10"/>
  <c r="AD41" i="10"/>
  <c r="AD37" i="10"/>
  <c r="AD33" i="10"/>
  <c r="AF33" i="10" s="1"/>
  <c r="AD29" i="10"/>
  <c r="AD25" i="10"/>
  <c r="AD21" i="10"/>
  <c r="AL43" i="10"/>
  <c r="AL39" i="10"/>
  <c r="AL35" i="10"/>
  <c r="AL31" i="10"/>
  <c r="AL27" i="10"/>
  <c r="AN27" i="10" s="1"/>
  <c r="AL23" i="10"/>
  <c r="AL19" i="10"/>
  <c r="AL15" i="10"/>
  <c r="AL11" i="10"/>
  <c r="AN11" i="10" s="1"/>
  <c r="F10" i="10"/>
  <c r="H10" i="10" s="1"/>
  <c r="F46" i="10"/>
  <c r="F42" i="10"/>
  <c r="F38" i="10"/>
  <c r="F34" i="10"/>
  <c r="H34" i="10" s="1"/>
  <c r="F30" i="10"/>
  <c r="F53" i="10"/>
  <c r="AL54" i="10"/>
  <c r="AN54" i="10" s="1"/>
  <c r="F47" i="10"/>
  <c r="F35" i="10"/>
  <c r="V35" i="10" s="1"/>
  <c r="N10" i="10"/>
  <c r="N46" i="10"/>
  <c r="P46" i="10" s="1"/>
  <c r="N42" i="10"/>
  <c r="N38" i="10"/>
  <c r="N34" i="10"/>
  <c r="N30" i="10"/>
  <c r="P30" i="10" s="1"/>
  <c r="N26" i="10"/>
  <c r="N22" i="10"/>
  <c r="N18" i="10"/>
  <c r="P18" i="10" s="1"/>
  <c r="N14" i="10"/>
  <c r="P14" i="10" s="1"/>
  <c r="AD10" i="10"/>
  <c r="AD46" i="10"/>
  <c r="AD42" i="10"/>
  <c r="AF42" i="10" s="1"/>
  <c r="AD38" i="10"/>
  <c r="AD34" i="10"/>
  <c r="AD30" i="10"/>
  <c r="AD26" i="10"/>
  <c r="AF26" i="10" s="1"/>
  <c r="AD22" i="10"/>
  <c r="AF22" i="10" s="1"/>
  <c r="AD18" i="10"/>
  <c r="AD14" i="10"/>
  <c r="AL48" i="10"/>
  <c r="AN48" i="10" s="1"/>
  <c r="AL44" i="10"/>
  <c r="AN44" i="10" s="1"/>
  <c r="AL40" i="10"/>
  <c r="AL36" i="10"/>
  <c r="AL32" i="10"/>
  <c r="AL28" i="10"/>
  <c r="AN28" i="10" s="1"/>
  <c r="AL24" i="10"/>
  <c r="AL20" i="10"/>
  <c r="AL16" i="10"/>
  <c r="AL12" i="10"/>
  <c r="AN12" i="10" s="1"/>
  <c r="F45" i="10"/>
  <c r="F41" i="10"/>
  <c r="AS40" i="10"/>
  <c r="F37" i="10"/>
  <c r="H37" i="10" s="1"/>
  <c r="F33" i="10"/>
  <c r="F29" i="10"/>
  <c r="F25" i="10"/>
  <c r="H25" i="10" s="1"/>
  <c r="F21" i="10"/>
  <c r="H21" i="10" s="1"/>
  <c r="F17" i="10"/>
  <c r="F13" i="10"/>
  <c r="G49" i="9"/>
  <c r="F56" i="10"/>
  <c r="H56" i="10" s="1"/>
  <c r="F52" i="10"/>
  <c r="M9" i="9"/>
  <c r="M9" i="10" s="1"/>
  <c r="N48" i="10"/>
  <c r="N44" i="10"/>
  <c r="V44" i="10" s="1"/>
  <c r="N40" i="10"/>
  <c r="N36" i="10"/>
  <c r="V36" i="10" s="1"/>
  <c r="N32" i="10"/>
  <c r="V32" i="10" s="1"/>
  <c r="N28" i="10"/>
  <c r="V28" i="10" s="1"/>
  <c r="N24" i="10"/>
  <c r="N20" i="10"/>
  <c r="P20" i="10" s="1"/>
  <c r="N16" i="10"/>
  <c r="V16" i="10" s="1"/>
  <c r="N12" i="10"/>
  <c r="V12" i="10" s="1"/>
  <c r="AL10" i="10"/>
  <c r="AL46" i="10"/>
  <c r="AL42" i="10"/>
  <c r="AL38" i="10"/>
  <c r="AL34" i="10"/>
  <c r="AL30" i="10"/>
  <c r="AL56" i="10"/>
  <c r="V46" i="10"/>
  <c r="V26" i="10"/>
  <c r="V22" i="10"/>
  <c r="AS17" i="10"/>
  <c r="AN15" i="10"/>
  <c r="W10" i="10"/>
  <c r="W46" i="10"/>
  <c r="W47" i="10"/>
  <c r="AU47" i="10" s="1"/>
  <c r="W43" i="10"/>
  <c r="W39" i="10"/>
  <c r="AU39" i="10" s="1"/>
  <c r="W54" i="10"/>
  <c r="AU54" i="10" s="1"/>
  <c r="W48" i="10"/>
  <c r="AU48" i="10" s="1"/>
  <c r="W44" i="10"/>
  <c r="AU44" i="10" s="1"/>
  <c r="W40" i="10"/>
  <c r="AU40" i="10" s="1"/>
  <c r="W36" i="10"/>
  <c r="AU36" i="10" s="1"/>
  <c r="W32" i="10"/>
  <c r="AU32" i="10" s="1"/>
  <c r="W28" i="10"/>
  <c r="AU28" i="10" s="1"/>
  <c r="W24" i="10"/>
  <c r="AU24" i="10" s="1"/>
  <c r="W20" i="10"/>
  <c r="AU20" i="10" s="1"/>
  <c r="W16" i="10"/>
  <c r="AU16" i="10" s="1"/>
  <c r="AU27" i="10"/>
  <c r="AU34" i="10"/>
  <c r="AU30" i="10"/>
  <c r="AU26" i="10"/>
  <c r="AU43" i="10"/>
  <c r="AU10" i="10"/>
  <c r="AU46" i="10"/>
  <c r="AU42" i="10"/>
  <c r="AU38" i="10"/>
  <c r="R30" i="10"/>
  <c r="H30" i="10"/>
  <c r="R31" i="10"/>
  <c r="R24" i="10"/>
  <c r="R37" i="10"/>
  <c r="R25" i="10"/>
  <c r="R46" i="10"/>
  <c r="H46" i="10"/>
  <c r="R42" i="10"/>
  <c r="H42" i="10"/>
  <c r="R34" i="10"/>
  <c r="R26" i="10"/>
  <c r="H26" i="10"/>
  <c r="R22" i="10"/>
  <c r="H22" i="10"/>
  <c r="R18" i="10"/>
  <c r="R14" i="10"/>
  <c r="H14" i="10"/>
  <c r="R53" i="10"/>
  <c r="H53" i="10"/>
  <c r="H49" i="9"/>
  <c r="G49" i="10" s="1"/>
  <c r="W49" i="10" s="1"/>
  <c r="D49" i="9"/>
  <c r="D49" i="10" s="1"/>
  <c r="C9" i="9"/>
  <c r="P48" i="10"/>
  <c r="J49" i="9"/>
  <c r="J49" i="10" s="1"/>
  <c r="J50" i="10"/>
  <c r="R9" i="9"/>
  <c r="Z9" i="10" s="1"/>
  <c r="Z10" i="10"/>
  <c r="U9" i="9"/>
  <c r="AC9" i="10" s="1"/>
  <c r="AC10" i="10"/>
  <c r="AS10" i="10" s="1"/>
  <c r="AF47" i="10"/>
  <c r="S9" i="9"/>
  <c r="AA9" i="10" s="1"/>
  <c r="AA44" i="10"/>
  <c r="AQ44" i="10" s="1"/>
  <c r="AF43" i="10"/>
  <c r="T9" i="9"/>
  <c r="AB9" i="10" s="1"/>
  <c r="AB41" i="10"/>
  <c r="AF41" i="10" s="1"/>
  <c r="AF39" i="10"/>
  <c r="AF35" i="10"/>
  <c r="AF31" i="10"/>
  <c r="AF27" i="10"/>
  <c r="AF23" i="10"/>
  <c r="AF19" i="10"/>
  <c r="AF15" i="10"/>
  <c r="AF11" i="10"/>
  <c r="U49" i="9"/>
  <c r="AC49" i="10" s="1"/>
  <c r="AC50" i="10"/>
  <c r="AS50" i="10" s="1"/>
  <c r="AB9" i="9"/>
  <c r="AJ9" i="10" s="1"/>
  <c r="AJ38" i="10"/>
  <c r="AE9" i="9"/>
  <c r="AC9" i="9"/>
  <c r="AK9" i="10" s="1"/>
  <c r="AK35" i="10"/>
  <c r="AS35" i="10" s="1"/>
  <c r="AC49" i="9"/>
  <c r="AK49" i="10" s="1"/>
  <c r="R38" i="10"/>
  <c r="H38" i="10"/>
  <c r="R47" i="10"/>
  <c r="F43" i="10"/>
  <c r="V43" i="10" s="1"/>
  <c r="R43" i="10"/>
  <c r="F39" i="10"/>
  <c r="V39" i="10" s="1"/>
  <c r="AT39" i="10" s="1"/>
  <c r="R39" i="10"/>
  <c r="H35" i="10"/>
  <c r="R35" i="10"/>
  <c r="F31" i="10"/>
  <c r="V31" i="10" s="1"/>
  <c r="AT31" i="10" s="1"/>
  <c r="F27" i="10"/>
  <c r="V27" i="10" s="1"/>
  <c r="R27" i="10"/>
  <c r="F23" i="10"/>
  <c r="R23" i="10"/>
  <c r="F19" i="10"/>
  <c r="V19" i="10" s="1"/>
  <c r="R19" i="10"/>
  <c r="F15" i="10"/>
  <c r="V15" i="10" s="1"/>
  <c r="AT15" i="10" s="1"/>
  <c r="R15" i="10"/>
  <c r="F11" i="10"/>
  <c r="V11" i="10" s="1"/>
  <c r="R11" i="10"/>
  <c r="F54" i="10"/>
  <c r="V54" i="10" s="1"/>
  <c r="R54" i="10"/>
  <c r="C49" i="9"/>
  <c r="C49" i="10" s="1"/>
  <c r="F9" i="9"/>
  <c r="N45" i="10"/>
  <c r="P45" i="10" s="1"/>
  <c r="P43" i="10"/>
  <c r="N41" i="10"/>
  <c r="V41" i="10" s="1"/>
  <c r="N37" i="10"/>
  <c r="P35" i="10"/>
  <c r="N33" i="10"/>
  <c r="P33" i="10" s="1"/>
  <c r="N29" i="10"/>
  <c r="P29" i="10" s="1"/>
  <c r="P27" i="10"/>
  <c r="N25" i="10"/>
  <c r="P25" i="10" s="1"/>
  <c r="P22" i="10"/>
  <c r="N21" i="10"/>
  <c r="P21" i="10" s="1"/>
  <c r="P19" i="10"/>
  <c r="N17" i="10"/>
  <c r="P17" i="10" s="1"/>
  <c r="P15" i="10"/>
  <c r="N13" i="10"/>
  <c r="P13" i="10" s="1"/>
  <c r="P11" i="10"/>
  <c r="K49" i="9"/>
  <c r="K49" i="10" s="1"/>
  <c r="K50" i="10"/>
  <c r="S50" i="10" s="1"/>
  <c r="O49" i="9"/>
  <c r="M49" i="9"/>
  <c r="M49" i="10" s="1"/>
  <c r="M52" i="10"/>
  <c r="U52" i="10" s="1"/>
  <c r="AS52" i="10" s="1"/>
  <c r="N53" i="10"/>
  <c r="V53" i="10" s="1"/>
  <c r="P54" i="10"/>
  <c r="X9" i="9"/>
  <c r="AE9" i="10" s="1"/>
  <c r="AD48" i="10"/>
  <c r="AF48" i="10" s="1"/>
  <c r="AD44" i="10"/>
  <c r="AD40" i="10"/>
  <c r="AD36" i="10"/>
  <c r="AF36" i="10" s="1"/>
  <c r="AD32" i="10"/>
  <c r="AF32" i="10" s="1"/>
  <c r="AD28" i="10"/>
  <c r="AF28" i="10" s="1"/>
  <c r="AD24" i="10"/>
  <c r="AD20" i="10"/>
  <c r="AF20" i="10" s="1"/>
  <c r="AD16" i="10"/>
  <c r="AD12" i="10"/>
  <c r="AF12" i="10" s="1"/>
  <c r="R49" i="9"/>
  <c r="Z49" i="10" s="1"/>
  <c r="Z50" i="10"/>
  <c r="V49" i="9"/>
  <c r="AD50" i="10"/>
  <c r="AD54" i="10"/>
  <c r="AF54" i="10" s="1"/>
  <c r="AL33" i="10"/>
  <c r="AN33" i="10" s="1"/>
  <c r="B50" i="10"/>
  <c r="R48" i="10"/>
  <c r="H48" i="10"/>
  <c r="R44" i="10"/>
  <c r="H44" i="10"/>
  <c r="R40" i="10"/>
  <c r="H40" i="10"/>
  <c r="AR38" i="10"/>
  <c r="R36" i="10"/>
  <c r="H36" i="10"/>
  <c r="R32" i="10"/>
  <c r="H32" i="10"/>
  <c r="R28" i="10"/>
  <c r="H28" i="10"/>
  <c r="R20" i="10"/>
  <c r="H20" i="10"/>
  <c r="H16" i="10"/>
  <c r="R16" i="10"/>
  <c r="R12" i="10"/>
  <c r="H12" i="10"/>
  <c r="F50" i="10"/>
  <c r="V50" i="10" s="1"/>
  <c r="H55" i="10"/>
  <c r="R55" i="10"/>
  <c r="H51" i="10"/>
  <c r="R51" i="10"/>
  <c r="F49" i="9"/>
  <c r="F49" i="10" s="1"/>
  <c r="B9" i="9"/>
  <c r="E9" i="9"/>
  <c r="P42" i="10"/>
  <c r="P38" i="10"/>
  <c r="P26" i="10"/>
  <c r="L49" i="9"/>
  <c r="L49" i="10" s="1"/>
  <c r="L50" i="10"/>
  <c r="T50" i="10" s="1"/>
  <c r="N52" i="10"/>
  <c r="N56" i="10"/>
  <c r="P56" i="10" s="1"/>
  <c r="AF45" i="10"/>
  <c r="AF40" i="10"/>
  <c r="AF37" i="10"/>
  <c r="AF29" i="10"/>
  <c r="AF25" i="10"/>
  <c r="AF24" i="10"/>
  <c r="AF21" i="10"/>
  <c r="AF17" i="10"/>
  <c r="AF16" i="10"/>
  <c r="S49" i="9"/>
  <c r="AA49" i="10" s="1"/>
  <c r="AA50" i="10"/>
  <c r="T49" i="9"/>
  <c r="AB49" i="10" s="1"/>
  <c r="AB51" i="10"/>
  <c r="AF51" i="10" s="1"/>
  <c r="AD53" i="10"/>
  <c r="AF53" i="10" s="1"/>
  <c r="AA9" i="9"/>
  <c r="AI9" i="10" s="1"/>
  <c r="V45" i="10"/>
  <c r="R45" i="10"/>
  <c r="H45" i="10"/>
  <c r="R41" i="10"/>
  <c r="H41" i="10"/>
  <c r="H33" i="10"/>
  <c r="R33" i="10"/>
  <c r="R29" i="10"/>
  <c r="H29" i="10"/>
  <c r="R21" i="10"/>
  <c r="R17" i="10"/>
  <c r="H17" i="10"/>
  <c r="R13" i="10"/>
  <c r="H13" i="10"/>
  <c r="R56" i="10"/>
  <c r="R52" i="10"/>
  <c r="H52" i="10"/>
  <c r="E49" i="9"/>
  <c r="E49" i="10" s="1"/>
  <c r="H9" i="9"/>
  <c r="D9" i="9"/>
  <c r="J9" i="9"/>
  <c r="J9" i="10" s="1"/>
  <c r="J10" i="10"/>
  <c r="P47" i="10"/>
  <c r="P40" i="10"/>
  <c r="L9" i="9"/>
  <c r="L9" i="10" s="1"/>
  <c r="L37" i="10"/>
  <c r="P37" i="10" s="1"/>
  <c r="K9" i="9"/>
  <c r="K9" i="10" s="1"/>
  <c r="K36" i="10"/>
  <c r="P36" i="10" s="1"/>
  <c r="P31" i="10"/>
  <c r="P23" i="10"/>
  <c r="N51" i="10"/>
  <c r="V51" i="10" s="1"/>
  <c r="N55" i="10"/>
  <c r="P55" i="10" s="1"/>
  <c r="AF46" i="10"/>
  <c r="AF38" i="10"/>
  <c r="AF34" i="10"/>
  <c r="AF30" i="10"/>
  <c r="AF18" i="10"/>
  <c r="AF14" i="10"/>
  <c r="AD52" i="10"/>
  <c r="AF52" i="10" s="1"/>
  <c r="AD56" i="10"/>
  <c r="AF56" i="10" s="1"/>
  <c r="Z9" i="9"/>
  <c r="AH9" i="10" s="1"/>
  <c r="AH10" i="10"/>
  <c r="AN10" i="10" s="1"/>
  <c r="AN47" i="10"/>
  <c r="AN43" i="10"/>
  <c r="AB49" i="9"/>
  <c r="AJ49" i="10" s="1"/>
  <c r="AJ50" i="10"/>
  <c r="AL52" i="10"/>
  <c r="AN52" i="10" s="1"/>
  <c r="AD49" i="9"/>
  <c r="AL45" i="10"/>
  <c r="AN45" i="10" s="1"/>
  <c r="AL41" i="10"/>
  <c r="AN41" i="10" s="1"/>
  <c r="AL37" i="10"/>
  <c r="AN37" i="10" s="1"/>
  <c r="AL29" i="10"/>
  <c r="AN29" i="10" s="1"/>
  <c r="AL25" i="10"/>
  <c r="AL21" i="10"/>
  <c r="AN21" i="10" s="1"/>
  <c r="AL17" i="10"/>
  <c r="AN17" i="10" s="1"/>
  <c r="AL13" i="10"/>
  <c r="AN13" i="10" s="1"/>
  <c r="AL51" i="10"/>
  <c r="AN51" i="10" s="1"/>
  <c r="AL55" i="10"/>
  <c r="AN55" i="10" s="1"/>
  <c r="AN56" i="10"/>
  <c r="AN46" i="10"/>
  <c r="AN42" i="10"/>
  <c r="AN34" i="10"/>
  <c r="AN30" i="10"/>
  <c r="AN26" i="10"/>
  <c r="AL22" i="10"/>
  <c r="AL18" i="10"/>
  <c r="AL14" i="10"/>
  <c r="AN14" i="10" s="1"/>
  <c r="Z49" i="9"/>
  <c r="AH49" i="10" s="1"/>
  <c r="AH50" i="10"/>
  <c r="AL50" i="10"/>
  <c r="AN40" i="10"/>
  <c r="AN39" i="10"/>
  <c r="AN36" i="10"/>
  <c r="AN35" i="10"/>
  <c r="AN32" i="10"/>
  <c r="AN31" i="10"/>
  <c r="AN25" i="10"/>
  <c r="AN24" i="10"/>
  <c r="AN23" i="10"/>
  <c r="AN20" i="10"/>
  <c r="AN19" i="10"/>
  <c r="AN16" i="10"/>
  <c r="AA49" i="9"/>
  <c r="AI49" i="10" s="1"/>
  <c r="AI50" i="10"/>
  <c r="AE49" i="9"/>
  <c r="AE8" i="9" s="1"/>
  <c r="AL53" i="10"/>
  <c r="AN53" i="10" s="1"/>
  <c r="AF49" i="9"/>
  <c r="AM49" i="10" s="1"/>
  <c r="AF9" i="9"/>
  <c r="AD9" i="9"/>
  <c r="R8" i="9"/>
  <c r="Z8" i="10" s="1"/>
  <c r="U8" i="9"/>
  <c r="AC8" i="10" s="1"/>
  <c r="S8" i="9"/>
  <c r="AA8" i="10" s="1"/>
  <c r="W9" i="9"/>
  <c r="V9" i="9"/>
  <c r="L8" i="9"/>
  <c r="L8" i="10" s="1"/>
  <c r="O9" i="9"/>
  <c r="O8" i="9" s="1"/>
  <c r="N9" i="9"/>
  <c r="P9" i="9"/>
  <c r="P56" i="8"/>
  <c r="Q56" i="8" s="1"/>
  <c r="R56" i="8" s="1"/>
  <c r="O55" i="8"/>
  <c r="P49" i="8"/>
  <c r="Q49" i="8" s="1"/>
  <c r="R49" i="8" s="1"/>
  <c r="O48" i="8"/>
  <c r="P42" i="8"/>
  <c r="Q42" i="8" s="1"/>
  <c r="R42" i="8" s="1"/>
  <c r="O41" i="8"/>
  <c r="P35" i="8"/>
  <c r="Q35" i="8" s="1"/>
  <c r="R35" i="8" s="1"/>
  <c r="O34" i="8"/>
  <c r="P28" i="8"/>
  <c r="Q28" i="8" s="1"/>
  <c r="R28" i="8" s="1"/>
  <c r="O27" i="8"/>
  <c r="P21" i="8"/>
  <c r="Q21" i="8" s="1"/>
  <c r="R21" i="8" s="1"/>
  <c r="O20" i="8"/>
  <c r="P14" i="8"/>
  <c r="Q14" i="8" s="1"/>
  <c r="R14" i="8" s="1"/>
  <c r="O13" i="8"/>
  <c r="D9" i="8"/>
  <c r="D8" i="8"/>
  <c r="K7" i="8"/>
  <c r="I7" i="8"/>
  <c r="H6" i="8"/>
  <c r="AN38" i="10" l="1"/>
  <c r="W8" i="9"/>
  <c r="X8" i="9"/>
  <c r="AE8" i="10" s="1"/>
  <c r="U49" i="10"/>
  <c r="V17" i="10"/>
  <c r="N49" i="10"/>
  <c r="V23" i="10"/>
  <c r="AT23" i="10" s="1"/>
  <c r="R49" i="10"/>
  <c r="AT22" i="10"/>
  <c r="AT43" i="10"/>
  <c r="AT35" i="10"/>
  <c r="M8" i="9"/>
  <c r="M8" i="10" s="1"/>
  <c r="P44" i="10"/>
  <c r="V21" i="10"/>
  <c r="X21" i="10" s="1"/>
  <c r="AD49" i="10"/>
  <c r="AT11" i="10"/>
  <c r="AT19" i="10"/>
  <c r="AT27" i="10"/>
  <c r="V14" i="10"/>
  <c r="AT14" i="10" s="1"/>
  <c r="V30" i="10"/>
  <c r="V48" i="10"/>
  <c r="AT48" i="10" s="1"/>
  <c r="V38" i="10"/>
  <c r="X38" i="10" s="1"/>
  <c r="AF44" i="10"/>
  <c r="H11" i="10"/>
  <c r="AR41" i="10"/>
  <c r="V24" i="10"/>
  <c r="AT24" i="10" s="1"/>
  <c r="V40" i="10"/>
  <c r="AT40" i="10" s="1"/>
  <c r="AT46" i="10"/>
  <c r="V42" i="10"/>
  <c r="V47" i="10"/>
  <c r="AT47" i="10" s="1"/>
  <c r="V20" i="10"/>
  <c r="X20" i="10" s="1"/>
  <c r="H15" i="10"/>
  <c r="G8" i="9"/>
  <c r="P32" i="10"/>
  <c r="AT20" i="10"/>
  <c r="K8" i="9"/>
  <c r="K8" i="10" s="1"/>
  <c r="H47" i="10"/>
  <c r="P16" i="10"/>
  <c r="AS49" i="10"/>
  <c r="AT44" i="10"/>
  <c r="P52" i="10"/>
  <c r="H54" i="10"/>
  <c r="AT30" i="10"/>
  <c r="AT51" i="10"/>
  <c r="V34" i="10"/>
  <c r="AT34" i="10" s="1"/>
  <c r="V10" i="10"/>
  <c r="AT10" i="10" s="1"/>
  <c r="AT16" i="10"/>
  <c r="P53" i="10"/>
  <c r="AA8" i="9"/>
  <c r="AI8" i="10" s="1"/>
  <c r="V25" i="10"/>
  <c r="AT25" i="10" s="1"/>
  <c r="AR50" i="10"/>
  <c r="P34" i="10"/>
  <c r="AT36" i="10"/>
  <c r="P24" i="10"/>
  <c r="V18" i="10"/>
  <c r="X18" i="10" s="1"/>
  <c r="J8" i="9"/>
  <c r="J8" i="10" s="1"/>
  <c r="AC8" i="9"/>
  <c r="AK8" i="10" s="1"/>
  <c r="Z8" i="9"/>
  <c r="AH8" i="10" s="1"/>
  <c r="AT18" i="10"/>
  <c r="P10" i="10"/>
  <c r="V13" i="10"/>
  <c r="AT13" i="10" s="1"/>
  <c r="V33" i="10"/>
  <c r="AT33" i="10" s="1"/>
  <c r="V56" i="10"/>
  <c r="AT56" i="10" s="1"/>
  <c r="AT32" i="10"/>
  <c r="AF10" i="10"/>
  <c r="P12" i="10"/>
  <c r="P28" i="10"/>
  <c r="AT38" i="10"/>
  <c r="V37" i="10"/>
  <c r="AT37" i="10" s="1"/>
  <c r="AT41" i="10"/>
  <c r="H49" i="10"/>
  <c r="AT26" i="10"/>
  <c r="AT42" i="10"/>
  <c r="AP49" i="10"/>
  <c r="N8" i="9"/>
  <c r="N8" i="10" s="1"/>
  <c r="N9" i="10"/>
  <c r="P9" i="10" s="1"/>
  <c r="AN22" i="10"/>
  <c r="AP51" i="10"/>
  <c r="X51" i="10"/>
  <c r="AL49" i="10"/>
  <c r="P51" i="10"/>
  <c r="D9" i="10"/>
  <c r="T9" i="10" s="1"/>
  <c r="AR9" i="10" s="1"/>
  <c r="D8" i="9"/>
  <c r="D8" i="10" s="1"/>
  <c r="T8" i="10" s="1"/>
  <c r="AP52" i="10"/>
  <c r="AQ50" i="10"/>
  <c r="AP21" i="10"/>
  <c r="AP29" i="10"/>
  <c r="E9" i="10"/>
  <c r="U9" i="10" s="1"/>
  <c r="AS9" i="10" s="1"/>
  <c r="E8" i="9"/>
  <c r="E8" i="10" s="1"/>
  <c r="U8" i="10" s="1"/>
  <c r="V55" i="10"/>
  <c r="AT55" i="10" s="1"/>
  <c r="AT12" i="10"/>
  <c r="AP48" i="10"/>
  <c r="AP54" i="10"/>
  <c r="X54" i="10"/>
  <c r="AP11" i="10"/>
  <c r="AV11" i="10" s="1"/>
  <c r="X11" i="10"/>
  <c r="AP23" i="10"/>
  <c r="H27" i="10"/>
  <c r="H39" i="10"/>
  <c r="H43" i="10"/>
  <c r="AP38" i="10"/>
  <c r="P50" i="10"/>
  <c r="AP22" i="10"/>
  <c r="AV22" i="10" s="1"/>
  <c r="X22" i="10"/>
  <c r="AP25" i="10"/>
  <c r="AT28" i="10"/>
  <c r="V8" i="9"/>
  <c r="AD8" i="10" s="1"/>
  <c r="AD9" i="10"/>
  <c r="T8" i="9"/>
  <c r="AB8" i="10" s="1"/>
  <c r="AD8" i="9"/>
  <c r="AL8" i="10" s="1"/>
  <c r="AL9" i="10"/>
  <c r="AN9" i="10" s="1"/>
  <c r="AB8" i="9"/>
  <c r="AJ8" i="10" s="1"/>
  <c r="AN50" i="10"/>
  <c r="AN18" i="10"/>
  <c r="G9" i="10"/>
  <c r="H8" i="9"/>
  <c r="G8" i="10" s="1"/>
  <c r="V52" i="10"/>
  <c r="AT52" i="10" s="1"/>
  <c r="AP17" i="10"/>
  <c r="X17" i="10"/>
  <c r="V29" i="10"/>
  <c r="AT29" i="10" s="1"/>
  <c r="AP45" i="10"/>
  <c r="X45" i="10"/>
  <c r="B9" i="10"/>
  <c r="B8" i="9"/>
  <c r="B8" i="10" s="1"/>
  <c r="AT50" i="10"/>
  <c r="AP16" i="10"/>
  <c r="X16" i="10"/>
  <c r="AP20" i="10"/>
  <c r="AP28" i="10"/>
  <c r="X28" i="10"/>
  <c r="AP44" i="10"/>
  <c r="AV44" i="10" s="1"/>
  <c r="X44" i="10"/>
  <c r="AF50" i="10"/>
  <c r="F9" i="10"/>
  <c r="F8" i="9"/>
  <c r="F8" i="10" s="1"/>
  <c r="AT54" i="10"/>
  <c r="H19" i="10"/>
  <c r="H23" i="10"/>
  <c r="S36" i="10"/>
  <c r="AQ36" i="10" s="1"/>
  <c r="R10" i="10"/>
  <c r="P49" i="10"/>
  <c r="C9" i="10"/>
  <c r="S9" i="10" s="1"/>
  <c r="AQ9" i="10" s="1"/>
  <c r="C8" i="9"/>
  <c r="C8" i="10" s="1"/>
  <c r="AP18" i="10"/>
  <c r="AP34" i="10"/>
  <c r="AP46" i="10"/>
  <c r="X46" i="10"/>
  <c r="AP13" i="10"/>
  <c r="AT17" i="10"/>
  <c r="AP33" i="10"/>
  <c r="X33" i="10"/>
  <c r="AT45" i="10"/>
  <c r="V49" i="10"/>
  <c r="AP55" i="10"/>
  <c r="R50" i="10"/>
  <c r="H50" i="10"/>
  <c r="AF49" i="10"/>
  <c r="P41" i="10"/>
  <c r="S49" i="10"/>
  <c r="AQ49" i="10" s="1"/>
  <c r="AP19" i="10"/>
  <c r="AV19" i="10" s="1"/>
  <c r="X19" i="10"/>
  <c r="T37" i="10"/>
  <c r="AR37" i="10" s="1"/>
  <c r="AP47" i="10"/>
  <c r="AV47" i="10" s="1"/>
  <c r="T49" i="10"/>
  <c r="AR49" i="10" s="1"/>
  <c r="AP53" i="10"/>
  <c r="X53" i="10"/>
  <c r="AP14" i="10"/>
  <c r="AR51" i="10"/>
  <c r="AP37" i="10"/>
  <c r="AP31" i="10"/>
  <c r="AV31" i="10" s="1"/>
  <c r="X31" i="10"/>
  <c r="AP30" i="10"/>
  <c r="X30" i="10"/>
  <c r="P8" i="9"/>
  <c r="O8" i="10" s="1"/>
  <c r="O9" i="10"/>
  <c r="AF8" i="9"/>
  <c r="AM8" i="10" s="1"/>
  <c r="AM9" i="10"/>
  <c r="AN49" i="10"/>
  <c r="AP56" i="10"/>
  <c r="AP41" i="10"/>
  <c r="AV41" i="10" s="1"/>
  <c r="X41" i="10"/>
  <c r="X12" i="10"/>
  <c r="AP12" i="10"/>
  <c r="AP32" i="10"/>
  <c r="X32" i="10"/>
  <c r="AP36" i="10"/>
  <c r="AP40" i="10"/>
  <c r="X40" i="10"/>
  <c r="AP15" i="10"/>
  <c r="AV15" i="10" s="1"/>
  <c r="X15" i="10"/>
  <c r="AP27" i="10"/>
  <c r="AV27" i="10" s="1"/>
  <c r="X27" i="10"/>
  <c r="AP35" i="10"/>
  <c r="AV35" i="10" s="1"/>
  <c r="X35" i="10"/>
  <c r="X39" i="10"/>
  <c r="AP39" i="10"/>
  <c r="AV39" i="10" s="1"/>
  <c r="AP43" i="10"/>
  <c r="AV43" i="10" s="1"/>
  <c r="X43" i="10"/>
  <c r="AF9" i="10"/>
  <c r="AU49" i="10"/>
  <c r="AT53" i="10"/>
  <c r="AP26" i="10"/>
  <c r="X26" i="10"/>
  <c r="AP42" i="10"/>
  <c r="AV42" i="10" s="1"/>
  <c r="X42" i="10"/>
  <c r="AP24" i="10"/>
  <c r="H31" i="10"/>
  <c r="X56" i="10" l="1"/>
  <c r="AV16" i="10"/>
  <c r="AV40" i="10"/>
  <c r="AV25" i="10"/>
  <c r="X24" i="10"/>
  <c r="X47" i="10"/>
  <c r="AV13" i="10"/>
  <c r="X34" i="10"/>
  <c r="V9" i="10"/>
  <c r="AT9" i="10" s="1"/>
  <c r="AT21" i="10"/>
  <c r="X23" i="10"/>
  <c r="X14" i="10"/>
  <c r="AT49" i="10"/>
  <c r="AV49" i="10" s="1"/>
  <c r="AV46" i="10"/>
  <c r="S8" i="10"/>
  <c r="AQ8" i="10" s="1"/>
  <c r="AV20" i="10"/>
  <c r="AF8" i="10"/>
  <c r="X25" i="10"/>
  <c r="X48" i="10"/>
  <c r="AS8" i="10"/>
  <c r="AV48" i="10"/>
  <c r="AV14" i="10"/>
  <c r="AV23" i="10"/>
  <c r="AV24" i="10"/>
  <c r="AV33" i="10"/>
  <c r="AV26" i="10"/>
  <c r="AV36" i="10"/>
  <c r="AV56" i="10"/>
  <c r="AV30" i="10"/>
  <c r="AV34" i="10"/>
  <c r="X36" i="10"/>
  <c r="AV12" i="10"/>
  <c r="X37" i="10"/>
  <c r="X13" i="10"/>
  <c r="AV38" i="10"/>
  <c r="AV18" i="10"/>
  <c r="P8" i="10"/>
  <c r="AV37" i="10"/>
  <c r="AV28" i="10"/>
  <c r="AN8" i="10"/>
  <c r="X55" i="10"/>
  <c r="AV32" i="10"/>
  <c r="AV55" i="10"/>
  <c r="V8" i="10"/>
  <c r="AT8" i="10" s="1"/>
  <c r="AV53" i="10"/>
  <c r="AP10" i="10"/>
  <c r="AV10" i="10" s="1"/>
  <c r="X10" i="10"/>
  <c r="AV45" i="10"/>
  <c r="W9" i="10"/>
  <c r="AU9" i="10" s="1"/>
  <c r="AV52" i="10"/>
  <c r="H8" i="10"/>
  <c r="R8" i="10"/>
  <c r="AV17" i="10"/>
  <c r="AV21" i="10"/>
  <c r="AR8" i="10"/>
  <c r="R9" i="10"/>
  <c r="H9" i="10"/>
  <c r="X29" i="10"/>
  <c r="AV51" i="10"/>
  <c r="X49" i="10"/>
  <c r="AP50" i="10"/>
  <c r="AV50" i="10" s="1"/>
  <c r="X50" i="10"/>
  <c r="W8" i="10"/>
  <c r="AU8" i="10" s="1"/>
  <c r="AV54" i="10"/>
  <c r="AV29" i="10"/>
  <c r="X52" i="10"/>
  <c r="W45" i="1"/>
  <c r="AU45" i="1" s="1"/>
  <c r="V45" i="1"/>
  <c r="U45" i="1"/>
  <c r="T45" i="1"/>
  <c r="AR45" i="1" s="1"/>
  <c r="S45" i="1"/>
  <c r="AQ45" i="1" s="1"/>
  <c r="R45" i="1"/>
  <c r="W44" i="1"/>
  <c r="V44" i="1"/>
  <c r="AT44" i="1" s="1"/>
  <c r="U44" i="1"/>
  <c r="AS44" i="1" s="1"/>
  <c r="T44" i="1"/>
  <c r="S44" i="1"/>
  <c r="AQ44" i="1" s="1"/>
  <c r="R44" i="1"/>
  <c r="W43" i="1"/>
  <c r="AU43" i="1" s="1"/>
  <c r="V43" i="1"/>
  <c r="U43" i="1"/>
  <c r="AS43" i="1" s="1"/>
  <c r="T43" i="1"/>
  <c r="AR43" i="1" s="1"/>
  <c r="S43" i="1"/>
  <c r="AQ43" i="1" s="1"/>
  <c r="R43" i="1"/>
  <c r="W42" i="1"/>
  <c r="AU42" i="1" s="1"/>
  <c r="V42" i="1"/>
  <c r="AT42" i="1" s="1"/>
  <c r="U42" i="1"/>
  <c r="AS42" i="1" s="1"/>
  <c r="T42" i="1"/>
  <c r="S42" i="1"/>
  <c r="R42" i="1"/>
  <c r="AP42" i="1" s="1"/>
  <c r="W41" i="1"/>
  <c r="AU41" i="1" s="1"/>
  <c r="V41" i="1"/>
  <c r="U41" i="1"/>
  <c r="AS41" i="1" s="1"/>
  <c r="T41" i="1"/>
  <c r="AR41" i="1" s="1"/>
  <c r="S41" i="1"/>
  <c r="AQ41" i="1" s="1"/>
  <c r="R41" i="1"/>
  <c r="W40" i="1"/>
  <c r="AU40" i="1" s="1"/>
  <c r="V40" i="1"/>
  <c r="AT40" i="1" s="1"/>
  <c r="U40" i="1"/>
  <c r="AS40" i="1" s="1"/>
  <c r="T40" i="1"/>
  <c r="S40" i="1"/>
  <c r="R40" i="1"/>
  <c r="AP40" i="1" s="1"/>
  <c r="W39" i="1"/>
  <c r="AU39" i="1" s="1"/>
  <c r="V39" i="1"/>
  <c r="U39" i="1"/>
  <c r="T39" i="1"/>
  <c r="AR39" i="1" s="1"/>
  <c r="S39" i="1"/>
  <c r="AQ39" i="1" s="1"/>
  <c r="R39" i="1"/>
  <c r="W38" i="1"/>
  <c r="AU38" i="1" s="1"/>
  <c r="V38" i="1"/>
  <c r="U38" i="1"/>
  <c r="AS38" i="1" s="1"/>
  <c r="T38" i="1"/>
  <c r="S38" i="1"/>
  <c r="AQ38" i="1" s="1"/>
  <c r="R38" i="1"/>
  <c r="AP38" i="1" s="1"/>
  <c r="W37" i="1"/>
  <c r="AU37" i="1" s="1"/>
  <c r="V37" i="1"/>
  <c r="U37" i="1"/>
  <c r="T37" i="1"/>
  <c r="AR37" i="1" s="1"/>
  <c r="S37" i="1"/>
  <c r="AQ37" i="1" s="1"/>
  <c r="R37" i="1"/>
  <c r="W36" i="1"/>
  <c r="AU36" i="1" s="1"/>
  <c r="V36" i="1"/>
  <c r="AT36" i="1" s="1"/>
  <c r="U36" i="1"/>
  <c r="AS36" i="1" s="1"/>
  <c r="T36" i="1"/>
  <c r="S36" i="1"/>
  <c r="AQ36" i="1" s="1"/>
  <c r="R36" i="1"/>
  <c r="W35" i="1"/>
  <c r="AU35" i="1" s="1"/>
  <c r="V35" i="1"/>
  <c r="U35" i="1"/>
  <c r="AS35" i="1" s="1"/>
  <c r="T35" i="1"/>
  <c r="AR35" i="1" s="1"/>
  <c r="S35" i="1"/>
  <c r="AQ35" i="1" s="1"/>
  <c r="R35" i="1"/>
  <c r="W34" i="1"/>
  <c r="V34" i="1"/>
  <c r="AT34" i="1" s="1"/>
  <c r="U34" i="1"/>
  <c r="AS34" i="1" s="1"/>
  <c r="T34" i="1"/>
  <c r="S34" i="1"/>
  <c r="R34" i="1"/>
  <c r="AP34" i="1" s="1"/>
  <c r="W33" i="1"/>
  <c r="AU33" i="1" s="1"/>
  <c r="V33" i="1"/>
  <c r="U33" i="1"/>
  <c r="AS33" i="1" s="1"/>
  <c r="T33" i="1"/>
  <c r="S33" i="1"/>
  <c r="AQ33" i="1" s="1"/>
  <c r="R33" i="1"/>
  <c r="W32" i="1"/>
  <c r="AU32" i="1" s="1"/>
  <c r="V32" i="1"/>
  <c r="AT32" i="1" s="1"/>
  <c r="U32" i="1"/>
  <c r="AS32" i="1" s="1"/>
  <c r="T32" i="1"/>
  <c r="S32" i="1"/>
  <c r="AQ32" i="1" s="1"/>
  <c r="R32" i="1"/>
  <c r="AP32" i="1" s="1"/>
  <c r="W31" i="1"/>
  <c r="AU31" i="1" s="1"/>
  <c r="V31" i="1"/>
  <c r="U31" i="1"/>
  <c r="T31" i="1"/>
  <c r="AR31" i="1" s="1"/>
  <c r="S31" i="1"/>
  <c r="AQ31" i="1" s="1"/>
  <c r="R31" i="1"/>
  <c r="W30" i="1"/>
  <c r="AU30" i="1" s="1"/>
  <c r="V30" i="1"/>
  <c r="AT30" i="1" s="1"/>
  <c r="U30" i="1"/>
  <c r="AS30" i="1" s="1"/>
  <c r="T30" i="1"/>
  <c r="S30" i="1"/>
  <c r="AQ30" i="1" s="1"/>
  <c r="R30" i="1"/>
  <c r="AP30" i="1" s="1"/>
  <c r="W29" i="1"/>
  <c r="AU29" i="1" s="1"/>
  <c r="V29" i="1"/>
  <c r="U29" i="1"/>
  <c r="T29" i="1"/>
  <c r="AR29" i="1" s="1"/>
  <c r="S29" i="1"/>
  <c r="AQ29" i="1" s="1"/>
  <c r="R29" i="1"/>
  <c r="W27" i="1"/>
  <c r="AU27" i="1" s="1"/>
  <c r="V27" i="1"/>
  <c r="AT27" i="1" s="1"/>
  <c r="U27" i="1"/>
  <c r="T27" i="1"/>
  <c r="S27" i="1"/>
  <c r="AQ27" i="1" s="1"/>
  <c r="R27" i="1"/>
  <c r="AP27" i="1" s="1"/>
  <c r="W26" i="1"/>
  <c r="V26" i="1"/>
  <c r="U26" i="1"/>
  <c r="T26" i="1"/>
  <c r="AR26" i="1" s="1"/>
  <c r="S26" i="1"/>
  <c r="R26" i="1"/>
  <c r="W25" i="1"/>
  <c r="AU25" i="1" s="1"/>
  <c r="V25" i="1"/>
  <c r="U25" i="1"/>
  <c r="AS25" i="1" s="1"/>
  <c r="T25" i="1"/>
  <c r="S25" i="1"/>
  <c r="AQ25" i="1" s="1"/>
  <c r="R25" i="1"/>
  <c r="AP25" i="1" s="1"/>
  <c r="W24" i="1"/>
  <c r="V24" i="1"/>
  <c r="U24" i="1"/>
  <c r="AS24" i="1" s="1"/>
  <c r="T24" i="1"/>
  <c r="AR24" i="1" s="1"/>
  <c r="S24" i="1"/>
  <c r="AQ24" i="1" s="1"/>
  <c r="R24" i="1"/>
  <c r="W23" i="1"/>
  <c r="AU23" i="1" s="1"/>
  <c r="V23" i="1"/>
  <c r="U23" i="1"/>
  <c r="T23" i="1"/>
  <c r="S23" i="1"/>
  <c r="AQ23" i="1" s="1"/>
  <c r="R23" i="1"/>
  <c r="AP23" i="1" s="1"/>
  <c r="W22" i="1"/>
  <c r="AU22" i="1" s="1"/>
  <c r="V22" i="1"/>
  <c r="U22" i="1"/>
  <c r="AS22" i="1" s="1"/>
  <c r="T22" i="1"/>
  <c r="AR22" i="1" s="1"/>
  <c r="S22" i="1"/>
  <c r="R22" i="1"/>
  <c r="W21" i="1"/>
  <c r="AU21" i="1" s="1"/>
  <c r="V21" i="1"/>
  <c r="U21" i="1"/>
  <c r="AS21" i="1" s="1"/>
  <c r="T21" i="1"/>
  <c r="S21" i="1"/>
  <c r="AQ21" i="1" s="1"/>
  <c r="R21" i="1"/>
  <c r="AP21" i="1" s="1"/>
  <c r="W20" i="1"/>
  <c r="V20" i="1"/>
  <c r="U20" i="1"/>
  <c r="AS20" i="1" s="1"/>
  <c r="T20" i="1"/>
  <c r="AR20" i="1" s="1"/>
  <c r="S20" i="1"/>
  <c r="AQ20" i="1" s="1"/>
  <c r="R20" i="1"/>
  <c r="W19" i="1"/>
  <c r="AU19" i="1" s="1"/>
  <c r="V19" i="1"/>
  <c r="U19" i="1"/>
  <c r="T19" i="1"/>
  <c r="S19" i="1"/>
  <c r="AQ19" i="1" s="1"/>
  <c r="R19" i="1"/>
  <c r="AP19" i="1" s="1"/>
  <c r="W18" i="1"/>
  <c r="AU18" i="1" s="1"/>
  <c r="V18" i="1"/>
  <c r="U18" i="1"/>
  <c r="AS18" i="1" s="1"/>
  <c r="T18" i="1"/>
  <c r="AR18" i="1" s="1"/>
  <c r="S18" i="1"/>
  <c r="R18" i="1"/>
  <c r="W17" i="1"/>
  <c r="AU17" i="1" s="1"/>
  <c r="V17" i="1"/>
  <c r="U17" i="1"/>
  <c r="AS17" i="1" s="1"/>
  <c r="T17" i="1"/>
  <c r="S17" i="1"/>
  <c r="AQ17" i="1" s="1"/>
  <c r="R17" i="1"/>
  <c r="AP17" i="1" s="1"/>
  <c r="W16" i="1"/>
  <c r="V16" i="1"/>
  <c r="U16" i="1"/>
  <c r="AS16" i="1" s="1"/>
  <c r="T16" i="1"/>
  <c r="AR16" i="1" s="1"/>
  <c r="S16" i="1"/>
  <c r="AQ16" i="1" s="1"/>
  <c r="R16" i="1"/>
  <c r="W15" i="1"/>
  <c r="AU15" i="1" s="1"/>
  <c r="V15" i="1"/>
  <c r="U15" i="1"/>
  <c r="T15" i="1"/>
  <c r="S15" i="1"/>
  <c r="AQ15" i="1" s="1"/>
  <c r="R15" i="1"/>
  <c r="AP15" i="1" s="1"/>
  <c r="W14" i="1"/>
  <c r="AU14" i="1" s="1"/>
  <c r="V14" i="1"/>
  <c r="U14" i="1"/>
  <c r="AS14" i="1" s="1"/>
  <c r="T14" i="1"/>
  <c r="AR14" i="1" s="1"/>
  <c r="S14" i="1"/>
  <c r="R14" i="1"/>
  <c r="W13" i="1"/>
  <c r="AU13" i="1" s="1"/>
  <c r="V13" i="1"/>
  <c r="U13" i="1"/>
  <c r="AS13" i="1" s="1"/>
  <c r="T13" i="1"/>
  <c r="S13" i="1"/>
  <c r="AQ13" i="1" s="1"/>
  <c r="R13" i="1"/>
  <c r="AP13" i="1" s="1"/>
  <c r="W12" i="1"/>
  <c r="V12" i="1"/>
  <c r="U12" i="1"/>
  <c r="AS12" i="1" s="1"/>
  <c r="T12" i="1"/>
  <c r="AR12" i="1" s="1"/>
  <c r="S12" i="1"/>
  <c r="AQ12" i="1" s="1"/>
  <c r="R12" i="1"/>
  <c r="W11" i="1"/>
  <c r="AU11" i="1" s="1"/>
  <c r="V11" i="1"/>
  <c r="U11" i="1"/>
  <c r="T11" i="1"/>
  <c r="S11" i="1"/>
  <c r="AQ11" i="1" s="1"/>
  <c r="R11" i="1"/>
  <c r="AP11" i="1" s="1"/>
  <c r="W10" i="1"/>
  <c r="AU10" i="1" s="1"/>
  <c r="V10" i="1"/>
  <c r="U10" i="1"/>
  <c r="AS10" i="1" s="1"/>
  <c r="T10" i="1"/>
  <c r="AR10" i="1" s="1"/>
  <c r="S10" i="1"/>
  <c r="R10" i="1"/>
  <c r="W9" i="1"/>
  <c r="AU9" i="1" s="1"/>
  <c r="V9" i="1"/>
  <c r="U9" i="1"/>
  <c r="AS9" i="1" s="1"/>
  <c r="T9" i="1"/>
  <c r="S9" i="1"/>
  <c r="AQ9" i="1" s="1"/>
  <c r="R9" i="1"/>
  <c r="AP9" i="1" s="1"/>
  <c r="W8" i="1"/>
  <c r="V8" i="1"/>
  <c r="U8" i="1"/>
  <c r="AS8" i="1" s="1"/>
  <c r="T8" i="1"/>
  <c r="AR8" i="1" s="1"/>
  <c r="S8" i="1"/>
  <c r="AQ8" i="1" s="1"/>
  <c r="R8" i="1"/>
  <c r="W7" i="1"/>
  <c r="AU7" i="1" s="1"/>
  <c r="V7" i="1"/>
  <c r="AT7" i="1" s="1"/>
  <c r="U7" i="1"/>
  <c r="T7" i="1"/>
  <c r="S7" i="1"/>
  <c r="AQ7" i="1" s="1"/>
  <c r="R7" i="1"/>
  <c r="AP7" i="1" s="1"/>
  <c r="R47" i="1"/>
  <c r="AP47" i="1" s="1"/>
  <c r="S47" i="1"/>
  <c r="T47" i="1"/>
  <c r="U47" i="1"/>
  <c r="V47" i="1"/>
  <c r="AT47" i="1" s="1"/>
  <c r="W47" i="1"/>
  <c r="R48" i="1"/>
  <c r="AP48" i="1" s="1"/>
  <c r="S48" i="1"/>
  <c r="AQ48" i="1" s="1"/>
  <c r="T48" i="1"/>
  <c r="AR48" i="1" s="1"/>
  <c r="U48" i="1"/>
  <c r="V48" i="1"/>
  <c r="AT48" i="1" s="1"/>
  <c r="W48" i="1"/>
  <c r="R49" i="1"/>
  <c r="AP49" i="1" s="1"/>
  <c r="S49" i="1"/>
  <c r="T49" i="1"/>
  <c r="AR49" i="1" s="1"/>
  <c r="U49" i="1"/>
  <c r="AS49" i="1" s="1"/>
  <c r="V49" i="1"/>
  <c r="AT49" i="1" s="1"/>
  <c r="W49" i="1"/>
  <c r="R50" i="1"/>
  <c r="AP50" i="1" s="1"/>
  <c r="S50" i="1"/>
  <c r="AQ50" i="1" s="1"/>
  <c r="T50" i="1"/>
  <c r="AR50" i="1" s="1"/>
  <c r="U50" i="1"/>
  <c r="V50" i="1"/>
  <c r="W50" i="1"/>
  <c r="AU50" i="1" s="1"/>
  <c r="R51" i="1"/>
  <c r="AP51" i="1" s="1"/>
  <c r="S51" i="1"/>
  <c r="T51" i="1"/>
  <c r="AR51" i="1" s="1"/>
  <c r="U51" i="1"/>
  <c r="AS51" i="1" s="1"/>
  <c r="V51" i="1"/>
  <c r="AT51" i="1" s="1"/>
  <c r="W51" i="1"/>
  <c r="R52" i="1"/>
  <c r="AP52" i="1" s="1"/>
  <c r="S52" i="1"/>
  <c r="AQ52" i="1" s="1"/>
  <c r="T52" i="1"/>
  <c r="AR52" i="1" s="1"/>
  <c r="U52" i="1"/>
  <c r="V52" i="1"/>
  <c r="AT52" i="1" s="1"/>
  <c r="W52" i="1"/>
  <c r="AU52" i="1" s="1"/>
  <c r="S53" i="1"/>
  <c r="T53" i="1"/>
  <c r="U53" i="1"/>
  <c r="AS53" i="1" s="1"/>
  <c r="V53" i="1"/>
  <c r="AT53" i="1" s="1"/>
  <c r="W53" i="1"/>
  <c r="R53" i="1"/>
  <c r="AU53" i="1"/>
  <c r="AR53" i="1"/>
  <c r="AQ53" i="1"/>
  <c r="AP53" i="1"/>
  <c r="AS52" i="1"/>
  <c r="AU51" i="1"/>
  <c r="AQ51" i="1"/>
  <c r="AT50" i="1"/>
  <c r="AS50" i="1"/>
  <c r="AU49" i="1"/>
  <c r="AQ49" i="1"/>
  <c r="AU48" i="1"/>
  <c r="AS48" i="1"/>
  <c r="AU47" i="1"/>
  <c r="AR47" i="1"/>
  <c r="AQ47" i="1"/>
  <c r="AP29" i="1"/>
  <c r="AS29" i="1"/>
  <c r="AT29" i="1"/>
  <c r="AR30" i="1"/>
  <c r="AP31" i="1"/>
  <c r="AS31" i="1"/>
  <c r="AT31" i="1"/>
  <c r="AR32" i="1"/>
  <c r="AP33" i="1"/>
  <c r="AR33" i="1"/>
  <c r="AT33" i="1"/>
  <c r="AQ34" i="1"/>
  <c r="AR34" i="1"/>
  <c r="AU34" i="1"/>
  <c r="AP35" i="1"/>
  <c r="AT35" i="1"/>
  <c r="AP36" i="1"/>
  <c r="AR36" i="1"/>
  <c r="AP37" i="1"/>
  <c r="AS37" i="1"/>
  <c r="AT37" i="1"/>
  <c r="AR38" i="1"/>
  <c r="AT38" i="1"/>
  <c r="AP39" i="1"/>
  <c r="AS39" i="1"/>
  <c r="AT39" i="1"/>
  <c r="AQ40" i="1"/>
  <c r="AR40" i="1"/>
  <c r="AP41" i="1"/>
  <c r="AT41" i="1"/>
  <c r="AQ42" i="1"/>
  <c r="AR42" i="1"/>
  <c r="AP43" i="1"/>
  <c r="AT43" i="1"/>
  <c r="AP44" i="1"/>
  <c r="AR44" i="1"/>
  <c r="AU44" i="1"/>
  <c r="AP45" i="1"/>
  <c r="AS45" i="1"/>
  <c r="AT45" i="1"/>
  <c r="AR7" i="1"/>
  <c r="AS7" i="1"/>
  <c r="AT8" i="1"/>
  <c r="AU8" i="1"/>
  <c r="AR9" i="1"/>
  <c r="AT9" i="1"/>
  <c r="AQ10" i="1"/>
  <c r="AT10" i="1"/>
  <c r="AR11" i="1"/>
  <c r="AS11" i="1"/>
  <c r="AT11" i="1"/>
  <c r="AT12" i="1"/>
  <c r="AU12" i="1"/>
  <c r="AR13" i="1"/>
  <c r="AT13" i="1"/>
  <c r="AQ14" i="1"/>
  <c r="AT14" i="1"/>
  <c r="AR15" i="1"/>
  <c r="AS15" i="1"/>
  <c r="AT15" i="1"/>
  <c r="AT16" i="1"/>
  <c r="AU16" i="1"/>
  <c r="AR17" i="1"/>
  <c r="AT17" i="1"/>
  <c r="AQ18" i="1"/>
  <c r="AT18" i="1"/>
  <c r="AR19" i="1"/>
  <c r="AS19" i="1"/>
  <c r="AT19" i="1"/>
  <c r="AT20" i="1"/>
  <c r="AU20" i="1"/>
  <c r="AR21" i="1"/>
  <c r="AT21" i="1"/>
  <c r="AQ22" i="1"/>
  <c r="AT22" i="1"/>
  <c r="AR23" i="1"/>
  <c r="AS23" i="1"/>
  <c r="AT23" i="1"/>
  <c r="AT24" i="1"/>
  <c r="AU24" i="1"/>
  <c r="AR25" i="1"/>
  <c r="AT25" i="1"/>
  <c r="AQ26" i="1"/>
  <c r="AS26" i="1"/>
  <c r="AT26" i="1"/>
  <c r="AU26" i="1"/>
  <c r="AR27" i="1"/>
  <c r="AS27" i="1"/>
  <c r="AP8" i="1"/>
  <c r="AP10" i="1"/>
  <c r="AP12" i="1"/>
  <c r="AP14" i="1"/>
  <c r="AP16" i="1"/>
  <c r="AP18" i="1"/>
  <c r="AP20" i="1"/>
  <c r="AP22" i="1"/>
  <c r="AP24" i="1"/>
  <c r="AP26" i="1"/>
  <c r="AM6" i="1"/>
  <c r="AI6" i="1"/>
  <c r="AJ6" i="1"/>
  <c r="AK6" i="1"/>
  <c r="AL6" i="1"/>
  <c r="AL5" i="1" s="1"/>
  <c r="AH6" i="1"/>
  <c r="Z6" i="1"/>
  <c r="K6" i="1"/>
  <c r="L6" i="1"/>
  <c r="M6" i="1"/>
  <c r="V28" i="1"/>
  <c r="O6" i="1"/>
  <c r="J6" i="1"/>
  <c r="J5" i="1" s="1"/>
  <c r="D6" i="1"/>
  <c r="AM46" i="1"/>
  <c r="AL46" i="1"/>
  <c r="AK46" i="1"/>
  <c r="AJ46" i="1"/>
  <c r="AI46" i="1"/>
  <c r="AH46" i="1"/>
  <c r="AE46" i="1"/>
  <c r="AD46" i="1"/>
  <c r="AC46" i="1"/>
  <c r="AB46" i="1"/>
  <c r="AA46" i="1"/>
  <c r="Z46" i="1"/>
  <c r="W46" i="1"/>
  <c r="R46" i="1"/>
  <c r="O46" i="1"/>
  <c r="N46" i="1"/>
  <c r="M46" i="1"/>
  <c r="L46" i="1"/>
  <c r="K46" i="1"/>
  <c r="J46" i="1"/>
  <c r="G46" i="1"/>
  <c r="G5" i="1" s="1"/>
  <c r="F46" i="1"/>
  <c r="E46" i="1"/>
  <c r="D46" i="1"/>
  <c r="C46" i="1"/>
  <c r="B46" i="1"/>
  <c r="G6" i="1"/>
  <c r="F6" i="1"/>
  <c r="C6" i="1"/>
  <c r="B6" i="1"/>
  <c r="B5" i="1" s="1"/>
  <c r="N6" i="1"/>
  <c r="AE6" i="1"/>
  <c r="AE5" i="1" s="1"/>
  <c r="AD6" i="1"/>
  <c r="AD5" i="1" s="1"/>
  <c r="AC6" i="1"/>
  <c r="AB6" i="1"/>
  <c r="AA6" i="1"/>
  <c r="AA5" i="1" s="1"/>
  <c r="AC5" i="1"/>
  <c r="AB5" i="1"/>
  <c r="T46" i="1" l="1"/>
  <c r="N5" i="1"/>
  <c r="U46" i="1"/>
  <c r="AX11" i="1"/>
  <c r="AX42" i="1"/>
  <c r="U28" i="1"/>
  <c r="AS28" i="1" s="1"/>
  <c r="AS6" i="1" s="1"/>
  <c r="AP9" i="10"/>
  <c r="AV9" i="10" s="1"/>
  <c r="X9" i="10"/>
  <c r="AP8" i="10"/>
  <c r="AV8" i="10" s="1"/>
  <c r="X8" i="10"/>
  <c r="AM5" i="1"/>
  <c r="S46" i="1"/>
  <c r="AX12" i="1"/>
  <c r="AX17" i="1"/>
  <c r="AX24" i="1"/>
  <c r="M5" i="1"/>
  <c r="V6" i="1"/>
  <c r="Z5" i="1"/>
  <c r="AS47" i="1"/>
  <c r="AS46" i="1" s="1"/>
  <c r="L5" i="1"/>
  <c r="AX22" i="1"/>
  <c r="AI5" i="1"/>
  <c r="D5" i="1"/>
  <c r="AH5" i="1"/>
  <c r="AX29" i="1"/>
  <c r="AX30" i="1"/>
  <c r="AX31" i="1"/>
  <c r="AX32" i="1"/>
  <c r="AX33" i="1"/>
  <c r="AX34" i="1"/>
  <c r="AX35" i="1"/>
  <c r="AX37" i="1"/>
  <c r="AX39" i="1"/>
  <c r="AX40" i="1"/>
  <c r="AX41" i="1"/>
  <c r="AX43" i="1"/>
  <c r="AX44" i="1"/>
  <c r="AX45" i="1"/>
  <c r="AT28" i="1"/>
  <c r="AT6" i="1" s="1"/>
  <c r="S28" i="1"/>
  <c r="S6" i="1" s="1"/>
  <c r="W28" i="1"/>
  <c r="AU28" i="1" s="1"/>
  <c r="AU6" i="1" s="1"/>
  <c r="T28" i="1"/>
  <c r="R28" i="1"/>
  <c r="R6" i="1" s="1"/>
  <c r="E6" i="1"/>
  <c r="E5" i="1" s="1"/>
  <c r="AK5" i="1"/>
  <c r="AX10" i="1"/>
  <c r="AX13" i="1"/>
  <c r="AX9" i="1"/>
  <c r="AX38" i="1"/>
  <c r="AX36" i="1"/>
  <c r="AX8" i="1"/>
  <c r="AX26" i="1"/>
  <c r="AX18" i="1"/>
  <c r="AX14" i="1"/>
  <c r="AX25" i="1"/>
  <c r="AZ25" i="1" s="1"/>
  <c r="AX21" i="1"/>
  <c r="AX20" i="1"/>
  <c r="AX16" i="1"/>
  <c r="AR46" i="1"/>
  <c r="AX48" i="1"/>
  <c r="AX49" i="1"/>
  <c r="AX50" i="1"/>
  <c r="AX51" i="1"/>
  <c r="AX52" i="1"/>
  <c r="V46" i="1"/>
  <c r="AT46" i="1"/>
  <c r="AQ46" i="1"/>
  <c r="AU46" i="1"/>
  <c r="AX53" i="1"/>
  <c r="AP46" i="1"/>
  <c r="AX27" i="1"/>
  <c r="AX23" i="1"/>
  <c r="AX19" i="1"/>
  <c r="AX15" i="1"/>
  <c r="AX7" i="1"/>
  <c r="C5" i="1"/>
  <c r="AJ5" i="1"/>
  <c r="K5" i="1"/>
  <c r="O5" i="1"/>
  <c r="W5" i="1" s="1"/>
  <c r="F5" i="1"/>
  <c r="R5" i="1"/>
  <c r="V5" i="1" l="1"/>
  <c r="AT5" i="1" s="1"/>
  <c r="AX47" i="1"/>
  <c r="T5" i="1"/>
  <c r="AR5" i="1" s="1"/>
  <c r="U6" i="1"/>
  <c r="AU5" i="1"/>
  <c r="AP5" i="1"/>
  <c r="S5" i="1"/>
  <c r="AQ5" i="1" s="1"/>
  <c r="U5" i="1"/>
  <c r="AS5" i="1" s="1"/>
  <c r="AQ28" i="1"/>
  <c r="AQ6" i="1" s="1"/>
  <c r="AP28" i="1"/>
  <c r="AP6" i="1" s="1"/>
  <c r="W6" i="1"/>
  <c r="T6" i="1"/>
  <c r="AR28" i="1"/>
  <c r="AX46" i="1"/>
  <c r="AX5" i="1" l="1"/>
  <c r="AX28" i="1"/>
  <c r="AR6" i="1"/>
  <c r="AX6" i="1" s="1"/>
  <c r="A4" i="4"/>
  <c r="AM45" i="3"/>
  <c r="AK45" i="3"/>
  <c r="AJ45" i="3"/>
  <c r="AI45" i="3"/>
  <c r="AH45" i="3"/>
  <c r="AE45" i="3"/>
  <c r="AC45" i="3"/>
  <c r="AB45" i="3"/>
  <c r="AA45" i="3"/>
  <c r="Z45" i="3"/>
  <c r="AC45" i="4"/>
  <c r="AK45" i="4"/>
  <c r="AA45" i="4"/>
  <c r="AB45" i="4"/>
  <c r="AJ45" i="4"/>
  <c r="Z45" i="4"/>
  <c r="AI45" i="4"/>
  <c r="AM45" i="4"/>
  <c r="AL45" i="3" l="1"/>
  <c r="AN45" i="3" s="1"/>
  <c r="AD45" i="3"/>
  <c r="AI45" i="5"/>
  <c r="AJ45" i="5"/>
  <c r="AK45" i="5"/>
  <c r="AM45" i="5"/>
  <c r="Z45" i="5"/>
  <c r="AA45" i="5"/>
  <c r="AB45" i="5"/>
  <c r="AC45" i="5"/>
  <c r="J45" i="3"/>
  <c r="K45" i="3"/>
  <c r="L45" i="3"/>
  <c r="M45" i="3"/>
  <c r="N45" i="3"/>
  <c r="O45" i="3"/>
  <c r="AH45" i="4"/>
  <c r="AD45" i="4"/>
  <c r="J45" i="4"/>
  <c r="AL45" i="4"/>
  <c r="K45" i="4"/>
  <c r="AE45" i="4"/>
  <c r="AD45" i="5" l="1"/>
  <c r="AF45" i="4"/>
  <c r="AF45" i="5" s="1"/>
  <c r="AL45" i="5"/>
  <c r="K45" i="5"/>
  <c r="AE45" i="5"/>
  <c r="J45" i="5"/>
  <c r="AH45" i="5"/>
  <c r="AF45" i="3"/>
  <c r="P45" i="3"/>
  <c r="AN45" i="4"/>
  <c r="AN45" i="5" s="1"/>
  <c r="B45" i="3"/>
  <c r="C45" i="3"/>
  <c r="D45" i="3"/>
  <c r="T45" i="3" s="1"/>
  <c r="E45" i="3"/>
  <c r="F45" i="3"/>
  <c r="G45" i="3"/>
  <c r="AM56" i="3"/>
  <c r="AM55" i="3"/>
  <c r="AM54" i="3"/>
  <c r="AM53" i="3"/>
  <c r="AM52" i="3"/>
  <c r="AM51" i="3"/>
  <c r="AM50" i="3"/>
  <c r="AM48" i="3"/>
  <c r="AM47" i="3"/>
  <c r="AM46"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L43" i="3"/>
  <c r="AL39" i="3"/>
  <c r="AL35" i="3"/>
  <c r="AL27" i="3"/>
  <c r="AL23" i="3"/>
  <c r="AL19" i="3"/>
  <c r="AL15" i="3"/>
  <c r="AL13" i="3"/>
  <c r="AL11" i="3"/>
  <c r="AK56" i="3"/>
  <c r="AK55" i="3"/>
  <c r="AK54" i="3"/>
  <c r="AK53" i="3"/>
  <c r="AK52" i="3"/>
  <c r="AK51" i="3"/>
  <c r="AK50" i="3"/>
  <c r="AK48" i="3"/>
  <c r="AK47" i="3"/>
  <c r="AK46"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K10" i="3"/>
  <c r="AJ56" i="3"/>
  <c r="AJ55" i="3"/>
  <c r="AJ54" i="3"/>
  <c r="AJ53" i="3"/>
  <c r="AJ52" i="3"/>
  <c r="AJ51" i="3"/>
  <c r="AJ50" i="3"/>
  <c r="AJ48" i="3"/>
  <c r="AJ47" i="3"/>
  <c r="AJ46"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AJ16" i="3"/>
  <c r="AJ15" i="3"/>
  <c r="AJ14" i="3"/>
  <c r="AJ13" i="3"/>
  <c r="AJ12" i="3"/>
  <c r="AJ11" i="3"/>
  <c r="AJ10" i="3"/>
  <c r="AI56" i="3"/>
  <c r="AI55" i="3"/>
  <c r="AI54" i="3"/>
  <c r="AI53" i="3"/>
  <c r="AI51" i="3"/>
  <c r="AI50" i="3"/>
  <c r="AI48" i="3"/>
  <c r="AI47" i="3"/>
  <c r="AI46"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I10" i="3"/>
  <c r="AH56" i="3"/>
  <c r="AH55" i="3"/>
  <c r="AH54" i="3"/>
  <c r="AH53" i="3"/>
  <c r="AH52" i="3"/>
  <c r="AH51" i="3"/>
  <c r="AH50" i="3"/>
  <c r="AH48" i="3"/>
  <c r="AH47" i="3"/>
  <c r="AH46" i="3"/>
  <c r="AH44" i="3"/>
  <c r="AH43" i="3"/>
  <c r="AH42" i="3"/>
  <c r="AH41" i="3"/>
  <c r="AH40" i="3"/>
  <c r="AH39" i="3"/>
  <c r="AH38" i="3"/>
  <c r="AH37" i="3"/>
  <c r="AH36" i="3"/>
  <c r="AH35" i="3"/>
  <c r="AH34" i="3"/>
  <c r="AH33" i="3"/>
  <c r="AH32" i="3"/>
  <c r="AH31" i="3"/>
  <c r="AH30" i="3"/>
  <c r="AH29" i="3"/>
  <c r="AH28" i="3"/>
  <c r="AH27" i="3"/>
  <c r="AH26" i="3"/>
  <c r="AH25" i="3"/>
  <c r="AH24" i="3"/>
  <c r="AH23" i="3"/>
  <c r="AH22" i="3"/>
  <c r="AH21" i="3"/>
  <c r="AH20" i="3"/>
  <c r="AH19" i="3"/>
  <c r="AH18" i="3"/>
  <c r="AH17" i="3"/>
  <c r="AH16" i="3"/>
  <c r="AH15" i="3"/>
  <c r="AH14" i="3"/>
  <c r="AH13" i="3"/>
  <c r="AH12" i="3"/>
  <c r="AH11" i="3"/>
  <c r="AH10" i="3"/>
  <c r="AE56" i="3"/>
  <c r="AE55" i="3"/>
  <c r="AE54" i="3"/>
  <c r="AE53" i="3"/>
  <c r="AE52" i="3"/>
  <c r="AE51" i="3"/>
  <c r="AE50" i="3"/>
  <c r="AE48" i="3"/>
  <c r="AE47" i="3"/>
  <c r="AE46"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56" i="3"/>
  <c r="AC55" i="3"/>
  <c r="AC54" i="3"/>
  <c r="AC53" i="3"/>
  <c r="AC52" i="3"/>
  <c r="AC51" i="3"/>
  <c r="AC50" i="3"/>
  <c r="AC48" i="3"/>
  <c r="AC47" i="3"/>
  <c r="AC46"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AB56" i="3"/>
  <c r="AB55" i="3"/>
  <c r="AB54" i="3"/>
  <c r="AB53" i="3"/>
  <c r="AB52" i="3"/>
  <c r="AB51" i="3"/>
  <c r="AB50" i="3"/>
  <c r="AB48" i="3"/>
  <c r="AB47" i="3"/>
  <c r="AB46"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AA56" i="3"/>
  <c r="AA55" i="3"/>
  <c r="AA54" i="3"/>
  <c r="AA53" i="3"/>
  <c r="AA52" i="3"/>
  <c r="AA51" i="3"/>
  <c r="AA50" i="3"/>
  <c r="AA48" i="3"/>
  <c r="AA47" i="3"/>
  <c r="AA46" i="3"/>
  <c r="AA44" i="3"/>
  <c r="AA43" i="3"/>
  <c r="AA42" i="3"/>
  <c r="AA41" i="3"/>
  <c r="AA40" i="3"/>
  <c r="AA39" i="3"/>
  <c r="AA38" i="3"/>
  <c r="AA37" i="3"/>
  <c r="AA36" i="3"/>
  <c r="AA35" i="3"/>
  <c r="AA34" i="3"/>
  <c r="AA33" i="3"/>
  <c r="AA32" i="3"/>
  <c r="AA31" i="3"/>
  <c r="AA30" i="3"/>
  <c r="AA29" i="3"/>
  <c r="AA28" i="3"/>
  <c r="AA27" i="3"/>
  <c r="AA26" i="3"/>
  <c r="AA25" i="3"/>
  <c r="AA24" i="3"/>
  <c r="AA23" i="3"/>
  <c r="AA22" i="3"/>
  <c r="AA21" i="3"/>
  <c r="AA20" i="3"/>
  <c r="AA19" i="3"/>
  <c r="AA18" i="3"/>
  <c r="AA17" i="3"/>
  <c r="AA16" i="3"/>
  <c r="AA15" i="3"/>
  <c r="AA14" i="3"/>
  <c r="AA12" i="3"/>
  <c r="AA11" i="3"/>
  <c r="AA10" i="3"/>
  <c r="Z56" i="3"/>
  <c r="Z55" i="3"/>
  <c r="Z54" i="3"/>
  <c r="Z53" i="3"/>
  <c r="Z52" i="3"/>
  <c r="Z51" i="3"/>
  <c r="Z50" i="3"/>
  <c r="Z48" i="3"/>
  <c r="Z47" i="3"/>
  <c r="Z46"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15" i="3"/>
  <c r="Z14" i="3"/>
  <c r="Z13" i="3"/>
  <c r="Z12" i="3"/>
  <c r="Z11" i="3"/>
  <c r="Z10" i="3"/>
  <c r="O56" i="3"/>
  <c r="O55" i="3"/>
  <c r="O54" i="3"/>
  <c r="O53" i="3"/>
  <c r="O52" i="3"/>
  <c r="O51" i="3"/>
  <c r="O50" i="3"/>
  <c r="O48" i="3"/>
  <c r="O47" i="3"/>
  <c r="O46"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M56" i="3"/>
  <c r="M55" i="3"/>
  <c r="M54" i="3"/>
  <c r="M53" i="3"/>
  <c r="M52" i="3"/>
  <c r="M51" i="3"/>
  <c r="M50" i="3"/>
  <c r="M48" i="3"/>
  <c r="M47" i="3"/>
  <c r="M46"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L56" i="3"/>
  <c r="L55" i="3"/>
  <c r="L54" i="3"/>
  <c r="L53" i="3"/>
  <c r="L52" i="3"/>
  <c r="L51" i="3"/>
  <c r="L50" i="3"/>
  <c r="L48" i="3"/>
  <c r="L47" i="3"/>
  <c r="L46"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0" i="3"/>
  <c r="K56" i="3"/>
  <c r="K55" i="3"/>
  <c r="K54" i="3"/>
  <c r="K53" i="3"/>
  <c r="K52" i="3"/>
  <c r="K51" i="3"/>
  <c r="K48" i="3"/>
  <c r="K47" i="3"/>
  <c r="K46"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J56" i="3"/>
  <c r="J55" i="3"/>
  <c r="J54" i="3"/>
  <c r="J53" i="3"/>
  <c r="J52" i="3"/>
  <c r="J51" i="3"/>
  <c r="J50" i="3"/>
  <c r="J48" i="3"/>
  <c r="J47" i="3"/>
  <c r="J46"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G56" i="3"/>
  <c r="G55" i="3"/>
  <c r="G54" i="3"/>
  <c r="G53" i="3"/>
  <c r="G52" i="3"/>
  <c r="G51" i="3"/>
  <c r="G50" i="3"/>
  <c r="G48" i="3"/>
  <c r="G47" i="3"/>
  <c r="G46" i="3"/>
  <c r="G44" i="3"/>
  <c r="G43" i="3"/>
  <c r="G42" i="3"/>
  <c r="G41" i="3"/>
  <c r="G40" i="3"/>
  <c r="G39" i="3"/>
  <c r="G38" i="3"/>
  <c r="G37" i="3"/>
  <c r="G36" i="3"/>
  <c r="G35" i="3"/>
  <c r="G34" i="3"/>
  <c r="G33" i="3"/>
  <c r="G32" i="3"/>
  <c r="G31" i="3"/>
  <c r="G30" i="3"/>
  <c r="G29" i="3"/>
  <c r="G28" i="3"/>
  <c r="G27" i="3"/>
  <c r="G26" i="3"/>
  <c r="G25" i="3"/>
  <c r="G24" i="3"/>
  <c r="G23" i="3"/>
  <c r="W23" i="3" s="1"/>
  <c r="G22" i="3"/>
  <c r="G21" i="3"/>
  <c r="G20" i="3"/>
  <c r="G19" i="3"/>
  <c r="G18" i="3"/>
  <c r="G17" i="3"/>
  <c r="G16" i="3"/>
  <c r="G15" i="3"/>
  <c r="W15" i="3" s="1"/>
  <c r="G14" i="3"/>
  <c r="G13" i="3"/>
  <c r="G12" i="3"/>
  <c r="G11" i="3"/>
  <c r="G10" i="3"/>
  <c r="E56" i="3"/>
  <c r="E55" i="3"/>
  <c r="E54" i="3"/>
  <c r="E53" i="3"/>
  <c r="E52" i="3"/>
  <c r="E51" i="3"/>
  <c r="E50" i="3"/>
  <c r="E48" i="3"/>
  <c r="E47" i="3"/>
  <c r="U47" i="3" s="1"/>
  <c r="E46"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D56" i="3"/>
  <c r="D55" i="3"/>
  <c r="D54" i="3"/>
  <c r="D53" i="3"/>
  <c r="T53" i="3" s="1"/>
  <c r="D52" i="3"/>
  <c r="D51" i="3"/>
  <c r="D50" i="3"/>
  <c r="D48" i="3"/>
  <c r="D47" i="3"/>
  <c r="D46" i="3"/>
  <c r="D44" i="3"/>
  <c r="D43" i="3"/>
  <c r="T43" i="3" s="1"/>
  <c r="D42" i="3"/>
  <c r="D41" i="3"/>
  <c r="D40" i="3"/>
  <c r="D39" i="3"/>
  <c r="T39" i="3" s="1"/>
  <c r="D38" i="3"/>
  <c r="D37" i="3"/>
  <c r="D36" i="3"/>
  <c r="D35" i="3"/>
  <c r="D34" i="3"/>
  <c r="D33" i="3"/>
  <c r="D32" i="3"/>
  <c r="D31" i="3"/>
  <c r="D30" i="3"/>
  <c r="D29" i="3"/>
  <c r="D28" i="3"/>
  <c r="D27" i="3"/>
  <c r="D26" i="3"/>
  <c r="D25" i="3"/>
  <c r="D24" i="3"/>
  <c r="D23" i="3"/>
  <c r="T23" i="3" s="1"/>
  <c r="D22" i="3"/>
  <c r="D21" i="3"/>
  <c r="D20" i="3"/>
  <c r="D19" i="3"/>
  <c r="D18" i="3"/>
  <c r="D17" i="3"/>
  <c r="D16" i="3"/>
  <c r="D15" i="3"/>
  <c r="D14" i="3"/>
  <c r="D13" i="3"/>
  <c r="D12" i="3"/>
  <c r="D11" i="3"/>
  <c r="D10" i="3"/>
  <c r="C56" i="3"/>
  <c r="C55" i="3"/>
  <c r="C54" i="3"/>
  <c r="C53" i="3"/>
  <c r="C52" i="3"/>
  <c r="C51" i="3"/>
  <c r="C50" i="3"/>
  <c r="C48" i="3"/>
  <c r="C47" i="3"/>
  <c r="C46" i="3"/>
  <c r="C44" i="3"/>
  <c r="S44" i="3" s="1"/>
  <c r="C43" i="3"/>
  <c r="C42" i="3"/>
  <c r="C41" i="3"/>
  <c r="C40" i="3"/>
  <c r="C39" i="3"/>
  <c r="C38" i="3"/>
  <c r="C37" i="3"/>
  <c r="C36" i="3"/>
  <c r="C35" i="3"/>
  <c r="C34" i="3"/>
  <c r="C33" i="3"/>
  <c r="C32" i="3"/>
  <c r="C31" i="3"/>
  <c r="C30" i="3"/>
  <c r="C29" i="3"/>
  <c r="C28" i="3"/>
  <c r="C27" i="3"/>
  <c r="C26" i="3"/>
  <c r="C25" i="3"/>
  <c r="C24" i="3"/>
  <c r="C23" i="3"/>
  <c r="C22" i="3"/>
  <c r="C21" i="3"/>
  <c r="C20" i="3"/>
  <c r="S20" i="3" s="1"/>
  <c r="C19" i="3"/>
  <c r="C18" i="3"/>
  <c r="C17" i="3"/>
  <c r="C16" i="3"/>
  <c r="S16" i="3" s="1"/>
  <c r="C15" i="3"/>
  <c r="C14" i="3"/>
  <c r="C13" i="3"/>
  <c r="C11" i="3"/>
  <c r="C10" i="3"/>
  <c r="B56" i="3"/>
  <c r="B55" i="3"/>
  <c r="B54" i="3"/>
  <c r="B53" i="3"/>
  <c r="B52" i="3"/>
  <c r="B51" i="3"/>
  <c r="B50" i="3"/>
  <c r="B48" i="3"/>
  <c r="B47" i="3"/>
  <c r="B46"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R13" i="3" s="1"/>
  <c r="B12" i="3"/>
  <c r="B11" i="3"/>
  <c r="B10" i="3"/>
  <c r="AD12" i="3" l="1"/>
  <c r="AD16" i="3"/>
  <c r="AD20" i="3"/>
  <c r="AD24" i="3"/>
  <c r="AD28" i="3"/>
  <c r="AD32" i="3"/>
  <c r="AD36" i="3"/>
  <c r="AD40" i="3"/>
  <c r="AL17" i="3"/>
  <c r="AL21" i="3"/>
  <c r="AL25" i="3"/>
  <c r="AL10" i="3"/>
  <c r="AL14" i="3"/>
  <c r="AL18" i="3"/>
  <c r="AL22" i="3"/>
  <c r="AN22" i="3" s="1"/>
  <c r="AL26" i="3"/>
  <c r="AL30" i="3"/>
  <c r="AD11" i="3"/>
  <c r="AD15" i="3"/>
  <c r="AD19" i="3"/>
  <c r="AD23" i="3"/>
  <c r="AD27" i="3"/>
  <c r="AD35" i="3"/>
  <c r="AD39" i="3"/>
  <c r="AD43" i="3"/>
  <c r="AD48" i="3"/>
  <c r="AD53" i="3"/>
  <c r="AL12" i="3"/>
  <c r="AL16" i="3"/>
  <c r="AL20" i="3"/>
  <c r="AL24" i="3"/>
  <c r="AL28" i="3"/>
  <c r="AL32" i="3"/>
  <c r="AL36" i="3"/>
  <c r="AL40" i="3"/>
  <c r="AL44" i="3"/>
  <c r="AL50" i="3"/>
  <c r="AL54" i="3"/>
  <c r="AB9" i="2"/>
  <c r="AD31" i="3"/>
  <c r="R15" i="3"/>
  <c r="R19" i="3"/>
  <c r="R39" i="3"/>
  <c r="S10" i="3"/>
  <c r="AQ10" i="3" s="1"/>
  <c r="S14" i="3"/>
  <c r="S18" i="3"/>
  <c r="S26" i="3"/>
  <c r="T46" i="3"/>
  <c r="T51" i="3"/>
  <c r="T55" i="3"/>
  <c r="U50" i="3"/>
  <c r="U54" i="3"/>
  <c r="W46" i="3"/>
  <c r="F10" i="3"/>
  <c r="F14" i="3"/>
  <c r="H14" i="3" s="1"/>
  <c r="F18" i="3"/>
  <c r="H18" i="3" s="1"/>
  <c r="F22" i="3"/>
  <c r="H22" i="3" s="1"/>
  <c r="F26" i="3"/>
  <c r="F30" i="3"/>
  <c r="H30" i="3" s="1"/>
  <c r="F34" i="3"/>
  <c r="H34" i="3" s="1"/>
  <c r="F38" i="3"/>
  <c r="H38" i="3" s="1"/>
  <c r="F42" i="3"/>
  <c r="F47" i="3"/>
  <c r="H47" i="3" s="1"/>
  <c r="F52" i="3"/>
  <c r="F56" i="3"/>
  <c r="N48" i="3"/>
  <c r="P48" i="3" s="1"/>
  <c r="N53" i="3"/>
  <c r="P53" i="3" s="1"/>
  <c r="AL38" i="3"/>
  <c r="AL42" i="3"/>
  <c r="AL47" i="3"/>
  <c r="R12" i="3"/>
  <c r="R16" i="3"/>
  <c r="R20" i="3"/>
  <c r="R24" i="3"/>
  <c r="R40" i="3"/>
  <c r="T30" i="3"/>
  <c r="T38" i="3"/>
  <c r="T47" i="3"/>
  <c r="U13" i="3"/>
  <c r="U21" i="3"/>
  <c r="U25" i="3"/>
  <c r="U51" i="3"/>
  <c r="U55" i="3"/>
  <c r="W10" i="3"/>
  <c r="AU10" i="3" s="1"/>
  <c r="W14" i="3"/>
  <c r="W18" i="3"/>
  <c r="W26" i="3"/>
  <c r="W42" i="3"/>
  <c r="AL31" i="3"/>
  <c r="AL52" i="3"/>
  <c r="AL56" i="3"/>
  <c r="C49" i="3"/>
  <c r="F46" i="3"/>
  <c r="H46" i="3" s="1"/>
  <c r="F51" i="3"/>
  <c r="H51" i="3" s="1"/>
  <c r="F11" i="3"/>
  <c r="F15" i="3"/>
  <c r="F19" i="3"/>
  <c r="H19" i="3" s="1"/>
  <c r="F23" i="3"/>
  <c r="H23" i="3" s="1"/>
  <c r="F27" i="3"/>
  <c r="H27" i="3" s="1"/>
  <c r="F31" i="3"/>
  <c r="H31" i="3" s="1"/>
  <c r="F35" i="3"/>
  <c r="H35" i="3" s="1"/>
  <c r="F39" i="3"/>
  <c r="F43" i="3"/>
  <c r="H43" i="3" s="1"/>
  <c r="N12" i="3"/>
  <c r="P12" i="3" s="1"/>
  <c r="N16" i="3"/>
  <c r="P16" i="3" s="1"/>
  <c r="N20" i="3"/>
  <c r="P20" i="3" s="1"/>
  <c r="N24" i="3"/>
  <c r="P24" i="3" s="1"/>
  <c r="N28" i="3"/>
  <c r="P28" i="3" s="1"/>
  <c r="N32" i="3"/>
  <c r="P32" i="3" s="1"/>
  <c r="N36" i="3"/>
  <c r="P36" i="3" s="1"/>
  <c r="N40" i="3"/>
  <c r="P40" i="3" s="1"/>
  <c r="N44" i="3"/>
  <c r="P44" i="3" s="1"/>
  <c r="N50" i="3"/>
  <c r="N54" i="3"/>
  <c r="P54" i="3" s="1"/>
  <c r="O9" i="2"/>
  <c r="AD13" i="3"/>
  <c r="AD17" i="3"/>
  <c r="AD21" i="3"/>
  <c r="AD25" i="3"/>
  <c r="AD29" i="3"/>
  <c r="AD33" i="3"/>
  <c r="AD37" i="3"/>
  <c r="AD41" i="3"/>
  <c r="AD46" i="3"/>
  <c r="AD51" i="3"/>
  <c r="AD55" i="3"/>
  <c r="AN18" i="3"/>
  <c r="AN26" i="3"/>
  <c r="AN30" i="3"/>
  <c r="AN42" i="3"/>
  <c r="AN47" i="3"/>
  <c r="N13" i="3"/>
  <c r="P13" i="3" s="1"/>
  <c r="N17" i="3"/>
  <c r="P17" i="3" s="1"/>
  <c r="N21" i="3"/>
  <c r="P21" i="3" s="1"/>
  <c r="N25" i="3"/>
  <c r="P25" i="3" s="1"/>
  <c r="N29" i="3"/>
  <c r="P29" i="3" s="1"/>
  <c r="N33" i="3"/>
  <c r="P33" i="3" s="1"/>
  <c r="N37" i="3"/>
  <c r="P37" i="3" s="1"/>
  <c r="N41" i="3"/>
  <c r="P41" i="3" s="1"/>
  <c r="S9" i="2"/>
  <c r="AA13" i="3"/>
  <c r="AD10" i="3"/>
  <c r="AD14" i="3"/>
  <c r="AD18" i="3"/>
  <c r="AD22" i="3"/>
  <c r="AD26" i="3"/>
  <c r="AD30" i="3"/>
  <c r="AD34" i="3"/>
  <c r="AD38" i="3"/>
  <c r="AD42" i="3"/>
  <c r="AD47" i="3"/>
  <c r="AD52" i="3"/>
  <c r="AD56" i="3"/>
  <c r="AN39" i="3"/>
  <c r="AN43" i="3"/>
  <c r="AA49" i="2"/>
  <c r="AI52" i="3"/>
  <c r="AL48" i="3"/>
  <c r="AL53" i="3"/>
  <c r="F55" i="3"/>
  <c r="H55" i="3" s="1"/>
  <c r="AA9" i="2"/>
  <c r="AI11" i="3"/>
  <c r="O49" i="2"/>
  <c r="H52" i="3"/>
  <c r="R21" i="3"/>
  <c r="U31" i="3"/>
  <c r="R17" i="3"/>
  <c r="H15" i="3"/>
  <c r="S23" i="3"/>
  <c r="S27" i="3"/>
  <c r="T25" i="3"/>
  <c r="T37" i="3"/>
  <c r="T41" i="3"/>
  <c r="U19" i="3"/>
  <c r="U23" i="3"/>
  <c r="U52" i="3"/>
  <c r="F13" i="3"/>
  <c r="F17" i="3"/>
  <c r="F21" i="3"/>
  <c r="F25" i="3"/>
  <c r="F29" i="3"/>
  <c r="F33" i="3"/>
  <c r="F37" i="3"/>
  <c r="F41" i="3"/>
  <c r="F50" i="3"/>
  <c r="V50" i="3" s="1"/>
  <c r="F54" i="3"/>
  <c r="G49" i="3"/>
  <c r="K50" i="3"/>
  <c r="K49" i="2"/>
  <c r="L9" i="2"/>
  <c r="L11" i="3"/>
  <c r="N11" i="3"/>
  <c r="N15" i="3"/>
  <c r="V15" i="3" s="1"/>
  <c r="N19" i="3"/>
  <c r="P19" i="3" s="1"/>
  <c r="N23" i="3"/>
  <c r="P23" i="3" s="1"/>
  <c r="N27" i="3"/>
  <c r="P27" i="3" s="1"/>
  <c r="N31" i="3"/>
  <c r="P31" i="3" s="1"/>
  <c r="N35" i="3"/>
  <c r="N39" i="3"/>
  <c r="P39" i="3" s="1"/>
  <c r="N43" i="3"/>
  <c r="P43" i="3" s="1"/>
  <c r="N47" i="3"/>
  <c r="N52" i="3"/>
  <c r="N56" i="3"/>
  <c r="B49" i="3"/>
  <c r="C9" i="2"/>
  <c r="C12" i="3"/>
  <c r="G9" i="2"/>
  <c r="U28" i="3"/>
  <c r="F9" i="2"/>
  <c r="F12" i="3"/>
  <c r="F16" i="3"/>
  <c r="F20" i="3"/>
  <c r="V20" i="3" s="1"/>
  <c r="F24" i="3"/>
  <c r="F28" i="3"/>
  <c r="F32" i="3"/>
  <c r="F36" i="3"/>
  <c r="V36" i="3" s="1"/>
  <c r="F40" i="3"/>
  <c r="F44" i="3"/>
  <c r="H44" i="3" s="1"/>
  <c r="F48" i="3"/>
  <c r="H48" i="3" s="1"/>
  <c r="F53" i="3"/>
  <c r="N10" i="3"/>
  <c r="V10" i="3" s="1"/>
  <c r="AT10" i="3" s="1"/>
  <c r="N14" i="3"/>
  <c r="P14" i="3" s="1"/>
  <c r="N18" i="3"/>
  <c r="P18" i="3" s="1"/>
  <c r="N22" i="3"/>
  <c r="N26" i="3"/>
  <c r="P26" i="3" s="1"/>
  <c r="N30" i="3"/>
  <c r="P30" i="3" s="1"/>
  <c r="N34" i="3"/>
  <c r="P34" i="3" s="1"/>
  <c r="N38" i="3"/>
  <c r="N42" i="3"/>
  <c r="P42" i="3" s="1"/>
  <c r="N46" i="3"/>
  <c r="P46" i="3" s="1"/>
  <c r="N51" i="3"/>
  <c r="P51" i="3" s="1"/>
  <c r="N55" i="3"/>
  <c r="V55" i="3" s="1"/>
  <c r="AE9" i="2"/>
  <c r="AE49" i="2"/>
  <c r="S49" i="2"/>
  <c r="W9" i="2"/>
  <c r="W49" i="2"/>
  <c r="S45" i="3"/>
  <c r="W43" i="3"/>
  <c r="S43" i="3"/>
  <c r="W41" i="3"/>
  <c r="U38" i="3"/>
  <c r="U30" i="3"/>
  <c r="W29" i="3"/>
  <c r="S29" i="3"/>
  <c r="W25" i="3"/>
  <c r="S25" i="3"/>
  <c r="U20" i="3"/>
  <c r="W17" i="3"/>
  <c r="S17" i="3"/>
  <c r="U16" i="3"/>
  <c r="W11" i="3"/>
  <c r="H56" i="3"/>
  <c r="T42" i="3"/>
  <c r="U56" i="3"/>
  <c r="U36" i="3"/>
  <c r="S11" i="3"/>
  <c r="S41" i="3"/>
  <c r="U32" i="3"/>
  <c r="T44" i="3"/>
  <c r="R47" i="3"/>
  <c r="L49" i="3"/>
  <c r="U18" i="3"/>
  <c r="U34" i="3"/>
  <c r="D49" i="3"/>
  <c r="T10" i="3"/>
  <c r="AR10" i="3" s="1"/>
  <c r="S13" i="3"/>
  <c r="W13" i="3"/>
  <c r="U14" i="3"/>
  <c r="S15" i="3"/>
  <c r="S19" i="3"/>
  <c r="W19" i="3"/>
  <c r="U24" i="3"/>
  <c r="W27" i="3"/>
  <c r="T50" i="3"/>
  <c r="T52" i="3"/>
  <c r="T54" i="3"/>
  <c r="H16" i="3"/>
  <c r="H10" i="3"/>
  <c r="H45" i="3"/>
  <c r="H42" i="3"/>
  <c r="H26" i="3"/>
  <c r="H21" i="3"/>
  <c r="U12" i="3"/>
  <c r="U22" i="3"/>
  <c r="W45" i="3"/>
  <c r="T56" i="3"/>
  <c r="O49" i="3"/>
  <c r="M49" i="3"/>
  <c r="U53" i="3"/>
  <c r="W44" i="3"/>
  <c r="W40" i="3"/>
  <c r="S40" i="3"/>
  <c r="U39" i="3"/>
  <c r="U35" i="3"/>
  <c r="H39" i="3"/>
  <c r="B9" i="2"/>
  <c r="B9" i="3"/>
  <c r="G9" i="3"/>
  <c r="K9" i="2"/>
  <c r="T9" i="2"/>
  <c r="E9" i="3"/>
  <c r="U33" i="3"/>
  <c r="S42" i="3"/>
  <c r="S46" i="3"/>
  <c r="U37" i="3"/>
  <c r="D9" i="3"/>
  <c r="S21" i="3"/>
  <c r="W21" i="3"/>
  <c r="S22" i="3"/>
  <c r="W22" i="3"/>
  <c r="S24" i="3"/>
  <c r="W24" i="3"/>
  <c r="T26" i="3"/>
  <c r="U10" i="3"/>
  <c r="AS10" i="3" s="1"/>
  <c r="T11" i="3"/>
  <c r="T12" i="3"/>
  <c r="T13" i="3"/>
  <c r="T14" i="3"/>
  <c r="T15" i="3"/>
  <c r="T16" i="3"/>
  <c r="T17" i="3"/>
  <c r="T18" i="3"/>
  <c r="T19" i="3"/>
  <c r="T20" i="3"/>
  <c r="T21" i="3"/>
  <c r="T22" i="3"/>
  <c r="R23" i="3"/>
  <c r="T24" i="3"/>
  <c r="R25" i="3"/>
  <c r="U26" i="3"/>
  <c r="U17" i="3"/>
  <c r="U40" i="3"/>
  <c r="T27" i="3"/>
  <c r="T29" i="3"/>
  <c r="S30" i="3"/>
  <c r="W30" i="3"/>
  <c r="S31" i="3"/>
  <c r="W31" i="3"/>
  <c r="S32" i="3"/>
  <c r="W32" i="3"/>
  <c r="S33" i="3"/>
  <c r="W33" i="3"/>
  <c r="S34" i="3"/>
  <c r="W34" i="3"/>
  <c r="S35" i="3"/>
  <c r="W35" i="3"/>
  <c r="S36" i="3"/>
  <c r="W36" i="3"/>
  <c r="S37" i="3"/>
  <c r="W37" i="3"/>
  <c r="S38" i="3"/>
  <c r="W38" i="3"/>
  <c r="S39" i="3"/>
  <c r="W39" i="3"/>
  <c r="U41" i="3"/>
  <c r="U42" i="3"/>
  <c r="U43" i="3"/>
  <c r="U44" i="3"/>
  <c r="U45" i="3"/>
  <c r="S47" i="3"/>
  <c r="W47" i="3"/>
  <c r="E49" i="3"/>
  <c r="S50" i="3"/>
  <c r="W50" i="3"/>
  <c r="S51" i="3"/>
  <c r="W51" i="3"/>
  <c r="S52" i="3"/>
  <c r="W52" i="3"/>
  <c r="S53" i="3"/>
  <c r="W53" i="3"/>
  <c r="S54" i="3"/>
  <c r="W54" i="3"/>
  <c r="S55" i="3"/>
  <c r="W55" i="3"/>
  <c r="S56" i="3"/>
  <c r="W56" i="3"/>
  <c r="U27" i="3"/>
  <c r="S28" i="3"/>
  <c r="W28" i="3"/>
  <c r="U29" i="3"/>
  <c r="T31" i="3"/>
  <c r="T32" i="3"/>
  <c r="T33" i="3"/>
  <c r="T34" i="3"/>
  <c r="T35" i="3"/>
  <c r="T36" i="3"/>
  <c r="R41" i="3"/>
  <c r="R42" i="3"/>
  <c r="R43" i="3"/>
  <c r="R44" i="3"/>
  <c r="V45" i="3"/>
  <c r="U46" i="3"/>
  <c r="R10" i="3"/>
  <c r="R11" i="3"/>
  <c r="R27" i="3"/>
  <c r="R28" i="3"/>
  <c r="R29" i="3"/>
  <c r="R30" i="3"/>
  <c r="R31" i="3"/>
  <c r="R32" i="3"/>
  <c r="R33" i="3"/>
  <c r="R34" i="3"/>
  <c r="R35" i="3"/>
  <c r="R36" i="3"/>
  <c r="R37" i="3"/>
  <c r="R38" i="3"/>
  <c r="R50" i="3"/>
  <c r="R51" i="3"/>
  <c r="R52" i="3"/>
  <c r="R53" i="3"/>
  <c r="R54" i="3"/>
  <c r="R55" i="3"/>
  <c r="R56" i="3"/>
  <c r="R45" i="3"/>
  <c r="R46" i="3"/>
  <c r="J49" i="3"/>
  <c r="B49" i="2"/>
  <c r="F49" i="2"/>
  <c r="X49" i="2"/>
  <c r="P49" i="2"/>
  <c r="C49" i="2"/>
  <c r="AC49" i="2"/>
  <c r="AF49" i="2"/>
  <c r="U49" i="2"/>
  <c r="D9" i="2"/>
  <c r="H9" i="2"/>
  <c r="M9" i="2"/>
  <c r="R49" i="2"/>
  <c r="V49" i="2"/>
  <c r="Z49" i="2"/>
  <c r="AD49" i="2"/>
  <c r="E49" i="2"/>
  <c r="J49" i="2"/>
  <c r="N49" i="2"/>
  <c r="R9" i="2"/>
  <c r="V9" i="2"/>
  <c r="Z9" i="2"/>
  <c r="AD9" i="2"/>
  <c r="T49" i="2"/>
  <c r="AB49" i="2"/>
  <c r="D49" i="2"/>
  <c r="H49" i="2"/>
  <c r="M49" i="2"/>
  <c r="P9" i="2"/>
  <c r="U9" i="2"/>
  <c r="X9" i="2"/>
  <c r="AC9" i="2"/>
  <c r="AF9" i="2"/>
  <c r="E9" i="2"/>
  <c r="J9" i="2"/>
  <c r="N9" i="2"/>
  <c r="G49" i="2"/>
  <c r="L49" i="2"/>
  <c r="V40" i="3" l="1"/>
  <c r="V24" i="3"/>
  <c r="V47" i="3"/>
  <c r="K8" i="2"/>
  <c r="V43" i="3"/>
  <c r="AB8" i="2"/>
  <c r="AF26" i="3"/>
  <c r="AF10" i="3"/>
  <c r="AF46" i="3"/>
  <c r="AF29" i="3"/>
  <c r="AN31" i="3"/>
  <c r="AF8" i="2"/>
  <c r="X55" i="3"/>
  <c r="V32" i="3"/>
  <c r="V16" i="3"/>
  <c r="X16" i="3" s="1"/>
  <c r="AN52" i="3"/>
  <c r="AF56" i="3"/>
  <c r="AF38" i="3"/>
  <c r="AF22" i="3"/>
  <c r="AF13" i="3"/>
  <c r="AF41" i="3"/>
  <c r="AF25" i="3"/>
  <c r="O8" i="2"/>
  <c r="V11" i="3"/>
  <c r="AN56" i="3"/>
  <c r="AN38" i="3"/>
  <c r="AF52" i="3"/>
  <c r="AF34" i="3"/>
  <c r="AF18" i="3"/>
  <c r="AF55" i="3"/>
  <c r="AF37" i="3"/>
  <c r="AF21" i="3"/>
  <c r="AE8" i="2"/>
  <c r="V29" i="3"/>
  <c r="V13" i="3"/>
  <c r="X13" i="3" s="1"/>
  <c r="AN53" i="3"/>
  <c r="AF47" i="3"/>
  <c r="AF30" i="3"/>
  <c r="AF14" i="3"/>
  <c r="AF51" i="3"/>
  <c r="AF33" i="3"/>
  <c r="AF17" i="3"/>
  <c r="P50" i="3"/>
  <c r="AN11" i="3"/>
  <c r="AN48" i="3"/>
  <c r="AF42" i="3"/>
  <c r="R14" i="3"/>
  <c r="R18" i="3"/>
  <c r="R22" i="3"/>
  <c r="R26" i="3"/>
  <c r="T28" i="3"/>
  <c r="T40" i="3"/>
  <c r="U11" i="3"/>
  <c r="X11" i="3" s="1"/>
  <c r="U15" i="3"/>
  <c r="X15" i="3" s="1"/>
  <c r="W12" i="3"/>
  <c r="W16" i="3"/>
  <c r="W20" i="3"/>
  <c r="AF12" i="3"/>
  <c r="AF16" i="3"/>
  <c r="AF20" i="3"/>
  <c r="AF24" i="3"/>
  <c r="AF28" i="3"/>
  <c r="AF32" i="3"/>
  <c r="AF36" i="3"/>
  <c r="AF40" i="3"/>
  <c r="AF11" i="3"/>
  <c r="AF15" i="3"/>
  <c r="AF19" i="3"/>
  <c r="AF23" i="3"/>
  <c r="AF27" i="3"/>
  <c r="AF31" i="3"/>
  <c r="AF35" i="3"/>
  <c r="AF39" i="3"/>
  <c r="AF43" i="3"/>
  <c r="AF48" i="3"/>
  <c r="AF53" i="3"/>
  <c r="AD44" i="3"/>
  <c r="AF44" i="3" s="1"/>
  <c r="AD50" i="3"/>
  <c r="AD54" i="3"/>
  <c r="AF54" i="3" s="1"/>
  <c r="AN13" i="3"/>
  <c r="AN17" i="3"/>
  <c r="AN21" i="3"/>
  <c r="AN25" i="3"/>
  <c r="AL29" i="3"/>
  <c r="AN29" i="3" s="1"/>
  <c r="AL33" i="3"/>
  <c r="AN33" i="3" s="1"/>
  <c r="AL37" i="3"/>
  <c r="AN37" i="3" s="1"/>
  <c r="AL41" i="3"/>
  <c r="AN41" i="3" s="1"/>
  <c r="AL46" i="3"/>
  <c r="AN46" i="3" s="1"/>
  <c r="AL51" i="3"/>
  <c r="AN51" i="3" s="1"/>
  <c r="AL55" i="3"/>
  <c r="AN55" i="3" s="1"/>
  <c r="AN10" i="3"/>
  <c r="AN14" i="3"/>
  <c r="AL34" i="3"/>
  <c r="AN15" i="3"/>
  <c r="AN19" i="3"/>
  <c r="AN23" i="3"/>
  <c r="AN27" i="3"/>
  <c r="AN35" i="3"/>
  <c r="AN12" i="3"/>
  <c r="AN16" i="3"/>
  <c r="AN20" i="3"/>
  <c r="AN24" i="3"/>
  <c r="AN28" i="3"/>
  <c r="AN32" i="3"/>
  <c r="AN36" i="3"/>
  <c r="AN40" i="3"/>
  <c r="AN44" i="3"/>
  <c r="AN50" i="3"/>
  <c r="AN54" i="3"/>
  <c r="AD8" i="2"/>
  <c r="H11" i="3"/>
  <c r="S8" i="2"/>
  <c r="U8" i="2"/>
  <c r="B8" i="2"/>
  <c r="K49" i="3"/>
  <c r="S49" i="3" s="1"/>
  <c r="V52" i="3"/>
  <c r="AA8" i="2"/>
  <c r="H29" i="3"/>
  <c r="W8" i="2"/>
  <c r="V38" i="3"/>
  <c r="X38" i="3" s="1"/>
  <c r="V22" i="3"/>
  <c r="V53" i="3"/>
  <c r="X53" i="3" s="1"/>
  <c r="H13" i="3"/>
  <c r="V56" i="3"/>
  <c r="X56" i="3" s="1"/>
  <c r="P11" i="3"/>
  <c r="V37" i="3"/>
  <c r="X37" i="3" s="1"/>
  <c r="V21" i="3"/>
  <c r="X21" i="3" s="1"/>
  <c r="X52" i="3"/>
  <c r="X29" i="3"/>
  <c r="V42" i="3"/>
  <c r="X42" i="3" s="1"/>
  <c r="B8" i="3"/>
  <c r="V35" i="3"/>
  <c r="X35" i="3" s="1"/>
  <c r="V54" i="3"/>
  <c r="V33" i="3"/>
  <c r="X33" i="3" s="1"/>
  <c r="V17" i="3"/>
  <c r="X17" i="3" s="1"/>
  <c r="X24" i="3"/>
  <c r="AC8" i="2"/>
  <c r="X22" i="3"/>
  <c r="V39" i="3"/>
  <c r="X39" i="3" s="1"/>
  <c r="N8" i="2"/>
  <c r="V23" i="3"/>
  <c r="X23" i="3" s="1"/>
  <c r="X20" i="3"/>
  <c r="X40" i="3"/>
  <c r="X47" i="3"/>
  <c r="V51" i="3"/>
  <c r="X51" i="3" s="1"/>
  <c r="V34" i="3"/>
  <c r="X34" i="3" s="1"/>
  <c r="V27" i="3"/>
  <c r="X27" i="3" s="1"/>
  <c r="V26" i="3"/>
  <c r="X26" i="3" s="1"/>
  <c r="X36" i="3"/>
  <c r="H50" i="3"/>
  <c r="X50" i="3"/>
  <c r="H20" i="3"/>
  <c r="V46" i="3"/>
  <c r="X46" i="3" s="1"/>
  <c r="V18" i="3"/>
  <c r="X18" i="3" s="1"/>
  <c r="P56" i="3"/>
  <c r="P38" i="3"/>
  <c r="P22" i="3"/>
  <c r="P55" i="3"/>
  <c r="X32" i="3"/>
  <c r="X43" i="3"/>
  <c r="L8" i="2"/>
  <c r="X54" i="3"/>
  <c r="AP10" i="3"/>
  <c r="X10" i="3"/>
  <c r="G8" i="2"/>
  <c r="X45" i="3"/>
  <c r="H17" i="3"/>
  <c r="H32" i="3"/>
  <c r="V31" i="3"/>
  <c r="X31" i="3" s="1"/>
  <c r="P52" i="3"/>
  <c r="P35" i="3"/>
  <c r="P47" i="3"/>
  <c r="H36" i="3"/>
  <c r="F49" i="3"/>
  <c r="H49" i="3" s="1"/>
  <c r="P15" i="3"/>
  <c r="P10" i="3"/>
  <c r="H28" i="3"/>
  <c r="V28" i="3"/>
  <c r="X28" i="3" s="1"/>
  <c r="V12" i="3"/>
  <c r="F9" i="3"/>
  <c r="F8" i="2"/>
  <c r="V30" i="3"/>
  <c r="X30" i="3" s="1"/>
  <c r="V14" i="3"/>
  <c r="V44" i="3"/>
  <c r="X44" i="3" s="1"/>
  <c r="S12" i="3"/>
  <c r="H12" i="3"/>
  <c r="C9" i="3"/>
  <c r="C8" i="3" s="1"/>
  <c r="N49" i="3"/>
  <c r="V19" i="3"/>
  <c r="X19" i="3" s="1"/>
  <c r="H41" i="3"/>
  <c r="V41" i="3"/>
  <c r="X41" i="3" s="1"/>
  <c r="H25" i="3"/>
  <c r="V25" i="3"/>
  <c r="X25" i="3" s="1"/>
  <c r="V8" i="2"/>
  <c r="H53" i="3"/>
  <c r="H24" i="3"/>
  <c r="X8" i="2"/>
  <c r="T8" i="2"/>
  <c r="C8" i="2"/>
  <c r="G8" i="3"/>
  <c r="W49" i="3"/>
  <c r="H33" i="3"/>
  <c r="H37" i="3"/>
  <c r="H40" i="3"/>
  <c r="H54" i="3"/>
  <c r="U49" i="3"/>
  <c r="T49" i="3"/>
  <c r="E8" i="3"/>
  <c r="D8" i="3"/>
  <c r="R49" i="3"/>
  <c r="P8" i="2"/>
  <c r="Z8" i="2"/>
  <c r="R8" i="2"/>
  <c r="H8" i="2"/>
  <c r="M8" i="2"/>
  <c r="E8" i="2"/>
  <c r="D8" i="2"/>
  <c r="J8" i="2"/>
  <c r="V49" i="3" l="1"/>
  <c r="F8" i="3"/>
  <c r="H8" i="3" s="1"/>
  <c r="X12" i="3"/>
  <c r="X14" i="3"/>
  <c r="AN34" i="3"/>
  <c r="AF50" i="3"/>
  <c r="AV10" i="3"/>
  <c r="AX10" i="3"/>
  <c r="X49" i="3"/>
  <c r="P49" i="3"/>
  <c r="H9" i="3"/>
  <c r="R48" i="3" l="1"/>
  <c r="J9" i="3"/>
  <c r="M9" i="3" l="1"/>
  <c r="U48" i="3"/>
  <c r="AS48" i="3" s="1"/>
  <c r="O9" i="3"/>
  <c r="W48" i="3"/>
  <c r="AU48" i="3" s="1"/>
  <c r="K9" i="3"/>
  <c r="S48" i="3"/>
  <c r="AQ48" i="3" s="1"/>
  <c r="T48" i="3"/>
  <c r="AR48" i="3" s="1"/>
  <c r="L9" i="3"/>
  <c r="N9" i="3"/>
  <c r="V48" i="3"/>
  <c r="AT48" i="3" s="1"/>
  <c r="J8" i="3"/>
  <c r="R9" i="3"/>
  <c r="AP48" i="3"/>
  <c r="AX48" i="3" l="1"/>
  <c r="P9" i="3"/>
  <c r="X48" i="3"/>
  <c r="AV48" i="3"/>
  <c r="R8" i="3"/>
  <c r="L8" i="3"/>
  <c r="T8" i="3" s="1"/>
  <c r="T9" i="3"/>
  <c r="O8" i="3"/>
  <c r="W8" i="3" s="1"/>
  <c r="W9" i="3"/>
  <c r="N8" i="3"/>
  <c r="V8" i="3" s="1"/>
  <c r="V9" i="3"/>
  <c r="K8" i="3"/>
  <c r="S8" i="3" s="1"/>
  <c r="S9" i="3"/>
  <c r="M8" i="3"/>
  <c r="U8" i="3" s="1"/>
  <c r="U9" i="3"/>
  <c r="X9" i="3" l="1"/>
  <c r="P8" i="3"/>
  <c r="X8" i="3"/>
  <c r="AT36" i="3"/>
  <c r="AS18" i="3" l="1"/>
  <c r="AS25" i="3"/>
  <c r="AS28" i="3"/>
  <c r="AS41" i="3"/>
  <c r="AS53" i="3"/>
  <c r="AT22" i="3"/>
  <c r="AT26" i="3"/>
  <c r="AT28" i="3"/>
  <c r="AT30" i="3"/>
  <c r="AT32" i="3"/>
  <c r="AT34" i="3"/>
  <c r="AT37" i="3"/>
  <c r="AT42" i="3"/>
  <c r="AT44" i="3"/>
  <c r="AL49" i="3"/>
  <c r="AT14" i="3"/>
  <c r="AT20" i="3"/>
  <c r="AT21" i="3"/>
  <c r="AT38" i="3"/>
  <c r="AT45" i="3"/>
  <c r="AT46" i="3"/>
  <c r="AT47" i="3"/>
  <c r="AS15" i="3"/>
  <c r="AS35" i="3"/>
  <c r="AS46" i="3"/>
  <c r="AS51" i="3"/>
  <c r="AT12" i="3"/>
  <c r="AS21" i="3"/>
  <c r="AS27" i="3"/>
  <c r="AS32" i="3"/>
  <c r="AS43" i="3"/>
  <c r="AS56" i="3"/>
  <c r="AT13" i="3"/>
  <c r="AT16" i="3"/>
  <c r="L23" i="4"/>
  <c r="N47" i="4"/>
  <c r="AD35" i="4"/>
  <c r="AI28" i="4"/>
  <c r="C37" i="4"/>
  <c r="J42" i="4"/>
  <c r="G22" i="4"/>
  <c r="K19" i="4"/>
  <c r="B54" i="4"/>
  <c r="E43" i="4"/>
  <c r="AD55" i="4"/>
  <c r="AD47" i="4"/>
  <c r="AH26" i="4"/>
  <c r="AD19" i="4"/>
  <c r="B17" i="4"/>
  <c r="M24" i="4"/>
  <c r="AJ14" i="4"/>
  <c r="B40" i="4"/>
  <c r="F45" i="4"/>
  <c r="J28" i="4"/>
  <c r="L52" i="4"/>
  <c r="AD44" i="4"/>
  <c r="AB22" i="4"/>
  <c r="L32" i="4"/>
  <c r="L26" i="4"/>
  <c r="AI46" i="4"/>
  <c r="K37" i="4"/>
  <c r="AJ42" i="4"/>
  <c r="AM48" i="4"/>
  <c r="J15" i="4"/>
  <c r="K12" i="4"/>
  <c r="N36" i="4"/>
  <c r="AI18" i="4"/>
  <c r="B29" i="4"/>
  <c r="L12" i="4"/>
  <c r="E40" i="4"/>
  <c r="M17" i="4"/>
  <c r="D22" i="4"/>
  <c r="AM23" i="4"/>
  <c r="D39" i="4"/>
  <c r="AC52" i="4"/>
  <c r="AA19" i="4"/>
  <c r="AE17" i="4"/>
  <c r="D28" i="4"/>
  <c r="M26" i="4"/>
  <c r="O31" i="4"/>
  <c r="Z48" i="4"/>
  <c r="M29" i="4"/>
  <c r="AK35" i="4"/>
  <c r="D27" i="4"/>
  <c r="AB14" i="4"/>
  <c r="AL19" i="4"/>
  <c r="AD37" i="4"/>
  <c r="AB26" i="4"/>
  <c r="N30" i="4"/>
  <c r="D15" i="4"/>
  <c r="B27" i="4"/>
  <c r="M50" i="4"/>
  <c r="B50" i="4"/>
  <c r="Z50" i="4"/>
  <c r="G38" i="4"/>
  <c r="AK17" i="4"/>
  <c r="AE27" i="4"/>
  <c r="AH46" i="4"/>
  <c r="C42" i="4"/>
  <c r="L41" i="4"/>
  <c r="AB43" i="4"/>
  <c r="M34" i="4"/>
  <c r="O52" i="4"/>
  <c r="M12" i="4"/>
  <c r="AH34" i="4"/>
  <c r="AB41" i="4"/>
  <c r="N12" i="4"/>
  <c r="AE47" i="4"/>
  <c r="C45" i="4"/>
  <c r="AA13" i="4"/>
  <c r="AA14" i="4"/>
  <c r="AL20" i="4"/>
  <c r="N16" i="4"/>
  <c r="AB34" i="4"/>
  <c r="Z53" i="4"/>
  <c r="B28" i="4"/>
  <c r="AE30" i="4"/>
  <c r="E42" i="4"/>
  <c r="B35" i="4"/>
  <c r="AB31" i="4"/>
  <c r="AC11" i="4"/>
  <c r="G15" i="4"/>
  <c r="E27" i="4"/>
  <c r="L24" i="4"/>
  <c r="AH43" i="4"/>
  <c r="F51" i="4"/>
  <c r="AC47" i="4"/>
  <c r="AM36" i="4"/>
  <c r="AL50" i="4"/>
  <c r="N28" i="4"/>
  <c r="AA23" i="4"/>
  <c r="AM26" i="4"/>
  <c r="AC50" i="4"/>
  <c r="AM27" i="4"/>
  <c r="N48" i="4"/>
  <c r="AE24" i="4"/>
  <c r="Z17" i="4"/>
  <c r="AH17" i="4"/>
  <c r="AJ25" i="4"/>
  <c r="AA35" i="4"/>
  <c r="AM53" i="4"/>
  <c r="AA25" i="4"/>
  <c r="AC30" i="4"/>
  <c r="AE15" i="4"/>
  <c r="AA36" i="4"/>
  <c r="AM42" i="4"/>
  <c r="N38" i="4"/>
  <c r="AK46" i="4"/>
  <c r="AL27" i="4"/>
  <c r="AC14" i="4"/>
  <c r="O16" i="4"/>
  <c r="J52" i="4"/>
  <c r="AD20" i="4"/>
  <c r="N19" i="4"/>
  <c r="AE33" i="4"/>
  <c r="AB52" i="4"/>
  <c r="E36" i="4"/>
  <c r="B25" i="4"/>
  <c r="AA42" i="4"/>
  <c r="AI47" i="4"/>
  <c r="AM41" i="4"/>
  <c r="L44" i="4"/>
  <c r="Z34" i="4"/>
  <c r="D43" i="4"/>
  <c r="M42" i="4"/>
  <c r="B44" i="4"/>
  <c r="L55" i="4"/>
  <c r="AK19" i="4"/>
  <c r="AI25" i="4"/>
  <c r="AA44" i="4"/>
  <c r="AD18" i="4"/>
  <c r="AE26" i="4"/>
  <c r="AI51" i="4"/>
  <c r="O43" i="4"/>
  <c r="AM33" i="4"/>
  <c r="AA10" i="4"/>
  <c r="L42" i="4"/>
  <c r="M40" i="4"/>
  <c r="O47" i="4"/>
  <c r="AJ40" i="4"/>
  <c r="O42" i="4"/>
  <c r="AD29" i="4"/>
  <c r="AA55" i="4"/>
  <c r="L50" i="4"/>
  <c r="M41" i="4"/>
  <c r="AE18" i="4"/>
  <c r="L48" i="4"/>
  <c r="L28" i="4"/>
  <c r="AH47" i="4"/>
  <c r="AD26" i="4"/>
  <c r="L15" i="4"/>
  <c r="M55" i="4"/>
  <c r="F55" i="4"/>
  <c r="AK10" i="4"/>
  <c r="N53" i="4"/>
  <c r="J56" i="4"/>
  <c r="K53" i="4"/>
  <c r="D55" i="4"/>
  <c r="K32" i="4"/>
  <c r="AM43" i="4"/>
  <c r="L56" i="4"/>
  <c r="Z33" i="4"/>
  <c r="K16" i="4"/>
  <c r="AI42" i="4"/>
  <c r="AJ16" i="4"/>
  <c r="E28" i="4"/>
  <c r="N26" i="4"/>
  <c r="C24" i="4"/>
  <c r="F40" i="4"/>
  <c r="O55" i="4"/>
  <c r="AB27" i="4"/>
  <c r="AI26" i="4"/>
  <c r="D52" i="4"/>
  <c r="AM38" i="4"/>
  <c r="AJ52" i="4"/>
  <c r="F36" i="4"/>
  <c r="Z39" i="4"/>
  <c r="AB44" i="4"/>
  <c r="F56" i="4"/>
  <c r="F54" i="4"/>
  <c r="AM15" i="4"/>
  <c r="F42" i="4"/>
  <c r="L18" i="4"/>
  <c r="L27" i="4"/>
  <c r="K26" i="4"/>
  <c r="AE11" i="4"/>
  <c r="F19" i="4"/>
  <c r="Z52" i="4"/>
  <c r="O56" i="4"/>
  <c r="E52" i="4"/>
  <c r="AB11" i="4"/>
  <c r="E48" i="4"/>
  <c r="AJ32" i="4"/>
  <c r="AH55" i="4"/>
  <c r="J14" i="4"/>
  <c r="AK18" i="4"/>
  <c r="E19" i="4"/>
  <c r="AI34" i="4"/>
  <c r="AD23" i="4"/>
  <c r="L33" i="4"/>
  <c r="C53" i="4"/>
  <c r="AK51" i="4"/>
  <c r="G50" i="4"/>
  <c r="AA46" i="4"/>
  <c r="AM35" i="4"/>
  <c r="G47" i="4"/>
  <c r="N35" i="4"/>
  <c r="G27" i="4"/>
  <c r="AB47" i="4"/>
  <c r="AI24" i="4"/>
  <c r="AI35" i="4"/>
  <c r="C46" i="4"/>
  <c r="AI43" i="4"/>
  <c r="F22" i="4"/>
  <c r="AA29" i="4"/>
  <c r="AB15" i="4"/>
  <c r="AH56" i="4"/>
  <c r="C30" i="4"/>
  <c r="F31" i="4"/>
  <c r="Z38" i="4"/>
  <c r="AL17" i="4"/>
  <c r="O32" i="4"/>
  <c r="AL37" i="4"/>
  <c r="AC41" i="4"/>
  <c r="AB33" i="4"/>
  <c r="Z15" i="4"/>
  <c r="E30" i="4"/>
  <c r="D32" i="4"/>
  <c r="AE31" i="4"/>
  <c r="D51" i="4"/>
  <c r="B12" i="4"/>
  <c r="AC17" i="4"/>
  <c r="K10" i="4"/>
  <c r="AH18" i="4"/>
  <c r="E15" i="4"/>
  <c r="C33" i="4"/>
  <c r="C29" i="4"/>
  <c r="F29" i="4"/>
  <c r="K30" i="4"/>
  <c r="AL21" i="4"/>
  <c r="AL25" i="4"/>
  <c r="AK31" i="4"/>
  <c r="AB13" i="4"/>
  <c r="Z18" i="4"/>
  <c r="Z28" i="4"/>
  <c r="AK48" i="4"/>
  <c r="J35" i="4"/>
  <c r="AC25" i="4"/>
  <c r="AI31" i="4"/>
  <c r="AK41" i="4"/>
  <c r="Z31" i="4"/>
  <c r="AB56" i="4"/>
  <c r="AB21" i="4"/>
  <c r="AJ54" i="4"/>
  <c r="AD16" i="4"/>
  <c r="C11" i="4"/>
  <c r="AE38" i="4"/>
  <c r="AK43" i="4"/>
  <c r="K38" i="4"/>
  <c r="B20" i="4"/>
  <c r="D56" i="4"/>
  <c r="N21" i="4"/>
  <c r="E13" i="4"/>
  <c r="AK11" i="4"/>
  <c r="L14" i="4"/>
  <c r="AL16" i="4"/>
  <c r="G17" i="4"/>
  <c r="AI12" i="4"/>
  <c r="AJ20" i="4"/>
  <c r="AA27" i="4"/>
  <c r="O30" i="4"/>
  <c r="AK12" i="4"/>
  <c r="L51" i="4"/>
  <c r="D23" i="4"/>
  <c r="G45" i="4"/>
  <c r="AD56" i="4"/>
  <c r="AC46" i="4"/>
  <c r="B42" i="4"/>
  <c r="Z11" i="4"/>
  <c r="AD43" i="4"/>
  <c r="AI41" i="4"/>
  <c r="AK29" i="4"/>
  <c r="AL46" i="4"/>
  <c r="AD11" i="4"/>
  <c r="AC19" i="4"/>
  <c r="AL40" i="4"/>
  <c r="D14" i="4"/>
  <c r="AM13" i="4"/>
  <c r="AL42" i="4"/>
  <c r="L17" i="4"/>
  <c r="M43" i="4"/>
  <c r="F21" i="4"/>
  <c r="E12" i="4"/>
  <c r="G10" i="4"/>
  <c r="AH38" i="4"/>
  <c r="B37" i="4"/>
  <c r="AB32" i="4"/>
  <c r="AC40" i="4"/>
  <c r="C36" i="4"/>
  <c r="N44" i="4"/>
  <c r="AK15" i="4"/>
  <c r="AM21" i="4"/>
  <c r="J48" i="4"/>
  <c r="F48" i="4"/>
  <c r="AD17" i="4"/>
  <c r="D34" i="4"/>
  <c r="C25" i="4"/>
  <c r="C55" i="4"/>
  <c r="AA30" i="4"/>
  <c r="AH24" i="4"/>
  <c r="AD12" i="4"/>
  <c r="AH48" i="4"/>
  <c r="AE48" i="4"/>
  <c r="AD53" i="4"/>
  <c r="G33" i="4"/>
  <c r="Z23" i="4"/>
  <c r="AH40" i="4"/>
  <c r="AE20" i="4"/>
  <c r="C48" i="4"/>
  <c r="AI37" i="4"/>
  <c r="N15" i="4"/>
  <c r="AE41" i="4"/>
  <c r="L36" i="4"/>
  <c r="K14" i="4"/>
  <c r="M35" i="4"/>
  <c r="K21" i="4"/>
  <c r="AH10" i="4"/>
  <c r="O44" i="4"/>
  <c r="AE25" i="4"/>
  <c r="G14" i="4"/>
  <c r="O13" i="4"/>
  <c r="M16" i="4"/>
  <c r="AB51" i="4"/>
  <c r="AK54" i="4"/>
  <c r="AL52" i="4"/>
  <c r="AI14" i="4"/>
  <c r="M28" i="4"/>
  <c r="AL54" i="4"/>
  <c r="D29" i="4"/>
  <c r="F14" i="4"/>
  <c r="E21" i="4"/>
  <c r="AK36" i="4"/>
  <c r="C27" i="4"/>
  <c r="AL43" i="4"/>
  <c r="AK16" i="4"/>
  <c r="AM20" i="4"/>
  <c r="AC13" i="4"/>
  <c r="M51" i="4"/>
  <c r="AA32" i="4"/>
  <c r="D47" i="4"/>
  <c r="AH32" i="4"/>
  <c r="AA21" i="4"/>
  <c r="N52" i="4"/>
  <c r="AH30" i="4"/>
  <c r="AL56" i="4"/>
  <c r="AI10" i="4"/>
  <c r="Z22" i="4"/>
  <c r="AM50" i="4"/>
  <c r="C34" i="4"/>
  <c r="AM44" i="4"/>
  <c r="AI55" i="4"/>
  <c r="M25" i="4"/>
  <c r="F52" i="4"/>
  <c r="AD52" i="4"/>
  <c r="B36" i="4"/>
  <c r="Z13" i="4"/>
  <c r="J37" i="4"/>
  <c r="K24" i="4"/>
  <c r="L21" i="4"/>
  <c r="AH12" i="4"/>
  <c r="AC51" i="4"/>
  <c r="AC27" i="4"/>
  <c r="AK38" i="4"/>
  <c r="AJ55" i="4"/>
  <c r="AL32" i="4"/>
  <c r="Z12" i="4"/>
  <c r="L10" i="4"/>
  <c r="J23" i="4"/>
  <c r="D21" i="4"/>
  <c r="G43" i="4"/>
  <c r="AM55" i="4"/>
  <c r="N43" i="4"/>
  <c r="C20" i="4"/>
  <c r="AC55" i="4"/>
  <c r="AA26" i="4"/>
  <c r="AD34" i="4"/>
  <c r="G20" i="4"/>
  <c r="F53" i="4"/>
  <c r="AC38" i="4"/>
  <c r="AA20" i="4"/>
  <c r="E54" i="4"/>
  <c r="D19" i="4"/>
  <c r="AH33" i="4"/>
  <c r="AE14" i="4"/>
  <c r="AL18" i="4"/>
  <c r="AK26" i="4"/>
  <c r="O21" i="4"/>
  <c r="E51" i="4"/>
  <c r="F18" i="4"/>
  <c r="AJ17" i="4"/>
  <c r="AD46" i="4"/>
  <c r="AK21" i="4"/>
  <c r="AD42" i="4"/>
  <c r="AH13" i="4"/>
  <c r="Z26" i="4"/>
  <c r="AA34" i="4"/>
  <c r="AM10" i="4"/>
  <c r="AJ18" i="4"/>
  <c r="N10" i="4"/>
  <c r="AB12" i="4"/>
  <c r="N45" i="4"/>
  <c r="Z42" i="4"/>
  <c r="B21" i="4"/>
  <c r="N32" i="4"/>
  <c r="M11" i="4"/>
  <c r="AB30" i="4"/>
  <c r="L35" i="4"/>
  <c r="AM17" i="4"/>
  <c r="AK24" i="4"/>
  <c r="AI39" i="4"/>
  <c r="AB46" i="4"/>
  <c r="AK37" i="4"/>
  <c r="AB38" i="4"/>
  <c r="E31" i="4"/>
  <c r="AH22" i="4"/>
  <c r="F12" i="4"/>
  <c r="AJ51" i="4"/>
  <c r="K50" i="4"/>
  <c r="B15" i="4"/>
  <c r="AJ11" i="4"/>
  <c r="AI36" i="4"/>
  <c r="AC36" i="4"/>
  <c r="D53" i="4"/>
  <c r="L54" i="4"/>
  <c r="K34" i="4"/>
  <c r="AH15" i="4"/>
  <c r="AM34" i="4"/>
  <c r="AJ27" i="4"/>
  <c r="AI11" i="4"/>
  <c r="D37" i="4"/>
  <c r="G46" i="4"/>
  <c r="AC39" i="4"/>
  <c r="F37" i="4"/>
  <c r="AL12" i="4"/>
  <c r="AI15" i="4"/>
  <c r="D33" i="4"/>
  <c r="F32" i="4"/>
  <c r="L19" i="4"/>
  <c r="C32" i="4"/>
  <c r="J11" i="4"/>
  <c r="C51" i="4"/>
  <c r="AJ38" i="4"/>
  <c r="F10" i="4"/>
  <c r="Z44" i="4"/>
  <c r="E29" i="4"/>
  <c r="AC28" i="4"/>
  <c r="B30" i="4"/>
  <c r="AH54" i="4"/>
  <c r="AB28" i="4"/>
  <c r="G18" i="4"/>
  <c r="AC26" i="4"/>
  <c r="AH51" i="4"/>
  <c r="D25" i="4"/>
  <c r="AE21" i="4"/>
  <c r="G55" i="4"/>
  <c r="G44" i="4"/>
  <c r="M47" i="4"/>
  <c r="E26" i="4"/>
  <c r="AC37" i="4"/>
  <c r="AE54" i="4"/>
  <c r="N34" i="4"/>
  <c r="AC18" i="4"/>
  <c r="AL13" i="4"/>
  <c r="AK33" i="4"/>
  <c r="AE28" i="4"/>
  <c r="F20" i="4"/>
  <c r="AC56" i="4"/>
  <c r="AA17" i="4"/>
  <c r="AB23" i="4"/>
  <c r="G53" i="4"/>
  <c r="M54" i="4"/>
  <c r="AI33" i="4"/>
  <c r="AC23" i="4"/>
  <c r="O51" i="4"/>
  <c r="AJ30" i="4"/>
  <c r="C35" i="4"/>
  <c r="AE12" i="4"/>
  <c r="J51" i="4"/>
  <c r="D20" i="4"/>
  <c r="K28" i="4"/>
  <c r="AE56" i="4"/>
  <c r="J38" i="4"/>
  <c r="AB17" i="4"/>
  <c r="AD25" i="4"/>
  <c r="AJ37" i="4"/>
  <c r="AM37" i="4"/>
  <c r="Z19" i="4"/>
  <c r="M39" i="4"/>
  <c r="N42" i="4"/>
  <c r="Z56" i="4"/>
  <c r="AL11" i="4"/>
  <c r="AJ13" i="4"/>
  <c r="AE51" i="4"/>
  <c r="M33" i="4"/>
  <c r="B11" i="4"/>
  <c r="AB48" i="4"/>
  <c r="AL26" i="4"/>
  <c r="G28" i="4"/>
  <c r="AB20" i="4"/>
  <c r="AI48" i="4"/>
  <c r="G23" i="4"/>
  <c r="AJ29" i="4"/>
  <c r="AE35" i="4"/>
  <c r="Z46" i="4"/>
  <c r="K43" i="4"/>
  <c r="AH19" i="4"/>
  <c r="M13" i="4"/>
  <c r="M15" i="4"/>
  <c r="O17" i="4"/>
  <c r="AE16" i="4"/>
  <c r="AD48" i="4"/>
  <c r="O41" i="4"/>
  <c r="K23" i="4"/>
  <c r="Z25" i="4"/>
  <c r="G11" i="4"/>
  <c r="G30" i="4"/>
  <c r="J34" i="4"/>
  <c r="J18" i="4"/>
  <c r="Z54" i="4"/>
  <c r="O14" i="4"/>
  <c r="AC43" i="4"/>
  <c r="AL15" i="4"/>
  <c r="AA38" i="4"/>
  <c r="AH28" i="4"/>
  <c r="AI53" i="4"/>
  <c r="N40" i="4"/>
  <c r="Z29" i="4"/>
  <c r="O50" i="4"/>
  <c r="AK44" i="4"/>
  <c r="AL34" i="4"/>
  <c r="AH41" i="4"/>
  <c r="AC48" i="4"/>
  <c r="D50" i="4"/>
  <c r="B51" i="4"/>
  <c r="AE37" i="4"/>
  <c r="AM46" i="4"/>
  <c r="G19" i="4"/>
  <c r="E23" i="4"/>
  <c r="O12" i="4"/>
  <c r="J32" i="4"/>
  <c r="J40" i="4"/>
  <c r="E37" i="4"/>
  <c r="L47" i="4"/>
  <c r="C19" i="4"/>
  <c r="AD28" i="4"/>
  <c r="B14" i="4"/>
  <c r="AA18" i="4"/>
  <c r="E33" i="4"/>
  <c r="D17" i="4"/>
  <c r="Z16" i="4"/>
  <c r="B55" i="4"/>
  <c r="D11" i="4"/>
  <c r="M52" i="4"/>
  <c r="B31" i="4"/>
  <c r="N13" i="4"/>
  <c r="M14" i="4"/>
  <c r="AK40" i="4"/>
  <c r="AI27" i="4"/>
  <c r="AH42" i="4"/>
  <c r="D18" i="4"/>
  <c r="Z41" i="4"/>
  <c r="AD14" i="4"/>
  <c r="F11" i="4"/>
  <c r="G52" i="4"/>
  <c r="K18" i="4"/>
  <c r="K13" i="4"/>
  <c r="K42" i="4"/>
  <c r="AB42" i="4"/>
  <c r="B19" i="4"/>
  <c r="J26" i="4"/>
  <c r="K22" i="4"/>
  <c r="C39" i="4"/>
  <c r="AB54" i="4"/>
  <c r="AK14" i="4"/>
  <c r="AL41" i="4"/>
  <c r="AJ35" i="4"/>
  <c r="AJ12" i="4"/>
  <c r="D54" i="4"/>
  <c r="L43" i="4"/>
  <c r="M56" i="4"/>
  <c r="J22" i="4"/>
  <c r="AM40" i="4"/>
  <c r="AH25" i="4"/>
  <c r="AH31" i="4"/>
  <c r="L45" i="4"/>
  <c r="AA54" i="4"/>
  <c r="AD27" i="4"/>
  <c r="AH37" i="4"/>
  <c r="AD54" i="4"/>
  <c r="O19" i="4"/>
  <c r="K33" i="4"/>
  <c r="AA33" i="4"/>
  <c r="K35" i="4"/>
  <c r="AE32" i="4"/>
  <c r="AA28" i="4"/>
  <c r="L29" i="4"/>
  <c r="D35" i="4"/>
  <c r="L53" i="4"/>
  <c r="AJ19" i="4"/>
  <c r="M23" i="4"/>
  <c r="G29" i="4"/>
  <c r="C43" i="4"/>
  <c r="AE22" i="4"/>
  <c r="J21" i="4"/>
  <c r="AB29" i="4"/>
  <c r="G31" i="4"/>
  <c r="G56" i="4"/>
  <c r="AA41" i="4"/>
  <c r="B46" i="4"/>
  <c r="AH35" i="4"/>
  <c r="AC29" i="4"/>
  <c r="D48" i="4"/>
  <c r="AH29" i="4"/>
  <c r="B38" i="4"/>
  <c r="AM12" i="4"/>
  <c r="AJ39" i="4"/>
  <c r="O23" i="4"/>
  <c r="O37" i="4"/>
  <c r="AL30" i="4"/>
  <c r="M21" i="4"/>
  <c r="AH50" i="4"/>
  <c r="O39" i="4"/>
  <c r="AL31" i="4"/>
  <c r="C50" i="4"/>
  <c r="K54" i="4"/>
  <c r="O26" i="4"/>
  <c r="AD41" i="4"/>
  <c r="J27" i="4"/>
  <c r="AE53" i="4"/>
  <c r="N51" i="4"/>
  <c r="G32" i="4"/>
  <c r="O22" i="4"/>
  <c r="J50" i="4"/>
  <c r="AM31" i="4"/>
  <c r="AA39" i="4"/>
  <c r="AJ10" i="4"/>
  <c r="AH20" i="4"/>
  <c r="AK22" i="4"/>
  <c r="E56" i="4"/>
  <c r="AM52" i="4"/>
  <c r="AA48" i="4"/>
  <c r="B32" i="4"/>
  <c r="J43" i="4"/>
  <c r="AA24" i="4"/>
  <c r="AD22" i="4"/>
  <c r="AL47" i="4"/>
  <c r="B48" i="4"/>
  <c r="E41" i="4"/>
  <c r="AC44" i="4"/>
  <c r="AL28" i="4"/>
  <c r="O45" i="4"/>
  <c r="G16" i="4"/>
  <c r="AB37" i="4"/>
  <c r="C16" i="4"/>
  <c r="C52" i="4"/>
  <c r="AA52" i="4"/>
  <c r="AK56" i="4"/>
  <c r="B53" i="4"/>
  <c r="AA11" i="4"/>
  <c r="E14" i="4"/>
  <c r="D41" i="4"/>
  <c r="D31" i="4"/>
  <c r="Z30" i="4"/>
  <c r="AH53" i="4"/>
  <c r="AL24" i="4"/>
  <c r="AJ15" i="4"/>
  <c r="AE29" i="4"/>
  <c r="AC31" i="4"/>
  <c r="AJ46" i="4"/>
  <c r="AI13" i="4"/>
  <c r="O27" i="4"/>
  <c r="N25" i="4"/>
  <c r="O20" i="4"/>
  <c r="K51" i="4"/>
  <c r="AD31" i="4"/>
  <c r="AB39" i="4"/>
  <c r="M20" i="4"/>
  <c r="O10" i="4"/>
  <c r="F23" i="4"/>
  <c r="N20" i="4"/>
  <c r="G13" i="4"/>
  <c r="AK50" i="4"/>
  <c r="O15" i="4"/>
  <c r="E20" i="4"/>
  <c r="AH39" i="4"/>
  <c r="L40" i="4"/>
  <c r="G37" i="4"/>
  <c r="F13" i="4"/>
  <c r="AA51" i="4"/>
  <c r="K40" i="4"/>
  <c r="AA43" i="4"/>
  <c r="M27" i="4"/>
  <c r="N18" i="4"/>
  <c r="B47" i="4"/>
  <c r="M44" i="4"/>
  <c r="AE34" i="4"/>
  <c r="F25" i="4"/>
  <c r="AJ47" i="4"/>
  <c r="L16" i="4"/>
  <c r="G34" i="4"/>
  <c r="Z32" i="4"/>
  <c r="C26" i="4"/>
  <c r="AJ36" i="4"/>
  <c r="F16" i="4"/>
  <c r="AH16" i="4"/>
  <c r="M53" i="4"/>
  <c r="O29" i="4"/>
  <c r="AE55" i="4"/>
  <c r="AI38" i="4"/>
  <c r="B34" i="4"/>
  <c r="AJ33" i="4"/>
  <c r="K48" i="4"/>
  <c r="AL29" i="4"/>
  <c r="B43" i="4"/>
  <c r="M31" i="4"/>
  <c r="AM56" i="4"/>
  <c r="AD36" i="4"/>
  <c r="B56" i="4"/>
  <c r="E18" i="4"/>
  <c r="J39" i="4"/>
  <c r="AB50" i="4"/>
  <c r="AM18" i="4"/>
  <c r="G48" i="4"/>
  <c r="AK30" i="4"/>
  <c r="AJ23" i="4"/>
  <c r="K44" i="4"/>
  <c r="N29" i="4"/>
  <c r="F34" i="4"/>
  <c r="G41" i="4"/>
  <c r="M18" i="4"/>
  <c r="F43" i="4"/>
  <c r="N39" i="4"/>
  <c r="G25" i="4"/>
  <c r="J20" i="4"/>
  <c r="Z51" i="4"/>
  <c r="Z10" i="4"/>
  <c r="D12" i="4"/>
  <c r="L25" i="4"/>
  <c r="AC32" i="4"/>
  <c r="AJ43" i="4"/>
  <c r="J47" i="4"/>
  <c r="J33" i="4"/>
  <c r="O25" i="4"/>
  <c r="AD24" i="4"/>
  <c r="K17" i="4"/>
  <c r="E45" i="4"/>
  <c r="L34" i="4"/>
  <c r="K27" i="4"/>
  <c r="J24" i="4"/>
  <c r="Z20" i="4"/>
  <c r="AI50" i="4"/>
  <c r="J17" i="4"/>
  <c r="AM54" i="4"/>
  <c r="AE43" i="4"/>
  <c r="N31" i="4"/>
  <c r="O48" i="4"/>
  <c r="AI22" i="4"/>
  <c r="AD38" i="4"/>
  <c r="E34" i="4"/>
  <c r="AK42" i="4"/>
  <c r="AC34" i="4"/>
  <c r="AJ22" i="4"/>
  <c r="K52" i="4"/>
  <c r="Z47" i="4"/>
  <c r="L30" i="4"/>
  <c r="Z14" i="4"/>
  <c r="AC54" i="4"/>
  <c r="AA40" i="4"/>
  <c r="E44" i="4"/>
  <c r="AJ44" i="4"/>
  <c r="AJ28" i="4"/>
  <c r="C10" i="4"/>
  <c r="L31" i="4"/>
  <c r="AA56" i="4"/>
  <c r="N23" i="4"/>
  <c r="E32" i="4"/>
  <c r="J55" i="4"/>
  <c r="D42" i="4"/>
  <c r="J54" i="4"/>
  <c r="B13" i="4"/>
  <c r="Z21" i="4"/>
  <c r="K15" i="4"/>
  <c r="F47" i="4"/>
  <c r="AH11" i="4"/>
  <c r="AB55" i="4"/>
  <c r="F30" i="4"/>
  <c r="AA31" i="4"/>
  <c r="AL22" i="4"/>
  <c r="N55" i="4"/>
  <c r="C38" i="4"/>
  <c r="Z35" i="4"/>
  <c r="AE10" i="4"/>
  <c r="AI56" i="4"/>
  <c r="AM47" i="4"/>
  <c r="E17" i="4"/>
  <c r="O18" i="4"/>
  <c r="AJ21" i="4"/>
  <c r="F15" i="4"/>
  <c r="AK55" i="4"/>
  <c r="E11" i="4"/>
  <c r="N27" i="4"/>
  <c r="K47" i="4"/>
  <c r="F44" i="4"/>
  <c r="L22" i="4"/>
  <c r="K11" i="4"/>
  <c r="J10" i="4"/>
  <c r="F17" i="4"/>
  <c r="AJ53" i="4"/>
  <c r="J36" i="4"/>
  <c r="AJ41" i="4"/>
  <c r="G39" i="4"/>
  <c r="D44" i="4"/>
  <c r="K41" i="4"/>
  <c r="AL14" i="4"/>
  <c r="N11" i="4"/>
  <c r="AD13" i="4"/>
  <c r="N41" i="4"/>
  <c r="K20" i="4"/>
  <c r="AK39" i="4"/>
  <c r="AK28" i="4"/>
  <c r="G40" i="4"/>
  <c r="B23" i="4"/>
  <c r="AD15" i="4"/>
  <c r="L46" i="4"/>
  <c r="AB16" i="4"/>
  <c r="D30" i="4"/>
  <c r="AI21" i="4"/>
  <c r="AL23" i="4"/>
  <c r="L39" i="4"/>
  <c r="AA53" i="4"/>
  <c r="AM30" i="4"/>
  <c r="AL55" i="4"/>
  <c r="AM22" i="4"/>
  <c r="J12" i="4"/>
  <c r="L38" i="4"/>
  <c r="B16" i="4"/>
  <c r="M10" i="4"/>
  <c r="G26" i="4"/>
  <c r="N37" i="4"/>
  <c r="AC16" i="4"/>
  <c r="AH21" i="4"/>
  <c r="E38" i="4"/>
  <c r="AB35" i="4"/>
  <c r="G24" i="4"/>
  <c r="E24" i="4"/>
  <c r="AE23" i="4"/>
  <c r="K46" i="4"/>
  <c r="AI17" i="4"/>
  <c r="AJ48" i="4"/>
  <c r="D38" i="4"/>
  <c r="B26" i="4"/>
  <c r="O33" i="4"/>
  <c r="C41" i="4"/>
  <c r="AL10" i="4"/>
  <c r="C54" i="4"/>
  <c r="AD50" i="4"/>
  <c r="AL39" i="4"/>
  <c r="B22" i="4"/>
  <c r="AH52" i="4"/>
  <c r="L20" i="4"/>
  <c r="E46" i="4"/>
  <c r="E47" i="4"/>
  <c r="F50" i="4"/>
  <c r="M48" i="4"/>
  <c r="AB24" i="4"/>
  <c r="E55" i="4"/>
  <c r="D13" i="4"/>
  <c r="Z27" i="4"/>
  <c r="K55" i="4"/>
  <c r="M46" i="4"/>
  <c r="AI52" i="4"/>
  <c r="AI32" i="4"/>
  <c r="D46" i="4"/>
  <c r="B52" i="4"/>
  <c r="J44" i="4"/>
  <c r="AB10" i="4"/>
  <c r="AM39" i="4"/>
  <c r="O24" i="4"/>
  <c r="J31" i="4"/>
  <c r="C17" i="4"/>
  <c r="AJ50" i="4"/>
  <c r="AD32" i="4"/>
  <c r="J13" i="4"/>
  <c r="F41" i="4"/>
  <c r="AJ31" i="4"/>
  <c r="AD30" i="4"/>
  <c r="C13" i="4"/>
  <c r="J41" i="4"/>
  <c r="AI23" i="4"/>
  <c r="AL48" i="4"/>
  <c r="C56" i="4"/>
  <c r="D45" i="4"/>
  <c r="J46" i="4"/>
  <c r="C21" i="4"/>
  <c r="B18" i="4"/>
  <c r="N14" i="4"/>
  <c r="AL53" i="4"/>
  <c r="O46" i="4"/>
  <c r="AI29" i="4"/>
  <c r="K36" i="4"/>
  <c r="B24" i="4"/>
  <c r="AC53" i="4"/>
  <c r="AK32" i="4"/>
  <c r="C18" i="4"/>
  <c r="AJ56" i="4"/>
  <c r="AB18" i="4"/>
  <c r="AC42" i="4"/>
  <c r="B10" i="4"/>
  <c r="E39" i="4"/>
  <c r="AJ26" i="4"/>
  <c r="J29" i="4"/>
  <c r="E16" i="4"/>
  <c r="O38" i="4"/>
  <c r="Z37" i="4"/>
  <c r="AH14" i="4"/>
  <c r="C15" i="4"/>
  <c r="AC12" i="4"/>
  <c r="E22" i="4"/>
  <c r="AL36" i="4"/>
  <c r="O35" i="4"/>
  <c r="F27" i="4"/>
  <c r="C12" i="4"/>
  <c r="AB19" i="4"/>
  <c r="F46" i="4"/>
  <c r="AB40" i="4"/>
  <c r="J16" i="4"/>
  <c r="AH36" i="4"/>
  <c r="B45" i="4"/>
  <c r="G42" i="4"/>
  <c r="M19" i="4"/>
  <c r="D36" i="4"/>
  <c r="AC35" i="4"/>
  <c r="AK20" i="4"/>
  <c r="AB36" i="4"/>
  <c r="F26" i="4"/>
  <c r="O34" i="4"/>
  <c r="F24" i="4"/>
  <c r="G51" i="4"/>
  <c r="AD51" i="4"/>
  <c r="F38" i="4"/>
  <c r="M38" i="4"/>
  <c r="Z55" i="4"/>
  <c r="AC22" i="4"/>
  <c r="AM32" i="4"/>
  <c r="E50" i="4"/>
  <c r="AM24" i="4"/>
  <c r="N56" i="4"/>
  <c r="AE44" i="4"/>
  <c r="Z43" i="4"/>
  <c r="K29" i="4"/>
  <c r="G35" i="4"/>
  <c r="M36" i="4"/>
  <c r="O28" i="4"/>
  <c r="AA50" i="4"/>
  <c r="C47" i="4"/>
  <c r="M32" i="4"/>
  <c r="AK27" i="4"/>
  <c r="AA12" i="4"/>
  <c r="AD10" i="4"/>
  <c r="J53" i="4"/>
  <c r="C31" i="4"/>
  <c r="N54" i="4"/>
  <c r="AM16" i="4"/>
  <c r="Z24" i="4"/>
  <c r="E53" i="4"/>
  <c r="G36" i="4"/>
  <c r="AD39" i="4"/>
  <c r="AK25" i="4"/>
  <c r="O36" i="4"/>
  <c r="K56" i="4"/>
  <c r="AJ24" i="4"/>
  <c r="AA16" i="4"/>
  <c r="N24" i="4"/>
  <c r="AE13" i="4"/>
  <c r="M37" i="4"/>
  <c r="G21" i="4"/>
  <c r="F39" i="4"/>
  <c r="C23" i="4"/>
  <c r="AL38" i="4"/>
  <c r="AI44" i="4"/>
  <c r="Z36" i="4"/>
  <c r="AM14" i="4"/>
  <c r="B41" i="4"/>
  <c r="AM11" i="4"/>
  <c r="AE46" i="4"/>
  <c r="B33" i="4"/>
  <c r="AE50" i="4"/>
  <c r="D40" i="4"/>
  <c r="AC15" i="4"/>
  <c r="L37" i="4"/>
  <c r="C40" i="4"/>
  <c r="F35" i="4"/>
  <c r="E25" i="4"/>
  <c r="J19" i="4"/>
  <c r="AE36" i="4"/>
  <c r="AK47" i="4"/>
  <c r="AK34" i="4"/>
  <c r="AD21" i="4"/>
  <c r="D26" i="4"/>
  <c r="AE19" i="4"/>
  <c r="G12" i="4"/>
  <c r="M30" i="4"/>
  <c r="N22" i="4"/>
  <c r="AA15" i="4"/>
  <c r="N33" i="4"/>
  <c r="O54" i="4"/>
  <c r="AI19" i="4"/>
  <c r="L11" i="4"/>
  <c r="AJ34" i="4"/>
  <c r="AM28" i="4"/>
  <c r="D10" i="4"/>
  <c r="AC10" i="4"/>
  <c r="K39" i="4"/>
  <c r="AI16" i="4"/>
  <c r="M45" i="4"/>
  <c r="AM51" i="4"/>
  <c r="AK52" i="4"/>
  <c r="AI54" i="4"/>
  <c r="AK13" i="4"/>
  <c r="AD33" i="4"/>
  <c r="AH23" i="4"/>
  <c r="AL33" i="4"/>
  <c r="AI30" i="4"/>
  <c r="AI20" i="4"/>
  <c r="AL44" i="4"/>
  <c r="AB25" i="4"/>
  <c r="AM19" i="4"/>
  <c r="AA22" i="4"/>
  <c r="AM25" i="4"/>
  <c r="AA37" i="4"/>
  <c r="F28" i="4"/>
  <c r="AC21" i="4"/>
  <c r="AC33" i="4"/>
  <c r="C14" i="4"/>
  <c r="L13" i="4"/>
  <c r="C22" i="4"/>
  <c r="AE42" i="4"/>
  <c r="AK53" i="4"/>
  <c r="AK23" i="4"/>
  <c r="AL51" i="4"/>
  <c r="J25" i="4"/>
  <c r="O53" i="4"/>
  <c r="AE39" i="4"/>
  <c r="B39" i="4"/>
  <c r="AC24" i="4"/>
  <c r="AE40" i="4"/>
  <c r="AB53" i="4"/>
  <c r="AH27" i="4"/>
  <c r="K31" i="4"/>
  <c r="F33" i="4"/>
  <c r="C28" i="4"/>
  <c r="E35" i="4"/>
  <c r="AA47" i="4"/>
  <c r="AH44" i="4"/>
  <c r="D16" i="4"/>
  <c r="E10" i="4"/>
  <c r="C44" i="4"/>
  <c r="AD40" i="4"/>
  <c r="N17" i="4"/>
  <c r="O40" i="4"/>
  <c r="O11" i="4"/>
  <c r="AI40" i="4"/>
  <c r="N46" i="4"/>
  <c r="D24" i="4"/>
  <c r="N50" i="4"/>
  <c r="AC20" i="4"/>
  <c r="K25" i="4"/>
  <c r="M22" i="4"/>
  <c r="Z40" i="4"/>
  <c r="AL35" i="4"/>
  <c r="AM29" i="4"/>
  <c r="AE52" i="4"/>
  <c r="G54" i="4"/>
  <c r="J30" i="4"/>
  <c r="P30" i="4" l="1"/>
  <c r="P30" i="5" s="1"/>
  <c r="J30" i="5"/>
  <c r="G54" i="5"/>
  <c r="W54" i="4"/>
  <c r="AE52" i="5"/>
  <c r="AM29" i="5"/>
  <c r="AL35" i="5"/>
  <c r="AF40" i="4"/>
  <c r="AF40" i="5" s="1"/>
  <c r="Z40" i="5"/>
  <c r="M22" i="5"/>
  <c r="K25" i="5"/>
  <c r="AC20" i="5"/>
  <c r="N50" i="5"/>
  <c r="N49" i="4"/>
  <c r="N49" i="5" s="1"/>
  <c r="D24" i="5"/>
  <c r="T24" i="4"/>
  <c r="T24" i="5" s="1"/>
  <c r="N46" i="5"/>
  <c r="AI40" i="5"/>
  <c r="O11" i="5"/>
  <c r="O40" i="5"/>
  <c r="N17" i="5"/>
  <c r="AD40" i="5"/>
  <c r="S44" i="4"/>
  <c r="S44" i="5" s="1"/>
  <c r="C44" i="5"/>
  <c r="E10" i="5"/>
  <c r="U10" i="4"/>
  <c r="E9" i="4"/>
  <c r="T16" i="4"/>
  <c r="T16" i="5" s="1"/>
  <c r="D16" i="5"/>
  <c r="AN44" i="4"/>
  <c r="AN44" i="5" s="1"/>
  <c r="AH44" i="5"/>
  <c r="AA47" i="5"/>
  <c r="U35" i="4"/>
  <c r="AS35" i="4" s="1"/>
  <c r="AS35" i="5" s="1"/>
  <c r="E35" i="5"/>
  <c r="C28" i="5"/>
  <c r="S28" i="4"/>
  <c r="S28" i="5" s="1"/>
  <c r="F33" i="5"/>
  <c r="V33" i="4"/>
  <c r="V33" i="5" s="1"/>
  <c r="K31" i="5"/>
  <c r="AN27" i="4"/>
  <c r="AN27" i="5" s="1"/>
  <c r="AH27" i="5"/>
  <c r="AB53" i="5"/>
  <c r="AE40" i="5"/>
  <c r="AC24" i="5"/>
  <c r="H39" i="4"/>
  <c r="H39" i="5" s="1"/>
  <c r="R39" i="4"/>
  <c r="B39" i="5"/>
  <c r="AE39" i="5"/>
  <c r="O53" i="5"/>
  <c r="J25" i="5"/>
  <c r="P25" i="4"/>
  <c r="P25" i="5" s="1"/>
  <c r="AL51" i="5"/>
  <c r="AK23" i="5"/>
  <c r="AK53" i="5"/>
  <c r="AE42" i="5"/>
  <c r="S22" i="4"/>
  <c r="S22" i="5" s="1"/>
  <c r="C22" i="5"/>
  <c r="L13" i="5"/>
  <c r="C14" i="5"/>
  <c r="S14" i="4"/>
  <c r="S14" i="5" s="1"/>
  <c r="AC33" i="5"/>
  <c r="AC21" i="5"/>
  <c r="F28" i="5"/>
  <c r="V28" i="4"/>
  <c r="V28" i="5" s="1"/>
  <c r="AA37" i="5"/>
  <c r="AM25" i="5"/>
  <c r="AA22" i="5"/>
  <c r="AM19" i="5"/>
  <c r="AB25" i="5"/>
  <c r="AL44" i="5"/>
  <c r="AI20" i="5"/>
  <c r="AI30" i="5"/>
  <c r="AL33" i="5"/>
  <c r="AN23" i="4"/>
  <c r="AN23" i="5" s="1"/>
  <c r="AH23" i="5"/>
  <c r="AD33" i="5"/>
  <c r="AK13" i="5"/>
  <c r="AI54" i="5"/>
  <c r="AK52" i="5"/>
  <c r="AM51" i="5"/>
  <c r="M45" i="5"/>
  <c r="AI16" i="5"/>
  <c r="K39" i="5"/>
  <c r="AC9" i="4"/>
  <c r="AC9" i="5" s="1"/>
  <c r="AC10" i="5"/>
  <c r="D10" i="5"/>
  <c r="T10" i="4"/>
  <c r="T10" i="5" s="1"/>
  <c r="D9" i="4"/>
  <c r="AM28" i="5"/>
  <c r="AJ34" i="5"/>
  <c r="L11" i="5"/>
  <c r="AI19" i="5"/>
  <c r="O54" i="5"/>
  <c r="N33" i="5"/>
  <c r="AA15" i="5"/>
  <c r="N22" i="5"/>
  <c r="M30" i="5"/>
  <c r="W12" i="4"/>
  <c r="W12" i="5" s="1"/>
  <c r="G12" i="5"/>
  <c r="AE19" i="5"/>
  <c r="T26" i="4"/>
  <c r="T26" i="5" s="1"/>
  <c r="D26" i="5"/>
  <c r="AD21" i="5"/>
  <c r="AK34" i="5"/>
  <c r="AK47" i="5"/>
  <c r="AE36" i="5"/>
  <c r="P19" i="4"/>
  <c r="P19" i="5" s="1"/>
  <c r="J19" i="5"/>
  <c r="U25" i="4"/>
  <c r="U25" i="5" s="1"/>
  <c r="E25" i="5"/>
  <c r="V35" i="4"/>
  <c r="F35" i="5"/>
  <c r="S40" i="4"/>
  <c r="C40" i="5"/>
  <c r="L37" i="5"/>
  <c r="AC15" i="5"/>
  <c r="T40" i="4"/>
  <c r="T40" i="5" s="1"/>
  <c r="D40" i="5"/>
  <c r="AE49" i="4"/>
  <c r="AE49" i="5" s="1"/>
  <c r="AE50" i="5"/>
  <c r="B33" i="5"/>
  <c r="H33" i="4"/>
  <c r="H33" i="5" s="1"/>
  <c r="R33" i="4"/>
  <c r="AP33" i="4" s="1"/>
  <c r="AP33" i="5" s="1"/>
  <c r="AE46" i="5"/>
  <c r="AM11" i="5"/>
  <c r="R41" i="4"/>
  <c r="R41" i="5" s="1"/>
  <c r="B41" i="5"/>
  <c r="H41" i="4"/>
  <c r="H41" i="5" s="1"/>
  <c r="AM14" i="5"/>
  <c r="Z36" i="5"/>
  <c r="AF36" i="4"/>
  <c r="AF36" i="5" s="1"/>
  <c r="AI44" i="5"/>
  <c r="AL38" i="5"/>
  <c r="C23" i="5"/>
  <c r="S23" i="4"/>
  <c r="S23" i="5" s="1"/>
  <c r="F39" i="5"/>
  <c r="V39" i="4"/>
  <c r="AT39" i="4" s="1"/>
  <c r="AT39" i="5" s="1"/>
  <c r="G21" i="5"/>
  <c r="W21" i="4"/>
  <c r="W21" i="5" s="1"/>
  <c r="M37" i="5"/>
  <c r="AE13" i="5"/>
  <c r="N24" i="5"/>
  <c r="AA16" i="5"/>
  <c r="AJ24" i="5"/>
  <c r="K56" i="5"/>
  <c r="O36" i="5"/>
  <c r="AK25" i="5"/>
  <c r="AD39" i="5"/>
  <c r="W36" i="4"/>
  <c r="W36" i="5" s="1"/>
  <c r="G36" i="5"/>
  <c r="U53" i="4"/>
  <c r="U53" i="5" s="1"/>
  <c r="E53" i="5"/>
  <c r="AF24" i="4"/>
  <c r="AF24" i="5" s="1"/>
  <c r="Z24" i="5"/>
  <c r="AM16" i="5"/>
  <c r="N54" i="5"/>
  <c r="C31" i="5"/>
  <c r="S31" i="4"/>
  <c r="AQ31" i="4" s="1"/>
  <c r="AQ31" i="5" s="1"/>
  <c r="J53" i="5"/>
  <c r="P53" i="4"/>
  <c r="P53" i="5" s="1"/>
  <c r="AD9" i="4"/>
  <c r="AD10" i="5"/>
  <c r="AA12" i="5"/>
  <c r="AK27" i="5"/>
  <c r="M32" i="5"/>
  <c r="S47" i="4"/>
  <c r="S47" i="5" s="1"/>
  <c r="C47" i="5"/>
  <c r="AA50" i="5"/>
  <c r="AA49" i="4"/>
  <c r="AA49" i="5" s="1"/>
  <c r="O28" i="5"/>
  <c r="M36" i="5"/>
  <c r="G35" i="5"/>
  <c r="W35" i="4"/>
  <c r="W35" i="5" s="1"/>
  <c r="K29" i="5"/>
  <c r="Z43" i="5"/>
  <c r="AF43" i="4"/>
  <c r="AF43" i="5" s="1"/>
  <c r="AE44" i="5"/>
  <c r="N56" i="5"/>
  <c r="AM24" i="5"/>
  <c r="U50" i="4"/>
  <c r="U50" i="5" s="1"/>
  <c r="E49" i="4"/>
  <c r="E50" i="5"/>
  <c r="AM32" i="5"/>
  <c r="AC22" i="5"/>
  <c r="AF55" i="4"/>
  <c r="AF55" i="5" s="1"/>
  <c r="Z55" i="5"/>
  <c r="M38" i="5"/>
  <c r="V38" i="4"/>
  <c r="V38" i="5" s="1"/>
  <c r="F38" i="5"/>
  <c r="AD51" i="5"/>
  <c r="W51" i="4"/>
  <c r="W51" i="5" s="1"/>
  <c r="G51" i="5"/>
  <c r="V24" i="4"/>
  <c r="F24" i="5"/>
  <c r="O34" i="5"/>
  <c r="V26" i="4"/>
  <c r="V26" i="5" s="1"/>
  <c r="F26" i="5"/>
  <c r="AB36" i="5"/>
  <c r="AK20" i="5"/>
  <c r="AC35" i="5"/>
  <c r="D36" i="5"/>
  <c r="T36" i="4"/>
  <c r="AR36" i="4" s="1"/>
  <c r="AR36" i="5" s="1"/>
  <c r="M19" i="5"/>
  <c r="W42" i="4"/>
  <c r="W42" i="5" s="1"/>
  <c r="G42" i="5"/>
  <c r="H45" i="4"/>
  <c r="H45" i="5" s="1"/>
  <c r="B45" i="5"/>
  <c r="R45" i="4"/>
  <c r="AH36" i="5"/>
  <c r="AN36" i="4"/>
  <c r="AN36" i="5" s="1"/>
  <c r="J16" i="5"/>
  <c r="P16" i="4"/>
  <c r="P16" i="5" s="1"/>
  <c r="AB40" i="5"/>
  <c r="V46" i="4"/>
  <c r="V46" i="5" s="1"/>
  <c r="F46" i="5"/>
  <c r="AB19" i="5"/>
  <c r="C12" i="5"/>
  <c r="S12" i="4"/>
  <c r="S12" i="5" s="1"/>
  <c r="V27" i="4"/>
  <c r="V27" i="5" s="1"/>
  <c r="F27" i="5"/>
  <c r="O35" i="5"/>
  <c r="AL36" i="5"/>
  <c r="E22" i="5"/>
  <c r="U22" i="4"/>
  <c r="U22" i="5" s="1"/>
  <c r="AC12" i="5"/>
  <c r="S15" i="4"/>
  <c r="S15" i="5" s="1"/>
  <c r="C15" i="5"/>
  <c r="AN14" i="4"/>
  <c r="AN14" i="5" s="1"/>
  <c r="AH14" i="5"/>
  <c r="Z37" i="5"/>
  <c r="AF37" i="4"/>
  <c r="AF37" i="5" s="1"/>
  <c r="O38" i="5"/>
  <c r="E16" i="5"/>
  <c r="U16" i="4"/>
  <c r="U16" i="5" s="1"/>
  <c r="P29" i="4"/>
  <c r="P29" i="5" s="1"/>
  <c r="J29" i="5"/>
  <c r="AJ26" i="5"/>
  <c r="E39" i="5"/>
  <c r="U39" i="4"/>
  <c r="U39" i="5" s="1"/>
  <c r="B9" i="4"/>
  <c r="B9" i="5" s="1"/>
  <c r="H10" i="4"/>
  <c r="H10" i="5" s="1"/>
  <c r="B10" i="5"/>
  <c r="R10" i="4"/>
  <c r="AC42" i="5"/>
  <c r="AB18" i="5"/>
  <c r="AJ56" i="5"/>
  <c r="C18" i="5"/>
  <c r="S18" i="4"/>
  <c r="S18" i="5" s="1"/>
  <c r="AK32" i="5"/>
  <c r="AC53" i="5"/>
  <c r="B24" i="5"/>
  <c r="R24" i="4"/>
  <c r="R24" i="5" s="1"/>
  <c r="H24" i="4"/>
  <c r="H24" i="5" s="1"/>
  <c r="K36" i="5"/>
  <c r="AI29" i="5"/>
  <c r="O46" i="5"/>
  <c r="AL53" i="5"/>
  <c r="N14" i="5"/>
  <c r="B18" i="5"/>
  <c r="R18" i="4"/>
  <c r="AP18" i="4" s="1"/>
  <c r="AP18" i="5" s="1"/>
  <c r="H18" i="4"/>
  <c r="H18" i="5" s="1"/>
  <c r="S21" i="4"/>
  <c r="S21" i="5" s="1"/>
  <c r="C21" i="5"/>
  <c r="J46" i="5"/>
  <c r="P46" i="4"/>
  <c r="P46" i="5" s="1"/>
  <c r="D45" i="5"/>
  <c r="T45" i="4"/>
  <c r="T45" i="5" s="1"/>
  <c r="C56" i="5"/>
  <c r="S56" i="4"/>
  <c r="S56" i="5" s="1"/>
  <c r="AL48" i="5"/>
  <c r="AI23" i="5"/>
  <c r="P41" i="4"/>
  <c r="P41" i="5" s="1"/>
  <c r="J41" i="5"/>
  <c r="C13" i="5"/>
  <c r="S13" i="4"/>
  <c r="S13" i="5" s="1"/>
  <c r="AD30" i="5"/>
  <c r="AJ31" i="5"/>
  <c r="V41" i="4"/>
  <c r="V41" i="5" s="1"/>
  <c r="F41" i="5"/>
  <c r="P13" i="4"/>
  <c r="P13" i="5" s="1"/>
  <c r="J13" i="5"/>
  <c r="AD32" i="5"/>
  <c r="AJ49" i="4"/>
  <c r="AJ49" i="5" s="1"/>
  <c r="AJ50" i="5"/>
  <c r="S17" i="4"/>
  <c r="S17" i="5" s="1"/>
  <c r="C17" i="5"/>
  <c r="P31" i="4"/>
  <c r="P31" i="5" s="1"/>
  <c r="J31" i="5"/>
  <c r="O24" i="5"/>
  <c r="AM39" i="5"/>
  <c r="AB10" i="5"/>
  <c r="AB9" i="4"/>
  <c r="P44" i="4"/>
  <c r="P44" i="5" s="1"/>
  <c r="J44" i="5"/>
  <c r="R52" i="4"/>
  <c r="R52" i="5" s="1"/>
  <c r="H52" i="4"/>
  <c r="H52" i="5" s="1"/>
  <c r="B52" i="5"/>
  <c r="D46" i="5"/>
  <c r="T46" i="4"/>
  <c r="T46" i="5" s="1"/>
  <c r="AI32" i="5"/>
  <c r="AI52" i="5"/>
  <c r="M46" i="5"/>
  <c r="K55" i="5"/>
  <c r="AF27" i="4"/>
  <c r="AF27" i="5" s="1"/>
  <c r="Z27" i="5"/>
  <c r="T13" i="4"/>
  <c r="T13" i="5" s="1"/>
  <c r="D13" i="5"/>
  <c r="U55" i="4"/>
  <c r="U55" i="5" s="1"/>
  <c r="E55" i="5"/>
  <c r="AB24" i="5"/>
  <c r="M48" i="5"/>
  <c r="F49" i="4"/>
  <c r="F49" i="5" s="1"/>
  <c r="V50" i="4"/>
  <c r="V50" i="5" s="1"/>
  <c r="F50" i="5"/>
  <c r="U47" i="4"/>
  <c r="U47" i="5" s="1"/>
  <c r="E47" i="5"/>
  <c r="U46" i="4"/>
  <c r="U46" i="5" s="1"/>
  <c r="E46" i="5"/>
  <c r="L20" i="5"/>
  <c r="AN52" i="4"/>
  <c r="AN52" i="5" s="1"/>
  <c r="AH52" i="5"/>
  <c r="AP52" i="4"/>
  <c r="AP52" i="5" s="1"/>
  <c r="B22" i="5"/>
  <c r="H22" i="4"/>
  <c r="H22" i="5" s="1"/>
  <c r="R22" i="4"/>
  <c r="R22" i="5" s="1"/>
  <c r="AL39" i="5"/>
  <c r="AD49" i="4"/>
  <c r="AD49" i="5" s="1"/>
  <c r="AD50" i="5"/>
  <c r="S54" i="4"/>
  <c r="S54" i="5" s="1"/>
  <c r="C54" i="5"/>
  <c r="AL10" i="5"/>
  <c r="AL9" i="4"/>
  <c r="AL9" i="5" s="1"/>
  <c r="S41" i="4"/>
  <c r="S41" i="5" s="1"/>
  <c r="C41" i="5"/>
  <c r="O33" i="5"/>
  <c r="H26" i="4"/>
  <c r="H26" i="5" s="1"/>
  <c r="B26" i="5"/>
  <c r="R26" i="4"/>
  <c r="R26" i="5" s="1"/>
  <c r="D38" i="5"/>
  <c r="T38" i="4"/>
  <c r="T38" i="5" s="1"/>
  <c r="AJ48" i="5"/>
  <c r="AI17" i="5"/>
  <c r="K46" i="5"/>
  <c r="AE23" i="5"/>
  <c r="E24" i="5"/>
  <c r="U24" i="4"/>
  <c r="U24" i="5" s="1"/>
  <c r="G24" i="5"/>
  <c r="W24" i="4"/>
  <c r="W24" i="5" s="1"/>
  <c r="AB35" i="5"/>
  <c r="U38" i="4"/>
  <c r="U38" i="5" s="1"/>
  <c r="E38" i="5"/>
  <c r="AN21" i="4"/>
  <c r="AN21" i="5" s="1"/>
  <c r="AH21" i="5"/>
  <c r="AC16" i="5"/>
  <c r="N37" i="5"/>
  <c r="G26" i="5"/>
  <c r="W26" i="4"/>
  <c r="W26" i="5" s="1"/>
  <c r="M9" i="4"/>
  <c r="M9" i="5" s="1"/>
  <c r="M10" i="5"/>
  <c r="H16" i="4"/>
  <c r="H16" i="5" s="1"/>
  <c r="R16" i="4"/>
  <c r="B16" i="5"/>
  <c r="L38" i="5"/>
  <c r="J12" i="5"/>
  <c r="P12" i="4"/>
  <c r="P12" i="5" s="1"/>
  <c r="AM22" i="5"/>
  <c r="AL55" i="5"/>
  <c r="AM30" i="5"/>
  <c r="AA53" i="5"/>
  <c r="L39" i="5"/>
  <c r="AL23" i="5"/>
  <c r="AI21" i="5"/>
  <c r="T30" i="4"/>
  <c r="T30" i="5" s="1"/>
  <c r="D30" i="5"/>
  <c r="AB16" i="5"/>
  <c r="L46" i="5"/>
  <c r="AD15" i="5"/>
  <c r="H23" i="4"/>
  <c r="H23" i="5" s="1"/>
  <c r="R23" i="4"/>
  <c r="R23" i="5" s="1"/>
  <c r="B23" i="5"/>
  <c r="G40" i="5"/>
  <c r="W40" i="4"/>
  <c r="W40" i="5" s="1"/>
  <c r="AK28" i="5"/>
  <c r="AK39" i="5"/>
  <c r="K20" i="5"/>
  <c r="N41" i="5"/>
  <c r="AD13" i="5"/>
  <c r="N11" i="5"/>
  <c r="AL14" i="5"/>
  <c r="K41" i="5"/>
  <c r="D44" i="5"/>
  <c r="T44" i="4"/>
  <c r="W39" i="4"/>
  <c r="W39" i="5" s="1"/>
  <c r="G39" i="5"/>
  <c r="AJ41" i="5"/>
  <c r="P36" i="4"/>
  <c r="P36" i="5" s="1"/>
  <c r="J36" i="5"/>
  <c r="AJ53" i="5"/>
  <c r="V17" i="4"/>
  <c r="F17" i="5"/>
  <c r="P10" i="4"/>
  <c r="P10" i="5" s="1"/>
  <c r="J9" i="4"/>
  <c r="J9" i="5" s="1"/>
  <c r="J10" i="5"/>
  <c r="K11" i="5"/>
  <c r="L22" i="5"/>
  <c r="V44" i="4"/>
  <c r="V44" i="5" s="1"/>
  <c r="F44" i="5"/>
  <c r="K47" i="5"/>
  <c r="N27" i="5"/>
  <c r="E11" i="5"/>
  <c r="U11" i="4"/>
  <c r="U11" i="5" s="1"/>
  <c r="AK55" i="5"/>
  <c r="F15" i="5"/>
  <c r="V15" i="4"/>
  <c r="V15" i="5" s="1"/>
  <c r="AJ21" i="5"/>
  <c r="O18" i="5"/>
  <c r="U17" i="4"/>
  <c r="AS17" i="4" s="1"/>
  <c r="AS17" i="5" s="1"/>
  <c r="E17" i="5"/>
  <c r="AM47" i="5"/>
  <c r="AI56" i="5"/>
  <c r="AE10" i="5"/>
  <c r="AE9" i="4"/>
  <c r="AE9" i="5" s="1"/>
  <c r="Z35" i="5"/>
  <c r="AF35" i="4"/>
  <c r="AF35" i="5" s="1"/>
  <c r="S38" i="4"/>
  <c r="C38" i="5"/>
  <c r="N55" i="5"/>
  <c r="AL22" i="5"/>
  <c r="AA31" i="5"/>
  <c r="V30" i="4"/>
  <c r="V30" i="5" s="1"/>
  <c r="F30" i="5"/>
  <c r="AB55" i="5"/>
  <c r="AN11" i="4"/>
  <c r="AN11" i="5" s="1"/>
  <c r="AH11" i="5"/>
  <c r="V47" i="4"/>
  <c r="V47" i="5" s="1"/>
  <c r="F47" i="5"/>
  <c r="K15" i="5"/>
  <c r="Z21" i="5"/>
  <c r="AF21" i="4"/>
  <c r="AF21" i="5" s="1"/>
  <c r="R13" i="4"/>
  <c r="R13" i="5" s="1"/>
  <c r="B13" i="5"/>
  <c r="H13" i="4"/>
  <c r="H13" i="5" s="1"/>
  <c r="P54" i="4"/>
  <c r="P54" i="5" s="1"/>
  <c r="J54" i="5"/>
  <c r="D42" i="5"/>
  <c r="T42" i="4"/>
  <c r="AR42" i="4" s="1"/>
  <c r="AR42" i="5" s="1"/>
  <c r="P55" i="4"/>
  <c r="P55" i="5" s="1"/>
  <c r="J55" i="5"/>
  <c r="U32" i="4"/>
  <c r="U32" i="5" s="1"/>
  <c r="E32" i="5"/>
  <c r="N23" i="5"/>
  <c r="AA56" i="5"/>
  <c r="L31" i="5"/>
  <c r="C9" i="4"/>
  <c r="C9" i="5" s="1"/>
  <c r="C10" i="5"/>
  <c r="S10" i="4"/>
  <c r="S10" i="5" s="1"/>
  <c r="AJ28" i="5"/>
  <c r="AJ44" i="5"/>
  <c r="E44" i="5"/>
  <c r="U44" i="4"/>
  <c r="AA40" i="5"/>
  <c r="AC54" i="5"/>
  <c r="AF14" i="4"/>
  <c r="AF14" i="5" s="1"/>
  <c r="Z14" i="5"/>
  <c r="L30" i="5"/>
  <c r="AF47" i="4"/>
  <c r="AF47" i="5" s="1"/>
  <c r="Z47" i="5"/>
  <c r="K52" i="5"/>
  <c r="AJ22" i="5"/>
  <c r="AC34" i="5"/>
  <c r="AK42" i="5"/>
  <c r="E34" i="5"/>
  <c r="U34" i="4"/>
  <c r="U34" i="5" s="1"/>
  <c r="AD38" i="5"/>
  <c r="AI22" i="5"/>
  <c r="O48" i="5"/>
  <c r="N31" i="5"/>
  <c r="AE43" i="5"/>
  <c r="AM54" i="5"/>
  <c r="J17" i="5"/>
  <c r="P17" i="4"/>
  <c r="P17" i="5" s="1"/>
  <c r="AI49" i="4"/>
  <c r="AI49" i="5" s="1"/>
  <c r="AI50" i="5"/>
  <c r="AF20" i="4"/>
  <c r="AF20" i="5" s="1"/>
  <c r="Z20" i="5"/>
  <c r="P24" i="4"/>
  <c r="P24" i="5" s="1"/>
  <c r="J24" i="5"/>
  <c r="K27" i="5"/>
  <c r="L34" i="5"/>
  <c r="E45" i="5"/>
  <c r="U45" i="4"/>
  <c r="K17" i="5"/>
  <c r="AD24" i="5"/>
  <c r="O25" i="5"/>
  <c r="J33" i="5"/>
  <c r="P33" i="4"/>
  <c r="P33" i="5" s="1"/>
  <c r="P47" i="4"/>
  <c r="P47" i="5" s="1"/>
  <c r="J47" i="5"/>
  <c r="AJ43" i="5"/>
  <c r="AC32" i="5"/>
  <c r="L25" i="5"/>
  <c r="T12" i="4"/>
  <c r="AR12" i="4" s="1"/>
  <c r="AR12" i="5" s="1"/>
  <c r="D12" i="5"/>
  <c r="Z9" i="4"/>
  <c r="Z9" i="5" s="1"/>
  <c r="AF10" i="4"/>
  <c r="AF10" i="5" s="1"/>
  <c r="Z10" i="5"/>
  <c r="Z51" i="5"/>
  <c r="AF51" i="4"/>
  <c r="AF51" i="5" s="1"/>
  <c r="P20" i="4"/>
  <c r="P20" i="5" s="1"/>
  <c r="J20" i="5"/>
  <c r="G25" i="5"/>
  <c r="W25" i="4"/>
  <c r="W25" i="5" s="1"/>
  <c r="N39" i="5"/>
  <c r="F43" i="5"/>
  <c r="V43" i="4"/>
  <c r="V43" i="5" s="1"/>
  <c r="M18" i="5"/>
  <c r="G41" i="5"/>
  <c r="W41" i="4"/>
  <c r="W41" i="5" s="1"/>
  <c r="V34" i="4"/>
  <c r="V34" i="5" s="1"/>
  <c r="F34" i="5"/>
  <c r="N29" i="5"/>
  <c r="K44" i="5"/>
  <c r="AJ23" i="5"/>
  <c r="AK30" i="5"/>
  <c r="G48" i="5"/>
  <c r="W48" i="4"/>
  <c r="W48" i="5" s="1"/>
  <c r="AM18" i="5"/>
  <c r="AB50" i="5"/>
  <c r="AB49" i="4"/>
  <c r="AB49" i="5" s="1"/>
  <c r="J39" i="5"/>
  <c r="P39" i="4"/>
  <c r="P39" i="5" s="1"/>
  <c r="E18" i="5"/>
  <c r="U18" i="4"/>
  <c r="U18" i="5" s="1"/>
  <c r="R56" i="4"/>
  <c r="R56" i="5" s="1"/>
  <c r="B56" i="5"/>
  <c r="H56" i="4"/>
  <c r="H56" i="5" s="1"/>
  <c r="AD36" i="5"/>
  <c r="AM56" i="5"/>
  <c r="M31" i="5"/>
  <c r="R43" i="4"/>
  <c r="R43" i="5" s="1"/>
  <c r="H43" i="4"/>
  <c r="H43" i="5" s="1"/>
  <c r="B43" i="5"/>
  <c r="AL29" i="5"/>
  <c r="K48" i="5"/>
  <c r="AJ33" i="5"/>
  <c r="B34" i="5"/>
  <c r="R34" i="4"/>
  <c r="AP34" i="4" s="1"/>
  <c r="AP34" i="5" s="1"/>
  <c r="H34" i="4"/>
  <c r="H34" i="5" s="1"/>
  <c r="AI38" i="5"/>
  <c r="AE55" i="5"/>
  <c r="O29" i="5"/>
  <c r="M53" i="5"/>
  <c r="AH16" i="5"/>
  <c r="AN16" i="4"/>
  <c r="AN16" i="5" s="1"/>
  <c r="F16" i="5"/>
  <c r="V16" i="4"/>
  <c r="V16" i="5" s="1"/>
  <c r="AJ36" i="5"/>
  <c r="C26" i="5"/>
  <c r="S26" i="4"/>
  <c r="S26" i="5" s="1"/>
  <c r="AF32" i="4"/>
  <c r="AF32" i="5" s="1"/>
  <c r="Z32" i="5"/>
  <c r="W34" i="4"/>
  <c r="W34" i="5" s="1"/>
  <c r="G34" i="5"/>
  <c r="L16" i="5"/>
  <c r="AJ47" i="5"/>
  <c r="V25" i="4"/>
  <c r="AT25" i="4" s="1"/>
  <c r="AT25" i="5" s="1"/>
  <c r="F25" i="5"/>
  <c r="AE34" i="5"/>
  <c r="M44" i="5"/>
  <c r="B47" i="5"/>
  <c r="H47" i="4"/>
  <c r="H47" i="5" s="1"/>
  <c r="R47" i="4"/>
  <c r="AP47" i="4" s="1"/>
  <c r="AP47" i="5" s="1"/>
  <c r="N18" i="5"/>
  <c r="M27" i="5"/>
  <c r="AA43" i="5"/>
  <c r="K40" i="5"/>
  <c r="AA51" i="5"/>
  <c r="F13" i="5"/>
  <c r="V13" i="4"/>
  <c r="V13" i="5" s="1"/>
  <c r="G37" i="5"/>
  <c r="W37" i="4"/>
  <c r="W37" i="5" s="1"/>
  <c r="L40" i="5"/>
  <c r="AN39" i="4"/>
  <c r="AN39" i="5" s="1"/>
  <c r="AH39" i="5"/>
  <c r="U20" i="4"/>
  <c r="E20" i="5"/>
  <c r="O15" i="5"/>
  <c r="AK49" i="4"/>
  <c r="AK49" i="5" s="1"/>
  <c r="AK50" i="5"/>
  <c r="AS50" i="4"/>
  <c r="AS50" i="5" s="1"/>
  <c r="W13" i="4"/>
  <c r="W13" i="5" s="1"/>
  <c r="G13" i="5"/>
  <c r="N20" i="5"/>
  <c r="V23" i="4"/>
  <c r="V23" i="5" s="1"/>
  <c r="F23" i="5"/>
  <c r="O9" i="4"/>
  <c r="O9" i="5" s="1"/>
  <c r="O10" i="5"/>
  <c r="M20" i="5"/>
  <c r="AB39" i="5"/>
  <c r="AD31" i="5"/>
  <c r="K51" i="5"/>
  <c r="O20" i="5"/>
  <c r="N25" i="5"/>
  <c r="O27" i="5"/>
  <c r="AI13" i="5"/>
  <c r="AJ46" i="5"/>
  <c r="AC31" i="5"/>
  <c r="AE29" i="5"/>
  <c r="AJ15" i="5"/>
  <c r="AL24" i="5"/>
  <c r="AH53" i="5"/>
  <c r="AN53" i="4"/>
  <c r="AN53" i="5" s="1"/>
  <c r="AP53" i="4"/>
  <c r="AP53" i="5" s="1"/>
  <c r="AF30" i="4"/>
  <c r="AF30" i="5" s="1"/>
  <c r="Z30" i="5"/>
  <c r="T31" i="4"/>
  <c r="T31" i="5" s="1"/>
  <c r="D31" i="5"/>
  <c r="D41" i="5"/>
  <c r="T41" i="4"/>
  <c r="AR41" i="4" s="1"/>
  <c r="AR41" i="5" s="1"/>
  <c r="U14" i="4"/>
  <c r="E14" i="5"/>
  <c r="AA11" i="5"/>
  <c r="R53" i="4"/>
  <c r="R53" i="5" s="1"/>
  <c r="H53" i="4"/>
  <c r="H53" i="5" s="1"/>
  <c r="B53" i="5"/>
  <c r="AK56" i="5"/>
  <c r="AA52" i="5"/>
  <c r="C52" i="5"/>
  <c r="S52" i="4"/>
  <c r="S52" i="5" s="1"/>
  <c r="S16" i="4"/>
  <c r="S16" i="5" s="1"/>
  <c r="C16" i="5"/>
  <c r="AB37" i="5"/>
  <c r="G16" i="5"/>
  <c r="W16" i="4"/>
  <c r="W16" i="5" s="1"/>
  <c r="O45" i="5"/>
  <c r="AL28" i="5"/>
  <c r="AT28" i="4"/>
  <c r="AT28" i="5" s="1"/>
  <c r="AC44" i="5"/>
  <c r="E41" i="5"/>
  <c r="U41" i="4"/>
  <c r="U41" i="5" s="1"/>
  <c r="R48" i="4"/>
  <c r="AP48" i="4" s="1"/>
  <c r="AP48" i="5" s="1"/>
  <c r="B48" i="5"/>
  <c r="H48" i="4"/>
  <c r="H48" i="5" s="1"/>
  <c r="AL47" i="5"/>
  <c r="AD22" i="5"/>
  <c r="AA24" i="5"/>
  <c r="P43" i="4"/>
  <c r="P43" i="5" s="1"/>
  <c r="J43" i="5"/>
  <c r="B32" i="5"/>
  <c r="R32" i="4"/>
  <c r="R32" i="5" s="1"/>
  <c r="H32" i="4"/>
  <c r="H32" i="5" s="1"/>
  <c r="AA48" i="5"/>
  <c r="AM52" i="5"/>
  <c r="E56" i="5"/>
  <c r="U56" i="4"/>
  <c r="U56" i="5" s="1"/>
  <c r="AK22" i="5"/>
  <c r="AS22" i="4"/>
  <c r="AS22" i="5" s="1"/>
  <c r="AH20" i="5"/>
  <c r="AN20" i="4"/>
  <c r="AN20" i="5" s="1"/>
  <c r="AJ10" i="5"/>
  <c r="AJ9" i="4"/>
  <c r="AA39" i="5"/>
  <c r="AM31" i="5"/>
  <c r="J50" i="5"/>
  <c r="J49" i="4"/>
  <c r="J49" i="5" s="1"/>
  <c r="P50" i="4"/>
  <c r="P50" i="5" s="1"/>
  <c r="O22" i="5"/>
  <c r="G32" i="5"/>
  <c r="W32" i="4"/>
  <c r="W32" i="5" s="1"/>
  <c r="N51" i="5"/>
  <c r="AE53" i="5"/>
  <c r="J27" i="5"/>
  <c r="P27" i="4"/>
  <c r="P27" i="5" s="1"/>
  <c r="AD41" i="5"/>
  <c r="O26" i="5"/>
  <c r="K54" i="5"/>
  <c r="C50" i="5"/>
  <c r="C49" i="4"/>
  <c r="C49" i="5" s="1"/>
  <c r="S50" i="4"/>
  <c r="AL31" i="5"/>
  <c r="O39" i="5"/>
  <c r="AH50" i="5"/>
  <c r="AH49" i="4"/>
  <c r="AH49" i="5" s="1"/>
  <c r="AN50" i="4"/>
  <c r="AN50" i="5" s="1"/>
  <c r="M21" i="5"/>
  <c r="AL30" i="5"/>
  <c r="O37" i="5"/>
  <c r="O23" i="5"/>
  <c r="AJ39" i="5"/>
  <c r="AM12" i="5"/>
  <c r="R38" i="4"/>
  <c r="R38" i="5" s="1"/>
  <c r="B38" i="5"/>
  <c r="H38" i="4"/>
  <c r="H38" i="5" s="1"/>
  <c r="AH29" i="5"/>
  <c r="AN29" i="4"/>
  <c r="AN29" i="5" s="1"/>
  <c r="T48" i="4"/>
  <c r="T48" i="5" s="1"/>
  <c r="D48" i="5"/>
  <c r="AC29" i="5"/>
  <c r="AN35" i="4"/>
  <c r="AN35" i="5" s="1"/>
  <c r="AH35" i="5"/>
  <c r="R46" i="4"/>
  <c r="R46" i="5" s="1"/>
  <c r="B46" i="5"/>
  <c r="H46" i="4"/>
  <c r="H46" i="5" s="1"/>
  <c r="AA41" i="5"/>
  <c r="W56" i="4"/>
  <c r="W56" i="5" s="1"/>
  <c r="G56" i="5"/>
  <c r="W31" i="4"/>
  <c r="W31" i="5" s="1"/>
  <c r="G31" i="5"/>
  <c r="AB29" i="5"/>
  <c r="J21" i="5"/>
  <c r="P21" i="4"/>
  <c r="P21" i="5" s="1"/>
  <c r="AE22" i="5"/>
  <c r="C43" i="5"/>
  <c r="S43" i="4"/>
  <c r="S43" i="5" s="1"/>
  <c r="G29" i="5"/>
  <c r="W29" i="4"/>
  <c r="W29" i="5" s="1"/>
  <c r="M23" i="5"/>
  <c r="AJ19" i="5"/>
  <c r="L53" i="5"/>
  <c r="T35" i="4"/>
  <c r="T35" i="5" s="1"/>
  <c r="D35" i="5"/>
  <c r="L29" i="5"/>
  <c r="AA28" i="5"/>
  <c r="AE32" i="5"/>
  <c r="K35" i="5"/>
  <c r="AA33" i="5"/>
  <c r="K33" i="5"/>
  <c r="O19" i="5"/>
  <c r="AD54" i="5"/>
  <c r="AH37" i="5"/>
  <c r="AN37" i="4"/>
  <c r="AN37" i="5" s="1"/>
  <c r="AD27" i="5"/>
  <c r="AA54" i="5"/>
  <c r="P45" i="4"/>
  <c r="P45" i="5" s="1"/>
  <c r="L45" i="5"/>
  <c r="AN31" i="4"/>
  <c r="AN31" i="5" s="1"/>
  <c r="AH31" i="5"/>
  <c r="AH25" i="5"/>
  <c r="AN25" i="4"/>
  <c r="AN25" i="5" s="1"/>
  <c r="AM40" i="5"/>
  <c r="P22" i="4"/>
  <c r="P22" i="5" s="1"/>
  <c r="J22" i="5"/>
  <c r="M56" i="5"/>
  <c r="L43" i="5"/>
  <c r="T54" i="4"/>
  <c r="D54" i="5"/>
  <c r="AJ12" i="5"/>
  <c r="AJ35" i="5"/>
  <c r="AL41" i="5"/>
  <c r="AK14" i="5"/>
  <c r="AB54" i="5"/>
  <c r="S39" i="4"/>
  <c r="S39" i="5" s="1"/>
  <c r="C39" i="5"/>
  <c r="K22" i="5"/>
  <c r="P26" i="4"/>
  <c r="P26" i="5" s="1"/>
  <c r="J26" i="5"/>
  <c r="H19" i="4"/>
  <c r="H19" i="5" s="1"/>
  <c r="R19" i="4"/>
  <c r="R19" i="5" s="1"/>
  <c r="B19" i="5"/>
  <c r="AB42" i="5"/>
  <c r="K42" i="5"/>
  <c r="K13" i="5"/>
  <c r="K18" i="5"/>
  <c r="G52" i="5"/>
  <c r="W52" i="4"/>
  <c r="W52" i="5" s="1"/>
  <c r="F11" i="5"/>
  <c r="V11" i="4"/>
  <c r="V11" i="5" s="1"/>
  <c r="AD14" i="5"/>
  <c r="Z41" i="5"/>
  <c r="AF41" i="4"/>
  <c r="AF41" i="5" s="1"/>
  <c r="T18" i="4"/>
  <c r="T18" i="5" s="1"/>
  <c r="D18" i="5"/>
  <c r="AN42" i="4"/>
  <c r="AN42" i="5" s="1"/>
  <c r="AH42" i="5"/>
  <c r="AI27" i="5"/>
  <c r="AK40" i="5"/>
  <c r="M14" i="5"/>
  <c r="N13" i="5"/>
  <c r="H31" i="4"/>
  <c r="H31" i="5" s="1"/>
  <c r="B31" i="5"/>
  <c r="R31" i="4"/>
  <c r="R31" i="5" s="1"/>
  <c r="M52" i="5"/>
  <c r="D11" i="5"/>
  <c r="T11" i="4"/>
  <c r="T11" i="5" s="1"/>
  <c r="H55" i="4"/>
  <c r="H55" i="5" s="1"/>
  <c r="B55" i="5"/>
  <c r="R55" i="4"/>
  <c r="AP55" i="4" s="1"/>
  <c r="AP55" i="5" s="1"/>
  <c r="AF16" i="4"/>
  <c r="AF16" i="5" s="1"/>
  <c r="Z16" i="5"/>
  <c r="D17" i="5"/>
  <c r="T17" i="4"/>
  <c r="T17" i="5" s="1"/>
  <c r="E33" i="5"/>
  <c r="U33" i="4"/>
  <c r="AS33" i="4" s="1"/>
  <c r="AS33" i="5" s="1"/>
  <c r="AA18" i="5"/>
  <c r="R14" i="4"/>
  <c r="AP14" i="4" s="1"/>
  <c r="AP14" i="5" s="1"/>
  <c r="B14" i="5"/>
  <c r="H14" i="4"/>
  <c r="H14" i="5" s="1"/>
  <c r="AD28" i="5"/>
  <c r="S19" i="4"/>
  <c r="AQ19" i="4" s="1"/>
  <c r="AQ19" i="5" s="1"/>
  <c r="C19" i="5"/>
  <c r="L47" i="5"/>
  <c r="U37" i="4"/>
  <c r="U37" i="5" s="1"/>
  <c r="E37" i="5"/>
  <c r="P40" i="4"/>
  <c r="P40" i="5" s="1"/>
  <c r="J40" i="5"/>
  <c r="P32" i="4"/>
  <c r="P32" i="5" s="1"/>
  <c r="J32" i="5"/>
  <c r="O12" i="5"/>
  <c r="E23" i="5"/>
  <c r="U23" i="4"/>
  <c r="AS23" i="4" s="1"/>
  <c r="AS23" i="5" s="1"/>
  <c r="G19" i="5"/>
  <c r="W19" i="4"/>
  <c r="W19" i="5" s="1"/>
  <c r="AM46" i="5"/>
  <c r="AE37" i="5"/>
  <c r="H51" i="4"/>
  <c r="H51" i="5" s="1"/>
  <c r="B51" i="5"/>
  <c r="R51" i="4"/>
  <c r="R51" i="5" s="1"/>
  <c r="T50" i="4"/>
  <c r="T50" i="5" s="1"/>
  <c r="D49" i="4"/>
  <c r="D49" i="5" s="1"/>
  <c r="D50" i="5"/>
  <c r="AC48" i="5"/>
  <c r="AH41" i="5"/>
  <c r="AN41" i="4"/>
  <c r="AN41" i="5" s="1"/>
  <c r="AP41" i="4"/>
  <c r="AP41" i="5" s="1"/>
  <c r="AL34" i="5"/>
  <c r="AT34" i="4"/>
  <c r="AT34" i="5" s="1"/>
  <c r="AK44" i="5"/>
  <c r="O50" i="5"/>
  <c r="O49" i="4"/>
  <c r="O49" i="5" s="1"/>
  <c r="AF29" i="4"/>
  <c r="AF29" i="5" s="1"/>
  <c r="Z29" i="5"/>
  <c r="N40" i="5"/>
  <c r="AI53" i="5"/>
  <c r="AN28" i="4"/>
  <c r="AN28" i="5" s="1"/>
  <c r="AH28" i="5"/>
  <c r="AA38" i="5"/>
  <c r="AL15" i="5"/>
  <c r="AC43" i="5"/>
  <c r="O14" i="5"/>
  <c r="AF54" i="4"/>
  <c r="AF54" i="5" s="1"/>
  <c r="Z54" i="5"/>
  <c r="P18" i="4"/>
  <c r="P18" i="5" s="1"/>
  <c r="J18" i="5"/>
  <c r="J34" i="5"/>
  <c r="P34" i="4"/>
  <c r="P34" i="5" s="1"/>
  <c r="G30" i="5"/>
  <c r="W30" i="4"/>
  <c r="W30" i="5" s="1"/>
  <c r="G11" i="5"/>
  <c r="W11" i="4"/>
  <c r="W11" i="5" s="1"/>
  <c r="Z25" i="5"/>
  <c r="AF25" i="4"/>
  <c r="AF25" i="5" s="1"/>
  <c r="K23" i="5"/>
  <c r="O41" i="5"/>
  <c r="AD48" i="5"/>
  <c r="AE16" i="5"/>
  <c r="O17" i="5"/>
  <c r="M15" i="5"/>
  <c r="M13" i="5"/>
  <c r="AH19" i="5"/>
  <c r="AN19" i="4"/>
  <c r="AN19" i="5" s="1"/>
  <c r="K43" i="5"/>
  <c r="Z46" i="5"/>
  <c r="AF46" i="4"/>
  <c r="AF46" i="5" s="1"/>
  <c r="AE35" i="5"/>
  <c r="AJ29" i="5"/>
  <c r="W23" i="4"/>
  <c r="W23" i="5" s="1"/>
  <c r="G23" i="5"/>
  <c r="AI48" i="5"/>
  <c r="AB20" i="5"/>
  <c r="G28" i="5"/>
  <c r="W28" i="4"/>
  <c r="W28" i="5" s="1"/>
  <c r="AL26" i="5"/>
  <c r="AB48" i="5"/>
  <c r="H11" i="4"/>
  <c r="H11" i="5" s="1"/>
  <c r="R11" i="4"/>
  <c r="R11" i="5" s="1"/>
  <c r="B11" i="5"/>
  <c r="M33" i="5"/>
  <c r="AE51" i="5"/>
  <c r="AJ13" i="5"/>
  <c r="AL11" i="5"/>
  <c r="Z56" i="5"/>
  <c r="AF56" i="4"/>
  <c r="AF56" i="5" s="1"/>
  <c r="N42" i="5"/>
  <c r="M39" i="5"/>
  <c r="Z19" i="5"/>
  <c r="AF19" i="4"/>
  <c r="AF19" i="5" s="1"/>
  <c r="AM37" i="5"/>
  <c r="AU37" i="4"/>
  <c r="AU37" i="5" s="1"/>
  <c r="AJ37" i="5"/>
  <c r="AR37" i="4"/>
  <c r="AR37" i="5" s="1"/>
  <c r="AD25" i="5"/>
  <c r="AB17" i="5"/>
  <c r="J38" i="5"/>
  <c r="P38" i="4"/>
  <c r="P38" i="5" s="1"/>
  <c r="AE56" i="5"/>
  <c r="K28" i="5"/>
  <c r="T20" i="4"/>
  <c r="T20" i="5" s="1"/>
  <c r="D20" i="5"/>
  <c r="J51" i="5"/>
  <c r="P51" i="4"/>
  <c r="P51" i="5" s="1"/>
  <c r="AE12" i="5"/>
  <c r="C35" i="5"/>
  <c r="S35" i="4"/>
  <c r="AJ30" i="5"/>
  <c r="AR30" i="4"/>
  <c r="AR30" i="5" s="1"/>
  <c r="O51" i="5"/>
  <c r="AC23" i="5"/>
  <c r="AI33" i="5"/>
  <c r="M54" i="5"/>
  <c r="W53" i="4"/>
  <c r="W53" i="5" s="1"/>
  <c r="G53" i="5"/>
  <c r="AB23" i="5"/>
  <c r="AA17" i="5"/>
  <c r="AC56" i="5"/>
  <c r="F20" i="5"/>
  <c r="V20" i="4"/>
  <c r="V20" i="5" s="1"/>
  <c r="AE28" i="5"/>
  <c r="AK33" i="5"/>
  <c r="AL13" i="5"/>
  <c r="AC18" i="5"/>
  <c r="N34" i="5"/>
  <c r="AE54" i="5"/>
  <c r="AC37" i="5"/>
  <c r="E26" i="5"/>
  <c r="U26" i="4"/>
  <c r="AS26" i="4" s="1"/>
  <c r="AS26" i="5" s="1"/>
  <c r="M47" i="5"/>
  <c r="G44" i="5"/>
  <c r="W44" i="4"/>
  <c r="W44" i="5" s="1"/>
  <c r="G55" i="5"/>
  <c r="W55" i="4"/>
  <c r="W55" i="5" s="1"/>
  <c r="AE21" i="5"/>
  <c r="T25" i="4"/>
  <c r="AR25" i="4" s="1"/>
  <c r="AR25" i="5" s="1"/>
  <c r="D25" i="5"/>
  <c r="AN51" i="4"/>
  <c r="AN51" i="5" s="1"/>
  <c r="AH51" i="5"/>
  <c r="AC26" i="5"/>
  <c r="G18" i="5"/>
  <c r="W18" i="4"/>
  <c r="W18" i="5" s="1"/>
  <c r="AB28" i="5"/>
  <c r="AH54" i="5"/>
  <c r="AN54" i="4"/>
  <c r="AN54" i="5" s="1"/>
  <c r="H30" i="4"/>
  <c r="H30" i="5" s="1"/>
  <c r="R30" i="4"/>
  <c r="R30" i="5" s="1"/>
  <c r="B30" i="5"/>
  <c r="AC28" i="5"/>
  <c r="U29" i="4"/>
  <c r="U29" i="5" s="1"/>
  <c r="E29" i="5"/>
  <c r="Z44" i="5"/>
  <c r="AF44" i="4"/>
  <c r="AF44" i="5" s="1"/>
  <c r="V10" i="4"/>
  <c r="AT10" i="4" s="1"/>
  <c r="AT10" i="5" s="1"/>
  <c r="F10" i="5"/>
  <c r="F9" i="4"/>
  <c r="AJ38" i="5"/>
  <c r="AR38" i="4"/>
  <c r="AR38" i="5" s="1"/>
  <c r="S51" i="4"/>
  <c r="S51" i="5" s="1"/>
  <c r="C51" i="5"/>
  <c r="J11" i="5"/>
  <c r="P11" i="4"/>
  <c r="P11" i="5" s="1"/>
  <c r="C32" i="5"/>
  <c r="S32" i="4"/>
  <c r="L19" i="5"/>
  <c r="V32" i="4"/>
  <c r="V32" i="5" s="1"/>
  <c r="F32" i="5"/>
  <c r="D33" i="5"/>
  <c r="T33" i="4"/>
  <c r="AR33" i="4" s="1"/>
  <c r="AR33" i="5" s="1"/>
  <c r="AI15" i="5"/>
  <c r="AQ15" i="4"/>
  <c r="AQ15" i="5" s="1"/>
  <c r="AL12" i="5"/>
  <c r="V37" i="4"/>
  <c r="V37" i="5" s="1"/>
  <c r="F37" i="5"/>
  <c r="AC39" i="5"/>
  <c r="G46" i="5"/>
  <c r="W46" i="4"/>
  <c r="W46" i="5" s="1"/>
  <c r="D37" i="5"/>
  <c r="T37" i="4"/>
  <c r="T37" i="5" s="1"/>
  <c r="AI11" i="5"/>
  <c r="AJ27" i="5"/>
  <c r="AM34" i="5"/>
  <c r="AU34" i="4"/>
  <c r="AU34" i="5" s="1"/>
  <c r="AH15" i="5"/>
  <c r="AN15" i="4"/>
  <c r="AN15" i="5" s="1"/>
  <c r="K34" i="5"/>
  <c r="L54" i="5"/>
  <c r="D53" i="5"/>
  <c r="T53" i="4"/>
  <c r="T53" i="5" s="1"/>
  <c r="AC36" i="5"/>
  <c r="AI36" i="5"/>
  <c r="AJ11" i="5"/>
  <c r="B15" i="5"/>
  <c r="H15" i="4"/>
  <c r="H15" i="5" s="1"/>
  <c r="R15" i="4"/>
  <c r="K49" i="4"/>
  <c r="K49" i="5" s="1"/>
  <c r="K50" i="5"/>
  <c r="AJ51" i="5"/>
  <c r="F12" i="5"/>
  <c r="V12" i="4"/>
  <c r="V12" i="5" s="1"/>
  <c r="AN22" i="4"/>
  <c r="AN22" i="5" s="1"/>
  <c r="AH22" i="5"/>
  <c r="U31" i="4"/>
  <c r="U31" i="5" s="1"/>
  <c r="E31" i="5"/>
  <c r="AB38" i="5"/>
  <c r="AK37" i="5"/>
  <c r="AB46" i="5"/>
  <c r="AI39" i="5"/>
  <c r="AQ39" i="4"/>
  <c r="AQ39" i="5" s="1"/>
  <c r="AK24" i="5"/>
  <c r="AM17" i="5"/>
  <c r="L35" i="5"/>
  <c r="AB30" i="5"/>
  <c r="M11" i="5"/>
  <c r="N32" i="5"/>
  <c r="B21" i="5"/>
  <c r="R21" i="4"/>
  <c r="R21" i="5" s="1"/>
  <c r="H21" i="4"/>
  <c r="H21" i="5" s="1"/>
  <c r="Z42" i="5"/>
  <c r="AF42" i="4"/>
  <c r="AF42" i="5" s="1"/>
  <c r="N45" i="5"/>
  <c r="AB12" i="5"/>
  <c r="N9" i="4"/>
  <c r="N9" i="5" s="1"/>
  <c r="N10" i="5"/>
  <c r="AJ18" i="5"/>
  <c r="AM10" i="5"/>
  <c r="AM9" i="4"/>
  <c r="AM9" i="5" s="1"/>
  <c r="AA34" i="5"/>
  <c r="Z26" i="5"/>
  <c r="AF26" i="4"/>
  <c r="AF26" i="5" s="1"/>
  <c r="AH13" i="5"/>
  <c r="AN13" i="4"/>
  <c r="AN13" i="5" s="1"/>
  <c r="AD42" i="5"/>
  <c r="AK21" i="5"/>
  <c r="AD46" i="5"/>
  <c r="AJ17" i="5"/>
  <c r="F18" i="5"/>
  <c r="V18" i="4"/>
  <c r="E51" i="5"/>
  <c r="U51" i="4"/>
  <c r="U51" i="5" s="1"/>
  <c r="O21" i="5"/>
  <c r="AK26" i="5"/>
  <c r="AL18" i="5"/>
  <c r="AE14" i="5"/>
  <c r="AH33" i="5"/>
  <c r="AN33" i="4"/>
  <c r="AN33" i="5" s="1"/>
  <c r="D19" i="5"/>
  <c r="T19" i="4"/>
  <c r="T19" i="5" s="1"/>
  <c r="E54" i="5"/>
  <c r="U54" i="4"/>
  <c r="U54" i="5" s="1"/>
  <c r="AA20" i="5"/>
  <c r="AC38" i="5"/>
  <c r="F53" i="5"/>
  <c r="V53" i="4"/>
  <c r="V53" i="5" s="1"/>
  <c r="W20" i="4"/>
  <c r="W20" i="5" s="1"/>
  <c r="G20" i="5"/>
  <c r="AD34" i="5"/>
  <c r="AA26" i="5"/>
  <c r="AC55" i="5"/>
  <c r="S20" i="4"/>
  <c r="S20" i="5" s="1"/>
  <c r="C20" i="5"/>
  <c r="N43" i="5"/>
  <c r="AM55" i="5"/>
  <c r="AU55" i="4"/>
  <c r="AU55" i="5" s="1"/>
  <c r="W43" i="4"/>
  <c r="W43" i="5" s="1"/>
  <c r="G43" i="5"/>
  <c r="D21" i="5"/>
  <c r="T21" i="4"/>
  <c r="T21" i="5" s="1"/>
  <c r="P23" i="4"/>
  <c r="P23" i="5" s="1"/>
  <c r="J23" i="5"/>
  <c r="L9" i="4"/>
  <c r="L9" i="5" s="1"/>
  <c r="L10" i="5"/>
  <c r="AF12" i="4"/>
  <c r="AF12" i="5" s="1"/>
  <c r="Z12" i="5"/>
  <c r="AL32" i="5"/>
  <c r="AT32" i="4"/>
  <c r="AT32" i="5" s="1"/>
  <c r="AJ55" i="5"/>
  <c r="AK38" i="5"/>
  <c r="AC27" i="5"/>
  <c r="AC51" i="5"/>
  <c r="AN12" i="4"/>
  <c r="AN12" i="5" s="1"/>
  <c r="AH12" i="5"/>
  <c r="L21" i="5"/>
  <c r="K24" i="5"/>
  <c r="P37" i="4"/>
  <c r="P37" i="5" s="1"/>
  <c r="J37" i="5"/>
  <c r="Z13" i="5"/>
  <c r="AF13" i="4"/>
  <c r="AF13" i="5" s="1"/>
  <c r="H36" i="4"/>
  <c r="H36" i="5" s="1"/>
  <c r="B36" i="5"/>
  <c r="R36" i="4"/>
  <c r="R36" i="5" s="1"/>
  <c r="AD52" i="5"/>
  <c r="F52" i="5"/>
  <c r="V52" i="4"/>
  <c r="AT52" i="4" s="1"/>
  <c r="AT52" i="5" s="1"/>
  <c r="M25" i="5"/>
  <c r="AI55" i="5"/>
  <c r="AM44" i="5"/>
  <c r="S34" i="4"/>
  <c r="AQ34" i="4" s="1"/>
  <c r="AQ34" i="5" s="1"/>
  <c r="C34" i="5"/>
  <c r="AM50" i="5"/>
  <c r="AM49" i="4"/>
  <c r="AM49" i="5" s="1"/>
  <c r="Z22" i="5"/>
  <c r="AF22" i="4"/>
  <c r="AF22" i="5" s="1"/>
  <c r="AI9" i="4"/>
  <c r="AI9" i="5" s="1"/>
  <c r="AI10" i="5"/>
  <c r="AL56" i="5"/>
  <c r="AT56" i="4"/>
  <c r="AT56" i="5" s="1"/>
  <c r="AN30" i="4"/>
  <c r="AN30" i="5" s="1"/>
  <c r="AH30" i="5"/>
  <c r="N52" i="5"/>
  <c r="AA21" i="5"/>
  <c r="AH32" i="5"/>
  <c r="AN32" i="4"/>
  <c r="AN32" i="5" s="1"/>
  <c r="AP32" i="4"/>
  <c r="AP32" i="5" s="1"/>
  <c r="D47" i="5"/>
  <c r="T47" i="4"/>
  <c r="AA32" i="5"/>
  <c r="M51" i="5"/>
  <c r="AC13" i="5"/>
  <c r="AM20" i="5"/>
  <c r="AU20" i="4"/>
  <c r="AU20" i="5" s="1"/>
  <c r="AK16" i="5"/>
  <c r="AT43" i="4"/>
  <c r="AT43" i="5" s="1"/>
  <c r="AL43" i="5"/>
  <c r="C27" i="5"/>
  <c r="S27" i="4"/>
  <c r="AQ27" i="4" s="1"/>
  <c r="AQ27" i="5" s="1"/>
  <c r="AK36" i="5"/>
  <c r="U21" i="4"/>
  <c r="U21" i="5" s="1"/>
  <c r="E21" i="5"/>
  <c r="V14" i="4"/>
  <c r="AT14" i="4" s="1"/>
  <c r="AT14" i="5" s="1"/>
  <c r="F14" i="5"/>
  <c r="D29" i="5"/>
  <c r="T29" i="4"/>
  <c r="AL54" i="5"/>
  <c r="M28" i="5"/>
  <c r="AI14" i="5"/>
  <c r="AL52" i="5"/>
  <c r="AK54" i="5"/>
  <c r="AB51" i="5"/>
  <c r="M16" i="5"/>
  <c r="O13" i="5"/>
  <c r="G14" i="5"/>
  <c r="W14" i="4"/>
  <c r="W14" i="5" s="1"/>
  <c r="AE25" i="5"/>
  <c r="O44" i="5"/>
  <c r="AH9" i="4"/>
  <c r="AH9" i="5" s="1"/>
  <c r="AH10" i="5"/>
  <c r="AN10" i="4"/>
  <c r="AN10" i="5" s="1"/>
  <c r="K21" i="5"/>
  <c r="M35" i="5"/>
  <c r="K14" i="5"/>
  <c r="L36" i="5"/>
  <c r="AE41" i="5"/>
  <c r="N15" i="5"/>
  <c r="AI37" i="5"/>
  <c r="C48" i="5"/>
  <c r="S48" i="4"/>
  <c r="S48" i="5" s="1"/>
  <c r="AE20" i="5"/>
  <c r="AH40" i="5"/>
  <c r="AN40" i="4"/>
  <c r="AN40" i="5" s="1"/>
  <c r="Z23" i="5"/>
  <c r="AF23" i="4"/>
  <c r="AF23" i="5" s="1"/>
  <c r="G33" i="5"/>
  <c r="W33" i="4"/>
  <c r="W33" i="5" s="1"/>
  <c r="AD53" i="5"/>
  <c r="AE48" i="5"/>
  <c r="AH48" i="5"/>
  <c r="AN48" i="4"/>
  <c r="AN48" i="5" s="1"/>
  <c r="AD12" i="5"/>
  <c r="AN24" i="4"/>
  <c r="AN24" i="5" s="1"/>
  <c r="AH24" i="5"/>
  <c r="AA30" i="5"/>
  <c r="S55" i="4"/>
  <c r="S55" i="5" s="1"/>
  <c r="C55" i="5"/>
  <c r="S25" i="4"/>
  <c r="AQ25" i="4" s="1"/>
  <c r="AQ25" i="5" s="1"/>
  <c r="C25" i="5"/>
  <c r="T34" i="4"/>
  <c r="T34" i="5" s="1"/>
  <c r="D34" i="5"/>
  <c r="AD17" i="5"/>
  <c r="F48" i="5"/>
  <c r="V48" i="4"/>
  <c r="V48" i="5" s="1"/>
  <c r="P48" i="4"/>
  <c r="P48" i="5" s="1"/>
  <c r="J48" i="5"/>
  <c r="AM21" i="5"/>
  <c r="AK15" i="5"/>
  <c r="N44" i="5"/>
  <c r="S36" i="4"/>
  <c r="C36" i="5"/>
  <c r="AC40" i="5"/>
  <c r="AB32" i="5"/>
  <c r="B37" i="5"/>
  <c r="H37" i="4"/>
  <c r="H37" i="5" s="1"/>
  <c r="R37" i="4"/>
  <c r="R37" i="5" s="1"/>
  <c r="AN38" i="4"/>
  <c r="AN38" i="5" s="1"/>
  <c r="AH38" i="5"/>
  <c r="AP38" i="4"/>
  <c r="AP38" i="5" s="1"/>
  <c r="W10" i="4"/>
  <c r="W10" i="5" s="1"/>
  <c r="G9" i="4"/>
  <c r="G9" i="5" s="1"/>
  <c r="G10" i="5"/>
  <c r="U12" i="4"/>
  <c r="U12" i="5" s="1"/>
  <c r="E12" i="5"/>
  <c r="F21" i="5"/>
  <c r="V21" i="4"/>
  <c r="M43" i="5"/>
  <c r="L17" i="5"/>
  <c r="AL42" i="5"/>
  <c r="AU13" i="4"/>
  <c r="AU13" i="5" s="1"/>
  <c r="AM13" i="5"/>
  <c r="T14" i="4"/>
  <c r="T14" i="5" s="1"/>
  <c r="D14" i="5"/>
  <c r="AL40" i="5"/>
  <c r="AC19" i="5"/>
  <c r="AD11" i="5"/>
  <c r="AL46" i="5"/>
  <c r="AK29" i="5"/>
  <c r="AI41" i="5"/>
  <c r="AD43" i="5"/>
  <c r="AF11" i="4"/>
  <c r="AF11" i="5" s="1"/>
  <c r="Z11" i="5"/>
  <c r="H42" i="4"/>
  <c r="H42" i="5" s="1"/>
  <c r="B42" i="5"/>
  <c r="R42" i="4"/>
  <c r="R42" i="5" s="1"/>
  <c r="AC46" i="5"/>
  <c r="AD56" i="5"/>
  <c r="W45" i="4"/>
  <c r="AU45" i="4" s="1"/>
  <c r="AU45" i="5" s="1"/>
  <c r="G45" i="5"/>
  <c r="T23" i="4"/>
  <c r="D23" i="5"/>
  <c r="L51" i="5"/>
  <c r="AK12" i="5"/>
  <c r="O30" i="5"/>
  <c r="AA27" i="5"/>
  <c r="AJ20" i="5"/>
  <c r="AQ12" i="4"/>
  <c r="AQ12" i="5" s="1"/>
  <c r="AI12" i="5"/>
  <c r="W17" i="4"/>
  <c r="W17" i="5" s="1"/>
  <c r="G17" i="5"/>
  <c r="AL16" i="5"/>
  <c r="L14" i="5"/>
  <c r="AK11" i="5"/>
  <c r="E13" i="5"/>
  <c r="U13" i="4"/>
  <c r="U13" i="5" s="1"/>
  <c r="N21" i="5"/>
  <c r="D56" i="5"/>
  <c r="T56" i="4"/>
  <c r="T56" i="5" s="1"/>
  <c r="H20" i="4"/>
  <c r="H20" i="5" s="1"/>
  <c r="B20" i="5"/>
  <c r="R20" i="4"/>
  <c r="R20" i="5" s="1"/>
  <c r="K38" i="5"/>
  <c r="AK43" i="5"/>
  <c r="AE38" i="5"/>
  <c r="S11" i="4"/>
  <c r="S11" i="5" s="1"/>
  <c r="C11" i="5"/>
  <c r="AD16" i="5"/>
  <c r="AJ54" i="5"/>
  <c r="AB21" i="5"/>
  <c r="AB56" i="5"/>
  <c r="AF31" i="4"/>
  <c r="AF31" i="5" s="1"/>
  <c r="Z31" i="5"/>
  <c r="AK41" i="5"/>
  <c r="AI31" i="5"/>
  <c r="AC25" i="5"/>
  <c r="J35" i="5"/>
  <c r="P35" i="4"/>
  <c r="P35" i="5" s="1"/>
  <c r="AK48" i="5"/>
  <c r="AF28" i="4"/>
  <c r="AF28" i="5" s="1"/>
  <c r="Z28" i="5"/>
  <c r="Z18" i="5"/>
  <c r="AF18" i="4"/>
  <c r="AF18" i="5" s="1"/>
  <c r="AB13" i="5"/>
  <c r="AK31" i="5"/>
  <c r="AL25" i="5"/>
  <c r="AL21" i="5"/>
  <c r="K30" i="5"/>
  <c r="V29" i="4"/>
  <c r="V29" i="5" s="1"/>
  <c r="F29" i="5"/>
  <c r="C29" i="5"/>
  <c r="S29" i="4"/>
  <c r="S29" i="5" s="1"/>
  <c r="C33" i="5"/>
  <c r="S33" i="4"/>
  <c r="E15" i="5"/>
  <c r="U15" i="4"/>
  <c r="U15" i="5" s="1"/>
  <c r="AN18" i="4"/>
  <c r="AN18" i="5" s="1"/>
  <c r="AH18" i="5"/>
  <c r="K9" i="4"/>
  <c r="K9" i="5" s="1"/>
  <c r="K10" i="5"/>
  <c r="AC17" i="5"/>
  <c r="R12" i="4"/>
  <c r="R12" i="5" s="1"/>
  <c r="H12" i="4"/>
  <c r="H12" i="5" s="1"/>
  <c r="B12" i="5"/>
  <c r="D51" i="5"/>
  <c r="T51" i="4"/>
  <c r="T51" i="5" s="1"/>
  <c r="AE31" i="5"/>
  <c r="T32" i="4"/>
  <c r="D32" i="5"/>
  <c r="E30" i="5"/>
  <c r="U30" i="4"/>
  <c r="AS30" i="4" s="1"/>
  <c r="AS30" i="5" s="1"/>
  <c r="Z15" i="5"/>
  <c r="AF15" i="4"/>
  <c r="AF15" i="5" s="1"/>
  <c r="AB33" i="5"/>
  <c r="AC41" i="5"/>
  <c r="AL37" i="5"/>
  <c r="AT37" i="4"/>
  <c r="AT37" i="5" s="1"/>
  <c r="O32" i="5"/>
  <c r="AL17" i="5"/>
  <c r="Z38" i="5"/>
  <c r="AF38" i="4"/>
  <c r="AF38" i="5" s="1"/>
  <c r="V31" i="4"/>
  <c r="V31" i="5" s="1"/>
  <c r="F31" i="5"/>
  <c r="C30" i="5"/>
  <c r="S30" i="4"/>
  <c r="S30" i="5" s="1"/>
  <c r="AH56" i="5"/>
  <c r="AN56" i="4"/>
  <c r="AN56" i="5" s="1"/>
  <c r="AP56" i="4"/>
  <c r="AP56" i="5" s="1"/>
  <c r="AB15" i="5"/>
  <c r="AA29" i="5"/>
  <c r="V22" i="4"/>
  <c r="V22" i="5" s="1"/>
  <c r="F22" i="5"/>
  <c r="AI43" i="5"/>
  <c r="C46" i="5"/>
  <c r="S46" i="4"/>
  <c r="S46" i="5" s="1"/>
  <c r="AI35" i="5"/>
  <c r="AI24" i="5"/>
  <c r="AB47" i="5"/>
  <c r="W27" i="4"/>
  <c r="W27" i="5" s="1"/>
  <c r="G27" i="5"/>
  <c r="N35" i="5"/>
  <c r="W47" i="4"/>
  <c r="W47" i="5" s="1"/>
  <c r="G47" i="5"/>
  <c r="AM35" i="5"/>
  <c r="AA46" i="5"/>
  <c r="W50" i="4"/>
  <c r="W50" i="5" s="1"/>
  <c r="G49" i="4"/>
  <c r="G49" i="5" s="1"/>
  <c r="G50" i="5"/>
  <c r="AK51" i="5"/>
  <c r="S53" i="4"/>
  <c r="S53" i="5" s="1"/>
  <c r="C53" i="5"/>
  <c r="L33" i="5"/>
  <c r="AD23" i="5"/>
  <c r="AI34" i="5"/>
  <c r="E19" i="5"/>
  <c r="U19" i="4"/>
  <c r="U19" i="5" s="1"/>
  <c r="AK18" i="5"/>
  <c r="J14" i="5"/>
  <c r="P14" i="4"/>
  <c r="P14" i="5" s="1"/>
  <c r="AH55" i="5"/>
  <c r="AN55" i="4"/>
  <c r="AN55" i="5" s="1"/>
  <c r="AJ32" i="5"/>
  <c r="U48" i="4"/>
  <c r="U48" i="5" s="1"/>
  <c r="E48" i="5"/>
  <c r="AB11" i="5"/>
  <c r="U52" i="4"/>
  <c r="U52" i="5" s="1"/>
  <c r="E52" i="5"/>
  <c r="O56" i="5"/>
  <c r="AF52" i="4"/>
  <c r="AF52" i="5" s="1"/>
  <c r="Z52" i="5"/>
  <c r="V19" i="4"/>
  <c r="F19" i="5"/>
  <c r="AE11" i="5"/>
  <c r="K26" i="5"/>
  <c r="L27" i="5"/>
  <c r="L18" i="5"/>
  <c r="F42" i="5"/>
  <c r="V42" i="4"/>
  <c r="V42" i="5" s="1"/>
  <c r="AM15" i="5"/>
  <c r="F54" i="5"/>
  <c r="V54" i="4"/>
  <c r="V54" i="5" s="1"/>
  <c r="F56" i="5"/>
  <c r="V56" i="4"/>
  <c r="V56" i="5" s="1"/>
  <c r="AB44" i="5"/>
  <c r="AF39" i="4"/>
  <c r="AF39" i="5" s="1"/>
  <c r="Z39" i="5"/>
  <c r="F36" i="5"/>
  <c r="V36" i="4"/>
  <c r="V36" i="5" s="1"/>
  <c r="AJ52" i="5"/>
  <c r="AM38" i="5"/>
  <c r="D52" i="5"/>
  <c r="T52" i="4"/>
  <c r="T52" i="5" s="1"/>
  <c r="AI26" i="5"/>
  <c r="AB27" i="5"/>
  <c r="O55" i="5"/>
  <c r="F40" i="5"/>
  <c r="V40" i="4"/>
  <c r="V40" i="5" s="1"/>
  <c r="C24" i="5"/>
  <c r="S24" i="4"/>
  <c r="S24" i="5" s="1"/>
  <c r="N26" i="5"/>
  <c r="E28" i="5"/>
  <c r="U28" i="4"/>
  <c r="U28" i="5" s="1"/>
  <c r="AJ16" i="5"/>
  <c r="AI42" i="5"/>
  <c r="K16" i="5"/>
  <c r="Z33" i="5"/>
  <c r="AF33" i="4"/>
  <c r="AF33" i="5" s="1"/>
  <c r="L56" i="5"/>
  <c r="AM43" i="5"/>
  <c r="AU43" i="4"/>
  <c r="AU43" i="5" s="1"/>
  <c r="K32" i="5"/>
  <c r="T55" i="4"/>
  <c r="T55" i="5" s="1"/>
  <c r="D55" i="5"/>
  <c r="K53" i="5"/>
  <c r="J56" i="5"/>
  <c r="P56" i="4"/>
  <c r="P56" i="5" s="1"/>
  <c r="N53" i="5"/>
  <c r="AK10" i="5"/>
  <c r="AK9" i="4"/>
  <c r="AK9" i="5" s="1"/>
  <c r="V55" i="4"/>
  <c r="V55" i="5" s="1"/>
  <c r="F55" i="5"/>
  <c r="M55" i="5"/>
  <c r="L15" i="5"/>
  <c r="AD26" i="5"/>
  <c r="AN47" i="4"/>
  <c r="AN47" i="5" s="1"/>
  <c r="AH47" i="5"/>
  <c r="L28" i="5"/>
  <c r="L48" i="5"/>
  <c r="AE18" i="5"/>
  <c r="M41" i="5"/>
  <c r="L49" i="4"/>
  <c r="L49" i="5" s="1"/>
  <c r="L50" i="5"/>
  <c r="AA55" i="5"/>
  <c r="AD29" i="5"/>
  <c r="O42" i="5"/>
  <c r="AJ40" i="5"/>
  <c r="O47" i="5"/>
  <c r="M40" i="5"/>
  <c r="L42" i="5"/>
  <c r="AA10" i="5"/>
  <c r="AA9" i="4"/>
  <c r="AM33" i="5"/>
  <c r="O43" i="5"/>
  <c r="AI51" i="5"/>
  <c r="AQ51" i="4"/>
  <c r="AQ51" i="5" s="1"/>
  <c r="AE26" i="5"/>
  <c r="AD18" i="5"/>
  <c r="AA44" i="5"/>
  <c r="AI25" i="5"/>
  <c r="AK19" i="5"/>
  <c r="L55" i="5"/>
  <c r="R44" i="4"/>
  <c r="R44" i="5" s="1"/>
  <c r="H44" i="4"/>
  <c r="H44" i="5" s="1"/>
  <c r="B44" i="5"/>
  <c r="M42" i="5"/>
  <c r="T43" i="4"/>
  <c r="T43" i="5" s="1"/>
  <c r="D43" i="5"/>
  <c r="Z34" i="5"/>
  <c r="AF34" i="4"/>
  <c r="AF34" i="5" s="1"/>
  <c r="L44" i="5"/>
  <c r="AU41" i="4"/>
  <c r="AU41" i="5" s="1"/>
  <c r="AM41" i="5"/>
  <c r="AI47" i="5"/>
  <c r="AA42" i="5"/>
  <c r="R25" i="4"/>
  <c r="H25" i="4"/>
  <c r="H25" i="5" s="1"/>
  <c r="B25" i="5"/>
  <c r="U36" i="4"/>
  <c r="U36" i="5" s="1"/>
  <c r="E36" i="5"/>
  <c r="AB52" i="5"/>
  <c r="AE33" i="5"/>
  <c r="N19" i="5"/>
  <c r="AD20" i="5"/>
  <c r="P52" i="4"/>
  <c r="P52" i="5" s="1"/>
  <c r="J52" i="5"/>
  <c r="O16" i="5"/>
  <c r="AC14" i="5"/>
  <c r="AL27" i="5"/>
  <c r="AK46" i="5"/>
  <c r="N38" i="5"/>
  <c r="AM42" i="5"/>
  <c r="AU42" i="4"/>
  <c r="AU42" i="5" s="1"/>
  <c r="AA36" i="5"/>
  <c r="AE15" i="5"/>
  <c r="AC30" i="5"/>
  <c r="AA25" i="5"/>
  <c r="AM53" i="5"/>
  <c r="AA35" i="5"/>
  <c r="AJ25" i="5"/>
  <c r="AN17" i="4"/>
  <c r="AN17" i="5" s="1"/>
  <c r="AH17" i="5"/>
  <c r="Z17" i="5"/>
  <c r="AF17" i="4"/>
  <c r="AF17" i="5" s="1"/>
  <c r="AE24" i="5"/>
  <c r="N48" i="5"/>
  <c r="AM27" i="5"/>
  <c r="AC50" i="5"/>
  <c r="AC49" i="4"/>
  <c r="AC49" i="5" s="1"/>
  <c r="AM26" i="5"/>
  <c r="AA23" i="5"/>
  <c r="N28" i="5"/>
  <c r="AL50" i="5"/>
  <c r="AL49" i="4"/>
  <c r="AL49" i="5" s="1"/>
  <c r="AM36" i="5"/>
  <c r="AC47" i="5"/>
  <c r="V51" i="4"/>
  <c r="V51" i="5" s="1"/>
  <c r="F51" i="5"/>
  <c r="AN43" i="4"/>
  <c r="AN43" i="5" s="1"/>
  <c r="AH43" i="5"/>
  <c r="L24" i="5"/>
  <c r="U27" i="4"/>
  <c r="AS27" i="4" s="1"/>
  <c r="AS27" i="5" s="1"/>
  <c r="E27" i="5"/>
  <c r="W15" i="4"/>
  <c r="W15" i="5" s="1"/>
  <c r="G15" i="5"/>
  <c r="AC11" i="5"/>
  <c r="AB31" i="5"/>
  <c r="H35" i="4"/>
  <c r="H35" i="5" s="1"/>
  <c r="B35" i="5"/>
  <c r="R35" i="4"/>
  <c r="R35" i="5" s="1"/>
  <c r="U42" i="4"/>
  <c r="U42" i="5" s="1"/>
  <c r="E42" i="5"/>
  <c r="AE30" i="5"/>
  <c r="H28" i="4"/>
  <c r="H28" i="5" s="1"/>
  <c r="R28" i="4"/>
  <c r="R28" i="5" s="1"/>
  <c r="B28" i="5"/>
  <c r="AF53" i="4"/>
  <c r="AF53" i="5" s="1"/>
  <c r="Z53" i="5"/>
  <c r="AB34" i="5"/>
  <c r="N16" i="5"/>
  <c r="AT20" i="4"/>
  <c r="AT20" i="5" s="1"/>
  <c r="AL20" i="5"/>
  <c r="AA14" i="5"/>
  <c r="AA13" i="5"/>
  <c r="S45" i="4"/>
  <c r="C45" i="5"/>
  <c r="AE47" i="5"/>
  <c r="N12" i="5"/>
  <c r="AB41" i="5"/>
  <c r="AN34" i="4"/>
  <c r="AN34" i="5" s="1"/>
  <c r="AH34" i="5"/>
  <c r="M12" i="5"/>
  <c r="O52" i="5"/>
  <c r="M34" i="5"/>
  <c r="AB43" i="5"/>
  <c r="L41" i="5"/>
  <c r="C42" i="5"/>
  <c r="S42" i="4"/>
  <c r="S42" i="5" s="1"/>
  <c r="AH46" i="5"/>
  <c r="AN46" i="4"/>
  <c r="AN46" i="5" s="1"/>
  <c r="AE27" i="5"/>
  <c r="AK17" i="5"/>
  <c r="G38" i="5"/>
  <c r="W38" i="4"/>
  <c r="W38" i="5" s="1"/>
  <c r="Z49" i="4"/>
  <c r="Z49" i="5" s="1"/>
  <c r="Z50" i="5"/>
  <c r="AF50" i="4"/>
  <c r="AF50" i="5" s="1"/>
  <c r="R50" i="4"/>
  <c r="R50" i="5" s="1"/>
  <c r="B49" i="4"/>
  <c r="B49" i="5" s="1"/>
  <c r="B50" i="5"/>
  <c r="H50" i="4"/>
  <c r="H50" i="5" s="1"/>
  <c r="M49" i="4"/>
  <c r="M49" i="5" s="1"/>
  <c r="M50" i="5"/>
  <c r="H27" i="4"/>
  <c r="H27" i="5" s="1"/>
  <c r="R27" i="4"/>
  <c r="AP27" i="4" s="1"/>
  <c r="AP27" i="5" s="1"/>
  <c r="B27" i="5"/>
  <c r="T15" i="4"/>
  <c r="T15" i="5" s="1"/>
  <c r="D15" i="5"/>
  <c r="N30" i="5"/>
  <c r="AB26" i="5"/>
  <c r="AD37" i="5"/>
  <c r="AL19" i="5"/>
  <c r="AB14" i="5"/>
  <c r="T27" i="4"/>
  <c r="T27" i="5" s="1"/>
  <c r="D27" i="5"/>
  <c r="AK35" i="5"/>
  <c r="M29" i="5"/>
  <c r="AF48" i="4"/>
  <c r="AF48" i="5" s="1"/>
  <c r="Z48" i="5"/>
  <c r="O31" i="5"/>
  <c r="M26" i="5"/>
  <c r="T28" i="4"/>
  <c r="AR28" i="4" s="1"/>
  <c r="AR28" i="5" s="1"/>
  <c r="D28" i="5"/>
  <c r="AE17" i="5"/>
  <c r="AA19" i="5"/>
  <c r="AC52" i="5"/>
  <c r="T39" i="4"/>
  <c r="T39" i="5" s="1"/>
  <c r="D39" i="5"/>
  <c r="AM23" i="5"/>
  <c r="AU23" i="4"/>
  <c r="AU23" i="5" s="1"/>
  <c r="D22" i="5"/>
  <c r="T22" i="4"/>
  <c r="T22" i="5" s="1"/>
  <c r="M17" i="5"/>
  <c r="U40" i="4"/>
  <c r="AS40" i="4" s="1"/>
  <c r="AS40" i="5" s="1"/>
  <c r="E40" i="5"/>
  <c r="L12" i="5"/>
  <c r="R29" i="4"/>
  <c r="B29" i="5"/>
  <c r="H29" i="4"/>
  <c r="H29" i="5" s="1"/>
  <c r="AI18" i="5"/>
  <c r="N36" i="5"/>
  <c r="K12" i="5"/>
  <c r="J15" i="5"/>
  <c r="P15" i="4"/>
  <c r="P15" i="5" s="1"/>
  <c r="AM48" i="5"/>
  <c r="AJ42" i="5"/>
  <c r="K37" i="5"/>
  <c r="AI46" i="5"/>
  <c r="L26" i="5"/>
  <c r="L32" i="5"/>
  <c r="AB22" i="5"/>
  <c r="AD44" i="5"/>
  <c r="L52" i="5"/>
  <c r="J28" i="5"/>
  <c r="P28" i="4"/>
  <c r="P28" i="5" s="1"/>
  <c r="V45" i="4"/>
  <c r="AT45" i="4" s="1"/>
  <c r="AT45" i="5" s="1"/>
  <c r="F45" i="5"/>
  <c r="H40" i="4"/>
  <c r="H40" i="5" s="1"/>
  <c r="R40" i="4"/>
  <c r="R40" i="5" s="1"/>
  <c r="B40" i="5"/>
  <c r="AJ14" i="5"/>
  <c r="M24" i="5"/>
  <c r="R17" i="4"/>
  <c r="H17" i="4"/>
  <c r="H17" i="5" s="1"/>
  <c r="B17" i="5"/>
  <c r="AD19" i="5"/>
  <c r="AH26" i="5"/>
  <c r="AN26" i="4"/>
  <c r="AN26" i="5" s="1"/>
  <c r="AD47" i="5"/>
  <c r="AD55" i="5"/>
  <c r="U43" i="4"/>
  <c r="E43" i="5"/>
  <c r="H54" i="4"/>
  <c r="H54" i="5" s="1"/>
  <c r="B54" i="5"/>
  <c r="R54" i="4"/>
  <c r="R54" i="5" s="1"/>
  <c r="K19" i="5"/>
  <c r="W22" i="4"/>
  <c r="W22" i="5" s="1"/>
  <c r="G22" i="5"/>
  <c r="J42" i="5"/>
  <c r="P42" i="4"/>
  <c r="P42" i="5" s="1"/>
  <c r="C37" i="5"/>
  <c r="S37" i="4"/>
  <c r="S37" i="5" s="1"/>
  <c r="AI28" i="5"/>
  <c r="AD35" i="5"/>
  <c r="N47" i="5"/>
  <c r="L23" i="5"/>
  <c r="X45" i="4"/>
  <c r="X45" i="5" s="1"/>
  <c r="R27" i="5"/>
  <c r="AQ24" i="4"/>
  <c r="AQ24" i="5" s="1"/>
  <c r="AS31" i="4"/>
  <c r="AS31" i="5" s="1"/>
  <c r="AT42" i="4"/>
  <c r="AT42" i="5" s="1"/>
  <c r="V25" i="5"/>
  <c r="R18" i="5"/>
  <c r="R14" i="5"/>
  <c r="AU32" i="4"/>
  <c r="AU32" i="5" s="1"/>
  <c r="AR56" i="4"/>
  <c r="AR56" i="5" s="1"/>
  <c r="AQ22" i="4"/>
  <c r="AQ22" i="5" s="1"/>
  <c r="U27" i="5"/>
  <c r="AP51" i="4"/>
  <c r="AP51" i="5" s="1"/>
  <c r="AS54" i="4"/>
  <c r="AS54" i="5" s="1"/>
  <c r="AR55" i="4"/>
  <c r="AR55" i="5" s="1"/>
  <c r="AR24" i="4"/>
  <c r="AR24" i="5" s="1"/>
  <c r="AR11" i="4"/>
  <c r="AR11" i="5" s="1"/>
  <c r="T12" i="5"/>
  <c r="AT26" i="4"/>
  <c r="AT26" i="5" s="1"/>
  <c r="AU44" i="4"/>
  <c r="AU44" i="5" s="1"/>
  <c r="AT22" i="4"/>
  <c r="AT22" i="5" s="1"/>
  <c r="X12" i="4"/>
  <c r="X12" i="5" s="1"/>
  <c r="AK8" i="4"/>
  <c r="AK8" i="5" s="1"/>
  <c r="AP13" i="4"/>
  <c r="AP13" i="5" s="1"/>
  <c r="AR10" i="4"/>
  <c r="AR10" i="5" s="1"/>
  <c r="AP23" i="4"/>
  <c r="AP23" i="5" s="1"/>
  <c r="AU30" i="4"/>
  <c r="AU30" i="5" s="1"/>
  <c r="S25" i="5"/>
  <c r="AP44" i="4"/>
  <c r="AP44" i="5" s="1"/>
  <c r="AS55" i="4"/>
  <c r="AS55" i="5" s="1"/>
  <c r="AP30" i="4"/>
  <c r="AP30" i="5" s="1"/>
  <c r="AS19" i="4"/>
  <c r="AS19" i="5" s="1"/>
  <c r="X32" i="4"/>
  <c r="X32" i="5" s="1"/>
  <c r="AS51" i="4"/>
  <c r="AS51" i="5" s="1"/>
  <c r="AS52" i="4"/>
  <c r="AS52" i="5" s="1"/>
  <c r="AS32" i="4"/>
  <c r="AS32" i="5" s="1"/>
  <c r="AQ11" i="4"/>
  <c r="AQ11" i="5" s="1"/>
  <c r="X15" i="4"/>
  <c r="X15" i="5" s="1"/>
  <c r="AS42" i="4"/>
  <c r="AS42" i="5" s="1"/>
  <c r="AU22" i="4"/>
  <c r="AU22" i="5" s="1"/>
  <c r="AU12" i="4"/>
  <c r="AU12" i="5" s="1"/>
  <c r="R34" i="5"/>
  <c r="S34" i="5"/>
  <c r="AQ16" i="4"/>
  <c r="AQ16" i="5" s="1"/>
  <c r="AS56" i="4"/>
  <c r="AS56" i="5" s="1"/>
  <c r="C8" i="4"/>
  <c r="C8" i="5" s="1"/>
  <c r="V14" i="5"/>
  <c r="AR50" i="4"/>
  <c r="AR50" i="5" s="1"/>
  <c r="AS48" i="4"/>
  <c r="AS48" i="5" s="1"/>
  <c r="AT13" i="4"/>
  <c r="AT13" i="5" s="1"/>
  <c r="T41" i="5"/>
  <c r="AR48" i="4"/>
  <c r="AR48" i="5" s="1"/>
  <c r="AQ29" i="4"/>
  <c r="AQ29" i="5" s="1"/>
  <c r="V10" i="5"/>
  <c r="AS16" i="4"/>
  <c r="AS16" i="5" s="1"/>
  <c r="AT48" i="4"/>
  <c r="AT48" i="5" s="1"/>
  <c r="AQ13" i="4"/>
  <c r="AQ13" i="5" s="1"/>
  <c r="AJ8" i="4"/>
  <c r="AJ8" i="5" s="1"/>
  <c r="X10" i="4"/>
  <c r="X10" i="5" s="1"/>
  <c r="T32" i="5"/>
  <c r="AQ10" i="4"/>
  <c r="AQ10" i="5" s="1"/>
  <c r="AQ23" i="4"/>
  <c r="AQ23" i="5" s="1"/>
  <c r="AP46" i="4"/>
  <c r="AP46" i="5" s="1"/>
  <c r="AU48" i="4"/>
  <c r="AU48" i="5" s="1"/>
  <c r="AR27" i="4"/>
  <c r="AR27" i="5" s="1"/>
  <c r="AS29" i="4"/>
  <c r="AS29" i="5" s="1"/>
  <c r="AR26" i="4"/>
  <c r="AR26" i="5" s="1"/>
  <c r="AF9" i="4"/>
  <c r="AF9" i="5" s="1"/>
  <c r="AT44" i="4"/>
  <c r="AT44" i="5" s="1"/>
  <c r="AE8" i="4"/>
  <c r="AE8" i="5" s="1"/>
  <c r="U23" i="5"/>
  <c r="AQ47" i="4"/>
  <c r="AQ47" i="5" s="1"/>
  <c r="AT15" i="4"/>
  <c r="AT15" i="5" s="1"/>
  <c r="X44" i="4"/>
  <c r="X44" i="5" s="1"/>
  <c r="AQ43" i="4"/>
  <c r="AQ43" i="5" s="1"/>
  <c r="R55" i="5"/>
  <c r="T42" i="5"/>
  <c r="AR40" i="4"/>
  <c r="AR40" i="5" s="1"/>
  <c r="X28" i="4"/>
  <c r="X28" i="5" s="1"/>
  <c r="R10" i="5"/>
  <c r="AN49" i="4"/>
  <c r="AN49" i="5" s="1"/>
  <c r="AP10" i="4"/>
  <c r="AP10" i="5" s="1"/>
  <c r="AS38" i="4"/>
  <c r="AS38" i="5" s="1"/>
  <c r="AP24" i="4"/>
  <c r="AP24" i="5" s="1"/>
  <c r="AU31" i="4"/>
  <c r="AU31" i="5" s="1"/>
  <c r="AQ20" i="4"/>
  <c r="AQ20" i="5" s="1"/>
  <c r="AS13" i="4"/>
  <c r="AS13" i="5" s="1"/>
  <c r="AR46" i="4"/>
  <c r="AR46" i="5" s="1"/>
  <c r="AH8" i="4"/>
  <c r="AH8" i="5" s="1"/>
  <c r="AS18" i="4"/>
  <c r="AS18" i="5" s="1"/>
  <c r="AR21" i="4"/>
  <c r="AR21" i="5" s="1"/>
  <c r="AU16" i="4"/>
  <c r="AU16" i="5" s="1"/>
  <c r="AS46" i="4"/>
  <c r="AS46" i="5" s="1"/>
  <c r="AQ48" i="4"/>
  <c r="AQ48" i="5" s="1"/>
  <c r="X56" i="4"/>
  <c r="X56" i="5" s="1"/>
  <c r="AQ41" i="4"/>
  <c r="AQ41" i="5" s="1"/>
  <c r="AT54" i="4"/>
  <c r="AT54" i="5" s="1"/>
  <c r="AS37" i="4"/>
  <c r="AS37" i="5" s="1"/>
  <c r="X21" i="4"/>
  <c r="X21" i="5" s="1"/>
  <c r="X13" i="4"/>
  <c r="X13" i="5" s="1"/>
  <c r="S31" i="5"/>
  <c r="AQ53" i="4"/>
  <c r="AQ53" i="5" s="1"/>
  <c r="AU14" i="4"/>
  <c r="AU14" i="5" s="1"/>
  <c r="AI8" i="4"/>
  <c r="AI8" i="5" s="1"/>
  <c r="AR32" i="4"/>
  <c r="AR32" i="5" s="1"/>
  <c r="AS36" i="4"/>
  <c r="AS36" i="5" s="1"/>
  <c r="AQ42" i="4"/>
  <c r="AQ42" i="5" s="1"/>
  <c r="AP36" i="4"/>
  <c r="AP36" i="5" s="1"/>
  <c r="AT11" i="4"/>
  <c r="AT11" i="5" s="1"/>
  <c r="AU26" i="4"/>
  <c r="AU26" i="5" s="1"/>
  <c r="X11" i="4"/>
  <c r="X11" i="5" s="1"/>
  <c r="U33" i="5"/>
  <c r="AR22" i="4"/>
  <c r="AR22" i="5" s="1"/>
  <c r="X48" i="4"/>
  <c r="X48" i="5" s="1"/>
  <c r="R48" i="5"/>
  <c r="V52" i="5"/>
  <c r="AQ26" i="4"/>
  <c r="AQ26" i="5" s="1"/>
  <c r="AQ14" i="4"/>
  <c r="AQ14" i="5" s="1"/>
  <c r="AU27" i="4"/>
  <c r="AU27" i="5" s="1"/>
  <c r="AU53" i="4"/>
  <c r="AU53" i="5" s="1"/>
  <c r="AS24" i="4"/>
  <c r="AS24" i="5" s="1"/>
  <c r="AB9" i="5"/>
  <c r="AU40" i="4"/>
  <c r="AU40" i="5" s="1"/>
  <c r="AR45" i="4"/>
  <c r="AR45" i="5" s="1"/>
  <c r="N8" i="4"/>
  <c r="N8" i="5" s="1"/>
  <c r="AT12" i="4"/>
  <c r="AT12" i="5" s="1"/>
  <c r="X52" i="4"/>
  <c r="X52" i="5" s="1"/>
  <c r="S9" i="4"/>
  <c r="S9" i="5" s="1"/>
  <c r="AR17" i="4"/>
  <c r="AR17" i="5" s="1"/>
  <c r="AM8" i="4"/>
  <c r="AM8" i="5" s="1"/>
  <c r="L8" i="4"/>
  <c r="L8" i="5" s="1"/>
  <c r="AU10" i="4"/>
  <c r="AU10" i="5" s="1"/>
  <c r="AU36" i="4"/>
  <c r="AU36" i="5" s="1"/>
  <c r="AP26" i="4"/>
  <c r="AP26" i="5" s="1"/>
  <c r="V39" i="5"/>
  <c r="V45" i="5"/>
  <c r="T33" i="5"/>
  <c r="AQ30" i="4"/>
  <c r="AQ30" i="5" s="1"/>
  <c r="R9" i="4"/>
  <c r="R9" i="5" s="1"/>
  <c r="W49" i="4"/>
  <c r="W49" i="5" s="1"/>
  <c r="X31" i="4"/>
  <c r="X31" i="5" s="1"/>
  <c r="AU33" i="4"/>
  <c r="AU33" i="5" s="1"/>
  <c r="G8" i="4"/>
  <c r="G8" i="5" s="1"/>
  <c r="AP22" i="4"/>
  <c r="AP22" i="5" s="1"/>
  <c r="V49" i="4"/>
  <c r="V49" i="5" s="1"/>
  <c r="X24" i="4"/>
  <c r="X24" i="5" s="1"/>
  <c r="AS12" i="4"/>
  <c r="AS12" i="5" s="1"/>
  <c r="AU15" i="4"/>
  <c r="AU15" i="5" s="1"/>
  <c r="AP20" i="4"/>
  <c r="AP20" i="5" s="1"/>
  <c r="AU11" i="4"/>
  <c r="AU11" i="5" s="1"/>
  <c r="AR18" i="4"/>
  <c r="AR18" i="5" s="1"/>
  <c r="X14" i="4"/>
  <c r="X14" i="5" s="1"/>
  <c r="AR16" i="4"/>
  <c r="AR16" i="5" s="1"/>
  <c r="AR35" i="4"/>
  <c r="AR35" i="5" s="1"/>
  <c r="AN9" i="4"/>
  <c r="AN9" i="5" s="1"/>
  <c r="AU56" i="4"/>
  <c r="AU56" i="5" s="1"/>
  <c r="AR23" i="4"/>
  <c r="AR23" i="5" s="1"/>
  <c r="T23" i="5"/>
  <c r="AP25" i="4"/>
  <c r="AP25" i="5" s="1"/>
  <c r="R25" i="5"/>
  <c r="AQ35" i="4"/>
  <c r="AQ35" i="5" s="1"/>
  <c r="S35" i="5"/>
  <c r="AT19" i="4"/>
  <c r="AT19" i="5" s="1"/>
  <c r="V19" i="5"/>
  <c r="F9" i="5"/>
  <c r="V9" i="4"/>
  <c r="V9" i="5" s="1"/>
  <c r="F8" i="4"/>
  <c r="F8" i="5" s="1"/>
  <c r="AT18" i="4"/>
  <c r="AT18" i="5" s="1"/>
  <c r="V18" i="5"/>
  <c r="AS44" i="4"/>
  <c r="AS44" i="5" s="1"/>
  <c r="U44" i="5"/>
  <c r="AP39" i="4"/>
  <c r="AP39" i="5" s="1"/>
  <c r="R39" i="5"/>
  <c r="E49" i="5"/>
  <c r="U49" i="4"/>
  <c r="R45" i="5"/>
  <c r="AP45" i="4"/>
  <c r="AP45" i="5" s="1"/>
  <c r="AB8" i="4"/>
  <c r="AB8" i="5" s="1"/>
  <c r="AR14" i="4"/>
  <c r="AR14" i="5" s="1"/>
  <c r="AJ9" i="5"/>
  <c r="X29" i="4"/>
  <c r="X29" i="5" s="1"/>
  <c r="X43" i="4"/>
  <c r="X43" i="5" s="1"/>
  <c r="X47" i="4"/>
  <c r="X47" i="5" s="1"/>
  <c r="AP43" i="4"/>
  <c r="AP43" i="5" s="1"/>
  <c r="AS41" i="4"/>
  <c r="AS41" i="5" s="1"/>
  <c r="K8" i="4"/>
  <c r="K8" i="5" s="1"/>
  <c r="W9" i="4"/>
  <c r="W9" i="5" s="1"/>
  <c r="X18" i="4"/>
  <c r="X18" i="5" s="1"/>
  <c r="X36" i="4"/>
  <c r="X36" i="5" s="1"/>
  <c r="B8" i="4"/>
  <c r="B8" i="5" s="1"/>
  <c r="H9" i="4"/>
  <c r="H9" i="5" s="1"/>
  <c r="X23" i="4"/>
  <c r="X23" i="5" s="1"/>
  <c r="X42" i="4"/>
  <c r="X42" i="5" s="1"/>
  <c r="AC8" i="4"/>
  <c r="AC8" i="5" s="1"/>
  <c r="X55" i="4"/>
  <c r="X55" i="5" s="1"/>
  <c r="U26" i="5"/>
  <c r="J8" i="4"/>
  <c r="J8" i="5" s="1"/>
  <c r="X17" i="4"/>
  <c r="X17" i="5" s="1"/>
  <c r="X27" i="4"/>
  <c r="X27" i="5" s="1"/>
  <c r="X25" i="4"/>
  <c r="X25" i="5" s="1"/>
  <c r="S27" i="5"/>
  <c r="T25" i="5"/>
  <c r="W45" i="5"/>
  <c r="AQ46" i="4"/>
  <c r="AQ46" i="5" s="1"/>
  <c r="AP35" i="4"/>
  <c r="AP35" i="5" s="1"/>
  <c r="X30" i="4"/>
  <c r="X30" i="5" s="1"/>
  <c r="AR34" i="4"/>
  <c r="AR34" i="5" s="1"/>
  <c r="AU46" i="4"/>
  <c r="AU46" i="5" s="1"/>
  <c r="S45" i="5"/>
  <c r="AQ45" i="4"/>
  <c r="AQ45" i="5" s="1"/>
  <c r="AT47" i="4"/>
  <c r="AT47" i="5" s="1"/>
  <c r="AT16" i="4"/>
  <c r="AT16" i="5" s="1"/>
  <c r="AS15" i="4"/>
  <c r="AS15" i="5" s="1"/>
  <c r="AU21" i="4"/>
  <c r="AU21" i="5" s="1"/>
  <c r="AU17" i="4"/>
  <c r="AU17" i="5" s="1"/>
  <c r="AS14" i="4"/>
  <c r="AS14" i="5" s="1"/>
  <c r="U14" i="5"/>
  <c r="AP12" i="4"/>
  <c r="AP12" i="5" s="1"/>
  <c r="AT51" i="4"/>
  <c r="AT51" i="5" s="1"/>
  <c r="AT33" i="4"/>
  <c r="AT33" i="5" s="1"/>
  <c r="AQ52" i="4"/>
  <c r="AQ52" i="5" s="1"/>
  <c r="E9" i="5"/>
  <c r="E8" i="4"/>
  <c r="E8" i="5" s="1"/>
  <c r="AT35" i="4"/>
  <c r="AT35" i="5" s="1"/>
  <c r="V35" i="5"/>
  <c r="AQ40" i="4"/>
  <c r="AQ40" i="5" s="1"/>
  <c r="S40" i="5"/>
  <c r="AS28" i="4"/>
  <c r="AS28" i="5" s="1"/>
  <c r="AP37" i="4"/>
  <c r="AQ44" i="4"/>
  <c r="AQ44" i="5" s="1"/>
  <c r="AS11" i="4"/>
  <c r="AS11" i="5" s="1"/>
  <c r="X50" i="4"/>
  <c r="X50" i="5" s="1"/>
  <c r="AL8" i="4"/>
  <c r="AL8" i="5" s="1"/>
  <c r="S49" i="4"/>
  <c r="S49" i="5" s="1"/>
  <c r="X33" i="4"/>
  <c r="X33" i="5" s="1"/>
  <c r="X35" i="4"/>
  <c r="X35" i="5" s="1"/>
  <c r="X38" i="4"/>
  <c r="X38" i="5" s="1"/>
  <c r="X51" i="4"/>
  <c r="X51" i="5" s="1"/>
  <c r="H49" i="4"/>
  <c r="H49" i="5" s="1"/>
  <c r="U17" i="5"/>
  <c r="X46" i="4"/>
  <c r="X46" i="5" s="1"/>
  <c r="AP42" i="4"/>
  <c r="AP42" i="5" s="1"/>
  <c r="P49" i="4"/>
  <c r="P49" i="5" s="1"/>
  <c r="X39" i="4"/>
  <c r="X39" i="5" s="1"/>
  <c r="AQ28" i="4"/>
  <c r="AQ28" i="5" s="1"/>
  <c r="AP17" i="4"/>
  <c r="AP17" i="5" s="1"/>
  <c r="R17" i="5"/>
  <c r="AT40" i="4"/>
  <c r="AT40" i="5" s="1"/>
  <c r="AT41" i="4"/>
  <c r="AT41" i="5" s="1"/>
  <c r="AA9" i="5"/>
  <c r="AA8" i="4"/>
  <c r="AA8" i="5" s="1"/>
  <c r="AT27" i="4"/>
  <c r="AT27" i="5" s="1"/>
  <c r="AT53" i="4"/>
  <c r="AT53" i="5" s="1"/>
  <c r="AT24" i="4"/>
  <c r="AT24" i="5" s="1"/>
  <c r="V24" i="5"/>
  <c r="AU29" i="4"/>
  <c r="AU29" i="5" s="1"/>
  <c r="AQ17" i="4"/>
  <c r="AQ17" i="5" s="1"/>
  <c r="AR13" i="4"/>
  <c r="AR13" i="5" s="1"/>
  <c r="AS10" i="4"/>
  <c r="AS10" i="5" s="1"/>
  <c r="U10" i="5"/>
  <c r="AU35" i="4"/>
  <c r="AU35" i="5" s="1"/>
  <c r="AT17" i="4"/>
  <c r="AT17" i="5" s="1"/>
  <c r="V17" i="5"/>
  <c r="AR53" i="4"/>
  <c r="AR53" i="5" s="1"/>
  <c r="AU19" i="4"/>
  <c r="AU19" i="5" s="1"/>
  <c r="D9" i="5"/>
  <c r="T9" i="4"/>
  <c r="T9" i="5" s="1"/>
  <c r="AQ56" i="4"/>
  <c r="AQ56" i="5" s="1"/>
  <c r="X34" i="4"/>
  <c r="X34" i="5" s="1"/>
  <c r="U30" i="5"/>
  <c r="AT50" i="4"/>
  <c r="AT50" i="5" s="1"/>
  <c r="AP31" i="4"/>
  <c r="AP31" i="5" s="1"/>
  <c r="AS34" i="4"/>
  <c r="AS34" i="5" s="1"/>
  <c r="AS47" i="4"/>
  <c r="AS47" i="5" s="1"/>
  <c r="T49" i="4"/>
  <c r="T49" i="5" s="1"/>
  <c r="AP40" i="4"/>
  <c r="AP40" i="5" s="1"/>
  <c r="X53" i="4"/>
  <c r="X53" i="5" s="1"/>
  <c r="X16" i="4"/>
  <c r="X16" i="5" s="1"/>
  <c r="X22" i="4"/>
  <c r="X22" i="5" s="1"/>
  <c r="AF49" i="4"/>
  <c r="AF49" i="5" s="1"/>
  <c r="AS39" i="4"/>
  <c r="AS39" i="5" s="1"/>
  <c r="AU52" i="4"/>
  <c r="AU52" i="5" s="1"/>
  <c r="AP28" i="4"/>
  <c r="AP28" i="5" s="1"/>
  <c r="P9" i="4"/>
  <c r="P9" i="5" s="1"/>
  <c r="X41" i="4"/>
  <c r="X41" i="5" s="1"/>
  <c r="AS53" i="4"/>
  <c r="AS53" i="5" s="1"/>
  <c r="AR43" i="4"/>
  <c r="AR43" i="5" s="1"/>
  <c r="X19" i="4"/>
  <c r="X19" i="5" s="1"/>
  <c r="R33" i="5"/>
  <c r="U35" i="5"/>
  <c r="AQ55" i="4"/>
  <c r="AQ55" i="5" s="1"/>
  <c r="X20" i="4"/>
  <c r="X20" i="5" s="1"/>
  <c r="S19" i="5"/>
  <c r="X40" i="4"/>
  <c r="X40" i="5" s="1"/>
  <c r="AU51" i="4"/>
  <c r="AU51" i="5" s="1"/>
  <c r="X26" i="4"/>
  <c r="X26" i="5" s="1"/>
  <c r="AR20" i="4"/>
  <c r="AR20" i="5" s="1"/>
  <c r="T36" i="5"/>
  <c r="AR51" i="4"/>
  <c r="AR51" i="5" s="1"/>
  <c r="O8" i="4"/>
  <c r="O8" i="5" s="1"/>
  <c r="D8" i="4"/>
  <c r="R47" i="5"/>
  <c r="AQ18" i="4"/>
  <c r="AQ18" i="5" s="1"/>
  <c r="AT46" i="4"/>
  <c r="AT46" i="5" s="1"/>
  <c r="AQ33" i="4"/>
  <c r="AQ33" i="5" s="1"/>
  <c r="S33" i="5"/>
  <c r="AU38" i="4"/>
  <c r="AU38" i="5" s="1"/>
  <c r="AR52" i="4"/>
  <c r="AR52" i="5" s="1"/>
  <c r="AT23" i="4"/>
  <c r="AT23" i="5" s="1"/>
  <c r="AS45" i="4"/>
  <c r="AS45" i="5" s="1"/>
  <c r="U45" i="5"/>
  <c r="AT30" i="4"/>
  <c r="AT30" i="5" s="1"/>
  <c r="AT38" i="4"/>
  <c r="AT38" i="5" s="1"/>
  <c r="AP16" i="4"/>
  <c r="AP16" i="5" s="1"/>
  <c r="R16" i="5"/>
  <c r="AQ50" i="4"/>
  <c r="AQ50" i="5" s="1"/>
  <c r="S50" i="5"/>
  <c r="AU9" i="4"/>
  <c r="AU9" i="5" s="1"/>
  <c r="AV22" i="4"/>
  <c r="AV22" i="5" s="1"/>
  <c r="AP44" i="3"/>
  <c r="AS36" i="3"/>
  <c r="AP33" i="3"/>
  <c r="AP23" i="3"/>
  <c r="AP22" i="3"/>
  <c r="AP15" i="3"/>
  <c r="AS13" i="3"/>
  <c r="AT24" i="3"/>
  <c r="AL9" i="3"/>
  <c r="AK49" i="3"/>
  <c r="AS50" i="3"/>
  <c r="AP56" i="3"/>
  <c r="AP54" i="3"/>
  <c r="AP51" i="3"/>
  <c r="AP46" i="3"/>
  <c r="AP41" i="3"/>
  <c r="AP39" i="3"/>
  <c r="AP37" i="3"/>
  <c r="AS34" i="3"/>
  <c r="AP29" i="3"/>
  <c r="AP25" i="3"/>
  <c r="AS19" i="3"/>
  <c r="AS17" i="3"/>
  <c r="AP14" i="3"/>
  <c r="AP12" i="3"/>
  <c r="AA49" i="3"/>
  <c r="AQ56" i="3"/>
  <c r="AQ54" i="3"/>
  <c r="AQ52" i="3"/>
  <c r="AI49" i="3"/>
  <c r="AQ49" i="3" s="1"/>
  <c r="AQ50" i="3"/>
  <c r="AQ46" i="3"/>
  <c r="AQ44" i="3"/>
  <c r="AQ42" i="3"/>
  <c r="AQ40" i="3"/>
  <c r="AQ38" i="3"/>
  <c r="AQ36" i="3"/>
  <c r="AQ34" i="3"/>
  <c r="AQ32" i="3"/>
  <c r="AQ30" i="3"/>
  <c r="AQ28" i="3"/>
  <c r="AQ26" i="3"/>
  <c r="AQ24" i="3"/>
  <c r="AQ22" i="3"/>
  <c r="AQ20" i="3"/>
  <c r="AQ18" i="3"/>
  <c r="AQ16" i="3"/>
  <c r="AQ14" i="3"/>
  <c r="AQ12" i="3"/>
  <c r="AE49" i="3"/>
  <c r="AE9" i="3"/>
  <c r="AU56" i="3"/>
  <c r="AU55" i="3"/>
  <c r="AU54" i="3"/>
  <c r="AU53" i="3"/>
  <c r="AU52" i="3"/>
  <c r="AU51" i="3"/>
  <c r="AU50" i="3"/>
  <c r="AM49" i="3"/>
  <c r="AU47" i="3"/>
  <c r="AU46" i="3"/>
  <c r="AU45" i="3"/>
  <c r="AU44" i="3"/>
  <c r="AU43" i="3"/>
  <c r="AU42" i="3"/>
  <c r="AU41" i="3"/>
  <c r="AU40" i="3"/>
  <c r="AU39" i="3"/>
  <c r="AU38" i="3"/>
  <c r="AU37" i="3"/>
  <c r="AU36" i="3"/>
  <c r="AU35" i="3"/>
  <c r="AU34" i="3"/>
  <c r="AU33" i="3"/>
  <c r="AU32" i="3"/>
  <c r="AU31" i="3"/>
  <c r="AU30" i="3"/>
  <c r="AU29" i="3"/>
  <c r="AU28" i="3"/>
  <c r="AU27" i="3"/>
  <c r="AU26" i="3"/>
  <c r="AU25" i="3"/>
  <c r="AU24" i="3"/>
  <c r="AU23" i="3"/>
  <c r="AU22" i="3"/>
  <c r="AU21" i="3"/>
  <c r="AU20" i="3"/>
  <c r="AU19" i="3"/>
  <c r="AU18" i="3"/>
  <c r="AU17" i="3"/>
  <c r="AU16" i="3"/>
  <c r="AU15" i="3"/>
  <c r="AU14" i="3"/>
  <c r="AU13" i="3"/>
  <c r="AU12" i="3"/>
  <c r="AU11" i="3"/>
  <c r="AM9" i="3"/>
  <c r="AC9" i="3"/>
  <c r="AP53" i="3"/>
  <c r="AH49" i="3"/>
  <c r="AP50" i="3"/>
  <c r="AS44" i="3"/>
  <c r="AP42" i="3"/>
  <c r="AS38" i="3"/>
  <c r="AP32" i="3"/>
  <c r="AP30" i="3"/>
  <c r="AS26" i="3"/>
  <c r="AP21" i="3"/>
  <c r="AP17" i="3"/>
  <c r="AS12" i="3"/>
  <c r="AD9" i="3"/>
  <c r="AT55" i="3"/>
  <c r="AT53" i="3"/>
  <c r="AT51" i="3"/>
  <c r="AT43" i="3"/>
  <c r="AT41" i="3"/>
  <c r="AT39" i="3"/>
  <c r="AT18" i="3"/>
  <c r="AT15" i="3"/>
  <c r="AT11" i="3"/>
  <c r="Z49" i="3"/>
  <c r="AP55" i="3"/>
  <c r="AP52" i="3"/>
  <c r="AS47" i="3"/>
  <c r="AP40" i="3"/>
  <c r="AP38" i="3"/>
  <c r="AP36" i="3"/>
  <c r="AP34" i="3"/>
  <c r="AS30" i="3"/>
  <c r="AP28" i="3"/>
  <c r="AP26" i="3"/>
  <c r="AP24" i="3"/>
  <c r="AS20" i="3"/>
  <c r="AP18" i="3"/>
  <c r="AP16" i="3"/>
  <c r="AP13" i="3"/>
  <c r="AP11" i="3"/>
  <c r="AH9" i="3"/>
  <c r="AA9" i="3"/>
  <c r="AQ55" i="3"/>
  <c r="AQ53" i="3"/>
  <c r="AQ51" i="3"/>
  <c r="AQ47" i="3"/>
  <c r="AQ45" i="3"/>
  <c r="AQ43" i="3"/>
  <c r="AQ41" i="3"/>
  <c r="AQ39" i="3"/>
  <c r="AQ37" i="3"/>
  <c r="AQ35" i="3"/>
  <c r="AQ33" i="3"/>
  <c r="AQ31" i="3"/>
  <c r="AQ29" i="3"/>
  <c r="AQ27" i="3"/>
  <c r="AQ25" i="3"/>
  <c r="AQ23" i="3"/>
  <c r="AQ21" i="3"/>
  <c r="AQ19" i="3"/>
  <c r="AQ17" i="3"/>
  <c r="AQ15" i="3"/>
  <c r="AQ13" i="3"/>
  <c r="AQ11" i="3"/>
  <c r="AI9" i="3"/>
  <c r="AT35" i="3"/>
  <c r="AT33" i="3"/>
  <c r="AT31" i="3"/>
  <c r="AT29" i="3"/>
  <c r="AT27" i="3"/>
  <c r="AT25" i="3"/>
  <c r="AT23" i="3"/>
  <c r="AC49" i="3"/>
  <c r="Z9" i="3"/>
  <c r="AS54" i="3"/>
  <c r="AS52" i="3"/>
  <c r="AS45" i="3"/>
  <c r="AS42" i="3"/>
  <c r="AS39" i="3"/>
  <c r="AP35" i="3"/>
  <c r="AS31" i="3"/>
  <c r="AP27" i="3"/>
  <c r="AS24" i="3"/>
  <c r="AS22" i="3"/>
  <c r="AP20" i="3"/>
  <c r="AS16" i="3"/>
  <c r="AS14" i="3"/>
  <c r="AS11" i="3"/>
  <c r="AK9" i="3"/>
  <c r="AB49" i="3"/>
  <c r="AB9" i="3"/>
  <c r="AR56" i="3"/>
  <c r="AR55" i="3"/>
  <c r="AR54" i="3"/>
  <c r="AR53" i="3"/>
  <c r="AR52" i="3"/>
  <c r="AR51" i="3"/>
  <c r="AR50" i="3"/>
  <c r="AJ49" i="3"/>
  <c r="AR47" i="3"/>
  <c r="AR46" i="3"/>
  <c r="AR45" i="3"/>
  <c r="AR44" i="3"/>
  <c r="AR43" i="3"/>
  <c r="AR42" i="3"/>
  <c r="AR41" i="3"/>
  <c r="AR40" i="3"/>
  <c r="AR39" i="3"/>
  <c r="AR38" i="3"/>
  <c r="AR37" i="3"/>
  <c r="AR36" i="3"/>
  <c r="AR35" i="3"/>
  <c r="AR34" i="3"/>
  <c r="AR33" i="3"/>
  <c r="AR32" i="3"/>
  <c r="AR31" i="3"/>
  <c r="AR30" i="3"/>
  <c r="AR29" i="3"/>
  <c r="AR28" i="3"/>
  <c r="AR27" i="3"/>
  <c r="AR26" i="3"/>
  <c r="AR25" i="3"/>
  <c r="AR24" i="3"/>
  <c r="AR23" i="3"/>
  <c r="AR22" i="3"/>
  <c r="AR21" i="3"/>
  <c r="AR20" i="3"/>
  <c r="AR19" i="3"/>
  <c r="AR18" i="3"/>
  <c r="AR17" i="3"/>
  <c r="AR16" i="3"/>
  <c r="AR15" i="3"/>
  <c r="AR14" i="3"/>
  <c r="AR13" i="3"/>
  <c r="AR12" i="3"/>
  <c r="AR11" i="3"/>
  <c r="AJ9" i="3"/>
  <c r="AS55" i="3"/>
  <c r="AP47" i="3"/>
  <c r="AP45" i="3"/>
  <c r="AP43" i="3"/>
  <c r="AS40" i="3"/>
  <c r="AS37" i="3"/>
  <c r="AS33" i="3"/>
  <c r="AP31" i="3"/>
  <c r="AS29" i="3"/>
  <c r="AS23" i="3"/>
  <c r="AP19" i="3"/>
  <c r="AD49" i="3"/>
  <c r="AT49" i="3" s="1"/>
  <c r="AT56" i="3"/>
  <c r="AT54" i="3"/>
  <c r="AT52" i="3"/>
  <c r="AT50" i="3"/>
  <c r="AT40" i="3"/>
  <c r="AT19" i="3"/>
  <c r="AT17" i="3"/>
  <c r="AT21" i="4" l="1"/>
  <c r="AT21" i="5" s="1"/>
  <c r="V21" i="5"/>
  <c r="AQ36" i="4"/>
  <c r="AQ36" i="5" s="1"/>
  <c r="S36" i="5"/>
  <c r="AU50" i="4"/>
  <c r="AU50" i="5" s="1"/>
  <c r="AR19" i="4"/>
  <c r="AR19" i="5" s="1"/>
  <c r="AR15" i="4"/>
  <c r="AR15" i="5" s="1"/>
  <c r="AS20" i="4"/>
  <c r="AS20" i="5" s="1"/>
  <c r="U20" i="5"/>
  <c r="AR31" i="4"/>
  <c r="AR31" i="5" s="1"/>
  <c r="AT36" i="4"/>
  <c r="AT36" i="5" s="1"/>
  <c r="AU54" i="4"/>
  <c r="AU54" i="5" s="1"/>
  <c r="W54" i="5"/>
  <c r="X37" i="4"/>
  <c r="X37" i="5" s="1"/>
  <c r="Z8" i="4"/>
  <c r="Z8" i="5" s="1"/>
  <c r="AQ37" i="4"/>
  <c r="AQ37" i="5" s="1"/>
  <c r="T28" i="5"/>
  <c r="AP29" i="4"/>
  <c r="R29" i="5"/>
  <c r="AQ32" i="4"/>
  <c r="AQ32" i="5" s="1"/>
  <c r="S32" i="5"/>
  <c r="AP19" i="4"/>
  <c r="AR54" i="4"/>
  <c r="AR54" i="5" s="1"/>
  <c r="T54" i="5"/>
  <c r="AP11" i="4"/>
  <c r="AP11" i="5" s="1"/>
  <c r="AU47" i="4"/>
  <c r="AU47" i="5" s="1"/>
  <c r="AR44" i="4"/>
  <c r="AR44" i="5" s="1"/>
  <c r="T44" i="5"/>
  <c r="AQ21" i="4"/>
  <c r="AQ21" i="5" s="1"/>
  <c r="AU24" i="4"/>
  <c r="AU24" i="5" s="1"/>
  <c r="AS25" i="4"/>
  <c r="AU28" i="4"/>
  <c r="AU28" i="5" s="1"/>
  <c r="AQ54" i="4"/>
  <c r="AQ54" i="5" s="1"/>
  <c r="AU25" i="4"/>
  <c r="AU25" i="5" s="1"/>
  <c r="U9" i="4"/>
  <c r="M8" i="4"/>
  <c r="M8" i="5" s="1"/>
  <c r="R49" i="4"/>
  <c r="R49" i="5" s="1"/>
  <c r="AP54" i="4"/>
  <c r="AP54" i="5" s="1"/>
  <c r="X54" i="4"/>
  <c r="X54" i="5" s="1"/>
  <c r="U40" i="5"/>
  <c r="AP50" i="4"/>
  <c r="AP50" i="5" s="1"/>
  <c r="AR39" i="4"/>
  <c r="AR39" i="5" s="1"/>
  <c r="AR29" i="4"/>
  <c r="AR29" i="5" s="1"/>
  <c r="T29" i="5"/>
  <c r="AS21" i="4"/>
  <c r="AS21" i="5" s="1"/>
  <c r="AP15" i="4"/>
  <c r="AP15" i="5" s="1"/>
  <c r="R15" i="5"/>
  <c r="AT29" i="4"/>
  <c r="AT29" i="5" s="1"/>
  <c r="AU39" i="4"/>
  <c r="AU39" i="5" s="1"/>
  <c r="AS43" i="4"/>
  <c r="AS43" i="5" s="1"/>
  <c r="U43" i="5"/>
  <c r="AR47" i="4"/>
  <c r="AR47" i="5" s="1"/>
  <c r="T47" i="5"/>
  <c r="AT31" i="4"/>
  <c r="AT31" i="5" s="1"/>
  <c r="AU18" i="4"/>
  <c r="AU18" i="5" s="1"/>
  <c r="AQ38" i="4"/>
  <c r="AQ38" i="5" s="1"/>
  <c r="S38" i="5"/>
  <c r="AT55" i="4"/>
  <c r="AT55" i="5" s="1"/>
  <c r="AP21" i="4"/>
  <c r="AP21" i="5" s="1"/>
  <c r="AD8" i="4"/>
  <c r="AD8" i="5" s="1"/>
  <c r="AD9" i="5"/>
  <c r="AV21" i="4"/>
  <c r="AV21" i="5" s="1"/>
  <c r="AV32" i="4"/>
  <c r="AV32" i="5" s="1"/>
  <c r="AV47" i="4"/>
  <c r="AV47" i="5" s="1"/>
  <c r="AQ49" i="4"/>
  <c r="AQ49" i="5" s="1"/>
  <c r="AV12" i="4"/>
  <c r="AV12" i="5" s="1"/>
  <c r="AT9" i="4"/>
  <c r="AT9" i="5" s="1"/>
  <c r="AV37" i="4"/>
  <c r="AV37" i="5" s="1"/>
  <c r="AP37" i="5"/>
  <c r="AP49" i="4"/>
  <c r="AP49" i="5" s="1"/>
  <c r="AV15" i="4"/>
  <c r="AV15" i="5" s="1"/>
  <c r="H8" i="4"/>
  <c r="H8" i="5" s="1"/>
  <c r="AV52" i="4"/>
  <c r="AV52" i="5" s="1"/>
  <c r="AP9" i="4"/>
  <c r="AP9" i="5" s="1"/>
  <c r="AV13" i="4"/>
  <c r="AV13" i="5" s="1"/>
  <c r="R8" i="4"/>
  <c r="R8" i="5" s="1"/>
  <c r="S8" i="4"/>
  <c r="S8" i="5" s="1"/>
  <c r="AV48" i="4"/>
  <c r="AV48" i="5" s="1"/>
  <c r="AV44" i="4"/>
  <c r="AV44" i="5" s="1"/>
  <c r="AV40" i="4"/>
  <c r="AV40" i="5" s="1"/>
  <c r="AV36" i="4"/>
  <c r="AV36" i="5" s="1"/>
  <c r="W8" i="4"/>
  <c r="W8" i="5" s="1"/>
  <c r="AV46" i="4"/>
  <c r="AV46" i="5" s="1"/>
  <c r="AV17" i="4"/>
  <c r="AV17" i="5" s="1"/>
  <c r="AV42" i="4"/>
  <c r="AV42" i="5" s="1"/>
  <c r="AN8" i="4"/>
  <c r="AN8" i="5" s="1"/>
  <c r="AQ9" i="4"/>
  <c r="AQ9" i="5" s="1"/>
  <c r="AV50" i="4"/>
  <c r="AV50" i="5" s="1"/>
  <c r="AV24" i="4"/>
  <c r="AV24" i="5" s="1"/>
  <c r="X9" i="4"/>
  <c r="X9" i="5" s="1"/>
  <c r="AV11" i="4"/>
  <c r="AV11" i="5" s="1"/>
  <c r="AV26" i="4"/>
  <c r="AV26" i="5" s="1"/>
  <c r="V8" i="4"/>
  <c r="V8" i="5" s="1"/>
  <c r="AV54" i="4"/>
  <c r="AV54" i="5" s="1"/>
  <c r="AV39" i="4"/>
  <c r="AV39" i="5" s="1"/>
  <c r="AF8" i="4"/>
  <c r="AF8" i="5" s="1"/>
  <c r="AV10" i="4"/>
  <c r="AV10" i="5" s="1"/>
  <c r="AV34" i="4"/>
  <c r="AV34" i="5" s="1"/>
  <c r="U8" i="4"/>
  <c r="U8" i="5" s="1"/>
  <c r="AU49" i="4"/>
  <c r="AU49" i="5" s="1"/>
  <c r="AV28" i="4"/>
  <c r="AV28" i="5" s="1"/>
  <c r="AV30" i="4"/>
  <c r="AV30" i="5" s="1"/>
  <c r="AV23" i="4"/>
  <c r="AV23" i="5" s="1"/>
  <c r="AV53" i="4"/>
  <c r="AV53" i="5" s="1"/>
  <c r="AV45" i="4"/>
  <c r="AV45" i="5" s="1"/>
  <c r="AV16" i="4"/>
  <c r="AV16" i="5" s="1"/>
  <c r="AV14" i="4"/>
  <c r="AV14" i="5" s="1"/>
  <c r="AV35" i="4"/>
  <c r="AV35" i="5" s="1"/>
  <c r="AV56" i="4"/>
  <c r="AV56" i="5" s="1"/>
  <c r="AT49" i="4"/>
  <c r="AT49" i="5" s="1"/>
  <c r="AV27" i="4"/>
  <c r="AV27" i="5" s="1"/>
  <c r="X49" i="4"/>
  <c r="X49" i="5" s="1"/>
  <c r="AR49" i="4"/>
  <c r="AR49" i="5" s="1"/>
  <c r="AV55" i="4"/>
  <c r="AV55" i="5" s="1"/>
  <c r="AV43" i="4"/>
  <c r="AV43" i="5" s="1"/>
  <c r="AV38" i="4"/>
  <c r="AV38" i="5" s="1"/>
  <c r="AV51" i="4"/>
  <c r="AV51" i="5" s="1"/>
  <c r="P8" i="4"/>
  <c r="P8" i="5" s="1"/>
  <c r="AV41" i="4"/>
  <c r="AV41" i="5" s="1"/>
  <c r="AV20" i="4"/>
  <c r="AV20" i="5" s="1"/>
  <c r="AS49" i="4"/>
  <c r="AS49" i="5" s="1"/>
  <c r="U49" i="5"/>
  <c r="D8" i="5"/>
  <c r="T8" i="4"/>
  <c r="AV33" i="4"/>
  <c r="AV33" i="5" s="1"/>
  <c r="AR9" i="4"/>
  <c r="AR9" i="5" s="1"/>
  <c r="AV18" i="4"/>
  <c r="AV18" i="5" s="1"/>
  <c r="AU8" i="4"/>
  <c r="AU8" i="5" s="1"/>
  <c r="AX27" i="3"/>
  <c r="AX26" i="3"/>
  <c r="AX36" i="3"/>
  <c r="AX52" i="3"/>
  <c r="AX53" i="3"/>
  <c r="AX46" i="3"/>
  <c r="AX16" i="3"/>
  <c r="AX42" i="3"/>
  <c r="AX33" i="3"/>
  <c r="AV31" i="3"/>
  <c r="AX31" i="3"/>
  <c r="AV43" i="3"/>
  <c r="AX43" i="3"/>
  <c r="AV20" i="3"/>
  <c r="AX20" i="3"/>
  <c r="AX18" i="3"/>
  <c r="AV28" i="3"/>
  <c r="AX28" i="3"/>
  <c r="AX38" i="3"/>
  <c r="AX55" i="3"/>
  <c r="AX30" i="3"/>
  <c r="AV37" i="3"/>
  <c r="AX37" i="3"/>
  <c r="AX51" i="3"/>
  <c r="AX15" i="3"/>
  <c r="AX19" i="3"/>
  <c r="AX45" i="3"/>
  <c r="AX35" i="3"/>
  <c r="AX11" i="3"/>
  <c r="AV40" i="3"/>
  <c r="AX40" i="3"/>
  <c r="AX17" i="3"/>
  <c r="AV32" i="3"/>
  <c r="AX32" i="3"/>
  <c r="AX50" i="3"/>
  <c r="AX12" i="3"/>
  <c r="AX25" i="3"/>
  <c r="AX39" i="3"/>
  <c r="AX54" i="3"/>
  <c r="AX22" i="3"/>
  <c r="AX44" i="3"/>
  <c r="AX47" i="3"/>
  <c r="AX13" i="3"/>
  <c r="AX24" i="3"/>
  <c r="AX34" i="3"/>
  <c r="AX21" i="3"/>
  <c r="AX14" i="3"/>
  <c r="AX29" i="3"/>
  <c r="AX41" i="3"/>
  <c r="AX56" i="3"/>
  <c r="AX23" i="3"/>
  <c r="AV19" i="3"/>
  <c r="AV18" i="3"/>
  <c r="AV17" i="3"/>
  <c r="AV13" i="3"/>
  <c r="AV24" i="3"/>
  <c r="AV34" i="3"/>
  <c r="AV21" i="3"/>
  <c r="AN49" i="3"/>
  <c r="AV14" i="3"/>
  <c r="AV29" i="3"/>
  <c r="AV41" i="3"/>
  <c r="AV56" i="3"/>
  <c r="AV23" i="3"/>
  <c r="AN9" i="3"/>
  <c r="AV55" i="3"/>
  <c r="AV30" i="3"/>
  <c r="AV47" i="3"/>
  <c r="AV27" i="3"/>
  <c r="AF9" i="3"/>
  <c r="AV16" i="3"/>
  <c r="AV26" i="3"/>
  <c r="AV36" i="3"/>
  <c r="AV52" i="3"/>
  <c r="AV42" i="3"/>
  <c r="AV53" i="3"/>
  <c r="AV46" i="3"/>
  <c r="AV33" i="3"/>
  <c r="AV51" i="3"/>
  <c r="AV15" i="3"/>
  <c r="AV38" i="3"/>
  <c r="AV45" i="3"/>
  <c r="AV35" i="3"/>
  <c r="AV11" i="3"/>
  <c r="AF49" i="3"/>
  <c r="AV50" i="3"/>
  <c r="AV12" i="3"/>
  <c r="AV25" i="3"/>
  <c r="AV39" i="3"/>
  <c r="AV54" i="3"/>
  <c r="AV22" i="3"/>
  <c r="AV44" i="3"/>
  <c r="AA8" i="3"/>
  <c r="AR49" i="3"/>
  <c r="AB8" i="3"/>
  <c r="Z8" i="3"/>
  <c r="AI8" i="3"/>
  <c r="AQ9" i="3"/>
  <c r="AH8" i="3"/>
  <c r="AP9" i="3"/>
  <c r="AM8" i="3"/>
  <c r="AU9" i="3"/>
  <c r="AL8" i="3"/>
  <c r="AT9" i="3"/>
  <c r="AD8" i="3"/>
  <c r="AP49" i="3"/>
  <c r="AC8" i="3"/>
  <c r="AS49" i="3"/>
  <c r="AJ8" i="3"/>
  <c r="AR9" i="3"/>
  <c r="AK8" i="3"/>
  <c r="AS9" i="3"/>
  <c r="AU49" i="3"/>
  <c r="AE8" i="3"/>
  <c r="AV31" i="4" l="1"/>
  <c r="AV31" i="5" s="1"/>
  <c r="U9" i="5"/>
  <c r="AS9" i="4"/>
  <c r="AS9" i="5" s="1"/>
  <c r="AS25" i="5"/>
  <c r="AV25" i="4"/>
  <c r="AV25" i="5" s="1"/>
  <c r="AP19" i="5"/>
  <c r="AV19" i="4"/>
  <c r="AV19" i="5" s="1"/>
  <c r="AP29" i="5"/>
  <c r="AV29" i="4"/>
  <c r="AV29" i="5" s="1"/>
  <c r="AQ8" i="4"/>
  <c r="AQ8" i="5" s="1"/>
  <c r="AP8" i="4"/>
  <c r="AP8" i="5" s="1"/>
  <c r="AS8" i="4"/>
  <c r="AS8" i="5" s="1"/>
  <c r="X8" i="4"/>
  <c r="X8" i="5" s="1"/>
  <c r="AT8" i="4"/>
  <c r="AT8" i="5" s="1"/>
  <c r="AV49" i="4"/>
  <c r="AV49" i="5" s="1"/>
  <c r="T8" i="5"/>
  <c r="C3" i="6" s="1"/>
  <c r="AR8" i="4"/>
  <c r="AR8" i="5" s="1"/>
  <c r="AV9" i="4"/>
  <c r="AV9" i="5" s="1"/>
  <c r="AS8" i="3"/>
  <c r="AX49" i="3"/>
  <c r="AX9" i="3"/>
  <c r="AV49" i="3"/>
  <c r="AV9" i="3"/>
  <c r="AF8" i="3"/>
  <c r="AN8" i="3"/>
  <c r="AQ8" i="3"/>
  <c r="AR8" i="3"/>
  <c r="AT8" i="3"/>
  <c r="AU8" i="3"/>
  <c r="AP8" i="3"/>
  <c r="AV8" i="4" l="1"/>
  <c r="AV8" i="5" s="1"/>
  <c r="AX8" i="3"/>
  <c r="AV8" i="3"/>
  <c r="AZ26" i="1" l="1"/>
  <c r="AZ11" i="1"/>
  <c r="AZ48" i="1"/>
  <c r="AZ16" i="1"/>
  <c r="AZ47" i="1"/>
  <c r="AZ43" i="1"/>
  <c r="AZ30" i="1"/>
  <c r="AZ22" i="1"/>
  <c r="AZ17" i="1"/>
  <c r="AZ9" i="1"/>
  <c r="AZ19" i="1"/>
  <c r="AZ8" i="1"/>
  <c r="AZ15" i="1"/>
  <c r="AZ13" i="1"/>
  <c r="AZ51" i="1"/>
  <c r="AZ7" i="1"/>
  <c r="AZ49" i="1"/>
  <c r="AZ45" i="1"/>
  <c r="AZ37" i="1"/>
  <c r="AZ23" i="1"/>
  <c r="AZ44" i="1"/>
  <c r="AZ40" i="1"/>
  <c r="AZ33" i="1"/>
  <c r="AZ27" i="1"/>
  <c r="AZ52" i="1"/>
  <c r="AZ20" i="1"/>
  <c r="AZ10" i="1"/>
  <c r="AZ14" i="1"/>
  <c r="AZ18" i="1"/>
  <c r="AZ53" i="1"/>
  <c r="AZ41" i="1"/>
  <c r="AZ31" i="1"/>
  <c r="AZ42" i="1"/>
  <c r="AZ29" i="1"/>
  <c r="AZ39" i="1"/>
  <c r="AZ50" i="1"/>
  <c r="AZ35" i="1"/>
  <c r="AZ21" i="1"/>
  <c r="AZ12" i="1"/>
  <c r="AZ28" i="1"/>
  <c r="AZ32" i="1" l="1"/>
  <c r="AZ34" i="1"/>
  <c r="AZ46" i="1"/>
  <c r="AZ38" i="1"/>
  <c r="AZ36" i="1"/>
  <c r="AZ24" i="1"/>
  <c r="AZ6" i="1" l="1"/>
  <c r="AZ5" i="1" l="1"/>
  <c r="AZ15" i="3" l="1"/>
  <c r="AZ14" i="3"/>
  <c r="AZ45" i="3" l="1"/>
  <c r="AZ36" i="3"/>
  <c r="AZ12" i="3"/>
  <c r="AZ30" i="3"/>
  <c r="AZ28" i="3"/>
  <c r="AZ22" i="3"/>
  <c r="AZ44" i="3"/>
  <c r="AZ48" i="3"/>
  <c r="AZ54" i="3"/>
  <c r="AZ13" i="3"/>
  <c r="AZ34" i="3"/>
  <c r="AZ56" i="3"/>
  <c r="AZ16" i="3"/>
  <c r="AZ23" i="3"/>
  <c r="AZ31" i="3"/>
  <c r="AZ19" i="3"/>
  <c r="AZ37" i="3"/>
  <c r="AZ47" i="3"/>
  <c r="AZ35" i="3"/>
  <c r="AZ53" i="3"/>
  <c r="AZ21" i="3"/>
  <c r="AZ50" i="3"/>
  <c r="AZ33" i="3"/>
  <c r="AZ46" i="3"/>
  <c r="AZ52" i="3"/>
  <c r="AZ11" i="3"/>
  <c r="AZ24" i="3"/>
  <c r="AZ39" i="3"/>
  <c r="AZ18" i="3"/>
  <c r="AZ27" i="3"/>
  <c r="AZ43" i="3"/>
  <c r="AZ32" i="3"/>
  <c r="AZ10" i="3"/>
  <c r="AZ42" i="3"/>
  <c r="AZ29" i="3"/>
  <c r="AZ51" i="3"/>
  <c r="AZ55" i="3"/>
  <c r="AZ20" i="3"/>
  <c r="AZ38" i="3"/>
  <c r="AZ17" i="3"/>
  <c r="AZ26" i="3"/>
  <c r="AZ41" i="3"/>
  <c r="AZ25" i="3"/>
  <c r="AZ40" i="3"/>
  <c r="AZ9" i="3" l="1"/>
  <c r="AZ49" i="3"/>
  <c r="AZ8" i="3" l="1"/>
</calcChain>
</file>

<file path=xl/sharedStrings.xml><?xml version="1.0" encoding="utf-8"?>
<sst xmlns="http://schemas.openxmlformats.org/spreadsheetml/2006/main" count="7463" uniqueCount="213">
  <si>
    <t>Wholetime</t>
  </si>
  <si>
    <t>Total Firefighters</t>
  </si>
  <si>
    <t>Fire Control</t>
  </si>
  <si>
    <t>Support Staff</t>
  </si>
  <si>
    <t>Total Staff</t>
  </si>
  <si>
    <t>FRA</t>
  </si>
  <si>
    <t>16-24</t>
  </si>
  <si>
    <t>25-35</t>
  </si>
  <si>
    <t>36-45</t>
  </si>
  <si>
    <t>46-55</t>
  </si>
  <si>
    <t>56+</t>
  </si>
  <si>
    <t>Age Not Stated</t>
  </si>
  <si>
    <r>
      <t xml:space="preserve">Average Age (calc) </t>
    </r>
    <r>
      <rPr>
        <i/>
        <vertAlign val="superscript"/>
        <sz val="11"/>
        <color theme="1"/>
        <rFont val="Calibri"/>
        <family val="2"/>
        <scheme val="minor"/>
      </rPr>
      <t>3</t>
    </r>
  </si>
  <si>
    <t>England</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</si>
  <si>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</si>
  <si>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</si>
  <si>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</si>
  <si>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</si>
  <si>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</si>
  <si>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</si>
  <si>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</si>
  <si>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</si>
  <si>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</si>
  <si>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</si>
  <si>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</si>
  <si>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</si>
  <si>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</si>
  <si>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</si>
  <si>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</si>
  <si>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</si>
  <si>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</si>
  <si>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Hampshire</t>
  </si>
  <si>
    <t>Hereford and Worcester</t>
  </si>
  <si>
    <t>Hertfordshire</t>
  </si>
  <si>
    <t>Humberside</t>
  </si>
  <si>
    <t>Isle Of Wight</t>
  </si>
  <si>
    <t>Kent</t>
  </si>
  <si>
    <t>Lancashire</t>
  </si>
  <si>
    <t>Leicestershire</t>
  </si>
  <si>
    <t>Lincolnshire</t>
  </si>
  <si>
    <t>Norfolk</t>
  </si>
  <si>
    <t>North West Fire Control</t>
  </si>
  <si>
    <t>North Yorkshire</t>
  </si>
  <si>
    <t>Northamptonshire</t>
  </si>
  <si>
    <t>Northumberland</t>
  </si>
  <si>
    <t>Nottinghamshire</t>
  </si>
  <si>
    <t>Oxfordshire</t>
  </si>
  <si>
    <t>Shropshire</t>
  </si>
  <si>
    <t>Staffordshire</t>
  </si>
  <si>
    <t>Suffolk</t>
  </si>
  <si>
    <t>Surrey</t>
  </si>
  <si>
    <t>Warwickshire</t>
  </si>
  <si>
    <t>West Sussex</t>
  </si>
  <si>
    <t>Isles of Scilly</t>
  </si>
  <si>
    <t>Metropolitan fire and rescue authorities</t>
  </si>
  <si>
    <t>Greater Manchester</t>
  </si>
  <si>
    <t>Merseyside</t>
  </si>
  <si>
    <t>South Yorkshire</t>
  </si>
  <si>
    <t>Tyne and Wear</t>
  </si>
  <si>
    <t>West Midlands</t>
  </si>
  <si>
    <t>West Yorkshire</t>
  </si>
  <si>
    <t>Greater London</t>
  </si>
  <si>
    <t>1 The total number of employees</t>
  </si>
  <si>
    <t>Notes</t>
  </si>
  <si>
    <t>The full set of fire statistics releases, tables and guidance can be found on our landing page, here-</t>
  </si>
  <si>
    <t>https://www.gov.uk/government/collections/fire-statistics</t>
  </si>
  <si>
    <t>The statistics in this table are Official Statistics.</t>
  </si>
  <si>
    <t>Source: Home Office Operational Statistics Data Collection, figures supplied by Fire Authorities.</t>
  </si>
  <si>
    <t>Updated alongside Fire and rescue workforce and pensions statistics</t>
  </si>
  <si>
    <t>Contact: FireStatistics@homeoffice.gsi.gov.uk</t>
  </si>
  <si>
    <t>Next Update: Autumn 2018</t>
  </si>
  <si>
    <t>-</t>
  </si>
  <si>
    <r>
      <t xml:space="preserve">Retained Duty System </t>
    </r>
    <r>
      <rPr>
        <vertAlign val="superscript"/>
        <sz val="11"/>
        <color theme="1"/>
        <rFont val="Calibri"/>
        <family val="2"/>
        <scheme val="minor"/>
      </rPr>
      <t>2</t>
    </r>
  </si>
  <si>
    <t>2 Also known as "On-call firefighters"</t>
  </si>
  <si>
    <t>The figures for 2016/17 were collected on a voluntary basis. Those eight FRSs with 0 new staff could be due to 0 new staff being recruited or due to the data being unavailable. West Yorkshire figures show an inconsistent total with tables 1120 and 1121.</t>
  </si>
  <si>
    <r>
      <t>FIRE STATISTICS TABLE 1122: Staff joining fire authorities (headcount</t>
    </r>
    <r>
      <rPr>
        <b/>
        <vertAlign val="superscript"/>
        <sz val="11"/>
        <color rgb="FFFFFFFF"/>
        <rFont val="Arial Black"/>
        <family val="2"/>
      </rPr>
      <t>1</t>
    </r>
    <r>
      <rPr>
        <b/>
        <sz val="11"/>
        <color rgb="FFFFFFFF"/>
        <rFont val="Arial Black"/>
        <family val="2"/>
      </rPr>
      <t>), by fire and rescue authority, age and role</t>
    </r>
  </si>
  <si>
    <t>On call</t>
  </si>
  <si>
    <t>Mixed</t>
  </si>
  <si>
    <t>Asian or Asian British</t>
  </si>
  <si>
    <t>Black or Black British</t>
  </si>
  <si>
    <t>Age: 17-24</t>
  </si>
  <si>
    <t>Age: 25-35</t>
  </si>
  <si>
    <t>Age: 36-45</t>
  </si>
  <si>
    <t>Age: 46-55</t>
  </si>
  <si>
    <t>Age: 56-65</t>
  </si>
  <si>
    <t>Age: 66+</t>
  </si>
  <si>
    <t>Age
Not Stated</t>
  </si>
  <si>
    <t>White</t>
  </si>
  <si>
    <t>Chinese or Other Ethnicity</t>
  </si>
  <si>
    <t>Ethnic origin Not Stated</t>
  </si>
  <si>
    <t>The figures for 2016/17 were collected on a voluntary basis. Those eight FRSs with 0 new staff could be due to 0 new staff being recruited or due to the data being unavailable.</t>
  </si>
  <si>
    <t>2017-18</t>
  </si>
  <si>
    <t>2016-17</t>
  </si>
  <si>
    <r>
      <t>FIRE STATISTICS TABLE 1122: Staff joining fire authorities (headcount</t>
    </r>
    <r>
      <rPr>
        <b/>
        <vertAlign val="superscript"/>
        <sz val="11"/>
        <color rgb="FFFFFFFF"/>
        <rFont val="Arial Black"/>
        <family val="2"/>
      </rPr>
      <t>1</t>
    </r>
    <r>
      <rPr>
        <b/>
        <sz val="11"/>
        <color rgb="FFFFFFFF"/>
        <rFont val="Arial Black"/>
        <family val="2"/>
      </rPr>
      <t>), by fire and rescue authority, age and role 2016-17</t>
    </r>
  </si>
  <si>
    <r>
      <t>FIRE STATISTICS TABLE 1122: Staff joining fire authorities (headcount</t>
    </r>
    <r>
      <rPr>
        <b/>
        <vertAlign val="superscript"/>
        <sz val="11"/>
        <color rgb="FFFFFFFF"/>
        <rFont val="Arial Black"/>
        <family val="2"/>
      </rPr>
      <t>1</t>
    </r>
    <r>
      <rPr>
        <b/>
        <sz val="11"/>
        <color rgb="FFFFFFFF"/>
        <rFont val="Arial Black"/>
        <family val="2"/>
      </rPr>
      <t>), by fire and rescue authority, age and role 2017-18</t>
    </r>
  </si>
  <si>
    <t>Select a year from the drop-down list in the orange box below:</t>
  </si>
  <si>
    <t>Wholetime firefighters</t>
  </si>
  <si>
    <t>Fire Control Staff</t>
  </si>
  <si>
    <t>2 Also known as "Retained Duty System firefighters"</t>
  </si>
  <si>
    <t>Contact: FireStatistics@homeoffice.gov.uk</t>
  </si>
  <si>
    <t>3 This figure is indicative. It is calculated using average ages for each age band and therefore should be used with caution.</t>
  </si>
  <si>
    <t>Pink cells</t>
  </si>
  <si>
    <t>are the ones picked up in the macro</t>
  </si>
  <si>
    <t>red font</t>
  </si>
  <si>
    <t>are the cells you need to check are still correct</t>
  </si>
  <si>
    <t>Link_Start</t>
  </si>
  <si>
    <t>Year</t>
  </si>
  <si>
    <t>Return_Name</t>
  </si>
  <si>
    <t>FRS_Loop</t>
  </si>
  <si>
    <t>Link_End</t>
  </si>
  <si>
    <t>\\Poise.Homeoffice.Local\Home\RQG\Users\BeevorE\My Documents\003 Fire Operational Statistics\</t>
  </si>
  <si>
    <t>2018_19</t>
  </si>
  <si>
    <t>\data supplied\HR\HR_</t>
  </si>
  <si>
    <t>Sheet_Name_HR6</t>
  </si>
  <si>
    <t>Cell_Loop_HR6</t>
  </si>
  <si>
    <t>Cell_Loop_Desc_HR6</t>
  </si>
  <si>
    <t>Cell_Loop_Desc2_HR6</t>
  </si>
  <si>
    <t>HR6</t>
  </si>
  <si>
    <t>Support staff</t>
  </si>
  <si>
    <t>Fire control</t>
  </si>
  <si>
    <t>Cell_Loop2_HR6</t>
  </si>
  <si>
    <t>Cell_Loop2_Desc_HR6</t>
  </si>
  <si>
    <t>Cell_Loop2_Desc2_HR6</t>
  </si>
  <si>
    <t>Cell_Loop3_HR6</t>
  </si>
  <si>
    <t>Cell_Loop3_Desc_HR6</t>
  </si>
  <si>
    <t>Cell_Loop3_Desc2_HR6</t>
  </si>
  <si>
    <t>Cell_Loop4_HR6</t>
  </si>
  <si>
    <t>Cell_Loop4_Desc_HR6</t>
  </si>
  <si>
    <t>Cell_Loop4_Desc2_HR6</t>
  </si>
  <si>
    <t>Cell_Loop5_HR6</t>
  </si>
  <si>
    <t>Cell_Loop5_Desc_HR6</t>
  </si>
  <si>
    <t>Cell_Loop5_Desc2_HR6</t>
  </si>
  <si>
    <t>Cell_Loop6_HR6</t>
  </si>
  <si>
    <t>Cell_Loop6_Desc_HR6</t>
  </si>
  <si>
    <t>Cell_Loop6_Desc2_HR6</t>
  </si>
  <si>
    <t>Cell_Loop7_HR6</t>
  </si>
  <si>
    <t>Cell_Loop7_Desc_HR6</t>
  </si>
  <si>
    <t>Cell_Loop7_Desc2_HR6</t>
  </si>
  <si>
    <t>Age</t>
  </si>
  <si>
    <t>B28</t>
  </si>
  <si>
    <t>B29</t>
  </si>
  <si>
    <t>B30</t>
  </si>
  <si>
    <t>B31</t>
  </si>
  <si>
    <t>C28</t>
  </si>
  <si>
    <t>C29</t>
  </si>
  <si>
    <t>C30</t>
  </si>
  <si>
    <t>C31</t>
  </si>
  <si>
    <t>D28</t>
  </si>
  <si>
    <t>D29</t>
  </si>
  <si>
    <t>D30</t>
  </si>
  <si>
    <t>D31</t>
  </si>
  <si>
    <t>E28</t>
  </si>
  <si>
    <t>E29</t>
  </si>
  <si>
    <t>E30</t>
  </si>
  <si>
    <t>E31</t>
  </si>
  <si>
    <t>F28</t>
  </si>
  <si>
    <t>F29</t>
  </si>
  <si>
    <t>F30</t>
  </si>
  <si>
    <t>F31</t>
  </si>
  <si>
    <t>G28</t>
  </si>
  <si>
    <t>G29</t>
  </si>
  <si>
    <t>G30</t>
  </si>
  <si>
    <t>G31</t>
  </si>
  <si>
    <t>H28</t>
  </si>
  <si>
    <t>H29</t>
  </si>
  <si>
    <t>H30</t>
  </si>
  <si>
    <t>H31</t>
  </si>
  <si>
    <t>FRS_name</t>
  </si>
  <si>
    <t>FRS_type</t>
  </si>
  <si>
    <t>FRS_code</t>
  </si>
  <si>
    <t>Count</t>
  </si>
  <si>
    <t>Role</t>
  </si>
  <si>
    <t>Average Age (calc) 3</t>
  </si>
  <si>
    <t>FIRE STATISTICS TABLE 1122: Staff joining fire authorities (headcount1), by fire and rescue authority, age and role 2018-19</t>
  </si>
  <si>
    <t>2018-19</t>
  </si>
  <si>
    <t>No</t>
  </si>
  <si>
    <t>Yes</t>
  </si>
  <si>
    <t>Checklist</t>
  </si>
  <si>
    <t>Checker</t>
  </si>
  <si>
    <t>Error?</t>
  </si>
  <si>
    <t>Eliot</t>
  </si>
  <si>
    <t>Comments</t>
  </si>
  <si>
    <t>Victoria</t>
  </si>
  <si>
    <t>Deborah</t>
  </si>
  <si>
    <t>drop down menu works</t>
  </si>
  <si>
    <t>Molly</t>
  </si>
  <si>
    <t>spot check some figures from the raw sheet</t>
  </si>
  <si>
    <t>Colleen</t>
  </si>
  <si>
    <t>Total firefighters is sum of on call and wholetime</t>
  </si>
  <si>
    <t>Total staff is sum of total firefighters, fire control and support staff</t>
  </si>
  <si>
    <t>Mets = Sum of Mets</t>
  </si>
  <si>
    <t>Paul</t>
  </si>
  <si>
    <t>Non Mets = Sum of Non Mets</t>
  </si>
  <si>
    <t>Total = Mets + Non Mets</t>
  </si>
  <si>
    <t>London is one of the biggest</t>
  </si>
  <si>
    <t>Isles of Scilly and Isle of Wight one of smallest</t>
  </si>
  <si>
    <t>Newest year has been included</t>
  </si>
  <si>
    <t>Footnotes are relevant</t>
  </si>
  <si>
    <t>Notes are correct</t>
  </si>
  <si>
    <t>Links work</t>
  </si>
  <si>
    <t>Last updated date is correct</t>
  </si>
  <si>
    <t>Next update date is planned next release period</t>
  </si>
  <si>
    <t>Checks left to do or resolve</t>
  </si>
  <si>
    <t>Check totals match 1120 (except for dorset and wiltshire for whole time due to having one member of staff identifying as 'other' gender and isle of scilly for on call and support staff and north west fire control for support staff, hoping to get updated figures which will match)</t>
  </si>
  <si>
    <t>Checks for 1122</t>
  </si>
  <si>
    <t>spot check some of the formula for the average age calculation in the raw sheet</t>
  </si>
  <si>
    <t>Last Updated: 31 October 2019</t>
  </si>
  <si>
    <t>Next Update: Autumn 2020</t>
  </si>
  <si>
    <t>no</t>
  </si>
  <si>
    <t>yes</t>
  </si>
  <si>
    <t>autumn 2020 didn’t work</t>
  </si>
  <si>
    <r>
      <t>On call firefighters</t>
    </r>
    <r>
      <rPr>
        <vertAlign val="superscript"/>
        <sz val="11"/>
        <color theme="1"/>
        <rFont val="Calibri"/>
        <family val="2"/>
        <scheme val="minor"/>
      </rPr>
      <t>2</t>
    </r>
  </si>
  <si>
    <r>
      <t xml:space="preserve">Average Age (calc) </t>
    </r>
    <r>
      <rPr>
        <b/>
        <i/>
        <vertAlign val="superscript"/>
        <sz val="11"/>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</si>
</sst>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i/>
      <sz val="11"/>
      <color theme="1"/>
      <name val="Calibri"/>
      <family val="2"/>
      <scheme val="minor"/>
    </font>
    <font>
      <i/>
      <vertAlign val="superscript"/>
      <sz val="11"/>
      <color theme="1"/>
      <name val="Calibri"/>
      <family val="2"/>
      <scheme val="minor"/>
    </font>
    <font>
      <b/>
      <i/>
      <sz val="11"/>
      <color theme="1"/>
      <name val="Calibri"/>
      <family val="2"/>
      <scheme val="minor"/>
    </font>
    <font>
      <b/>
      <sz val="11"/>
      <color rgb="FF000000"/>
      <name val="Calibri"/>
      <family val="2"/>
    </font>
    <font>
      <u/>
      <sz val="11"/>
      <color rgb="FF0563C1"/>
      <name val="Calibri"/>
      <family val="2"/>
    </font>
    <font>
      <vertAlign val="superscript"/>
      <sz val="11"/>
      <color theme="1"/>
      <name val="Calibri"/>
      <family val="2"/>
      <scheme val="minor"/>
    </font>
    <font>
      <b/>
      <sz val="11"/>
      <name val="Arial Black"/>
      <family val="2"/>
    </font>
    <font>
      <sz val="11"/>
      <color rgb="FF000000"/>
      <name val="Calibri"/>
      <family val="2"/>
    </font>
    <font>
      <sz val="10"/>
      <name val="MS Sans Serif"/>
      <family val="2"/>
    </font>
    <font>
      <sz val="10"/>
      <name val="MS Sans Serif"/>
    </font>
    <font>
      <u/>
      <sz val="10"/>
      <color indexed="12"/>
      <name val="MS Sans Serif"/>
      <family val="2"/>
    </font>
    <font>
      <sz val="11"/>
      <name val="Calibri"/>
      <family val="2"/>
      <scheme val="minor"/>
    </font>
    <font>
      <sz val="10"/>
      <color rgb="FFFF0000"/>
      <name val="Calibri"/>
      <family val="2"/>
      <scheme val="minor"/>
    </font>
    <font>
      <sz val="11"/>
      <color theme="0"/>
      <name val="Arial Black"/>
      <family val="2"/>
    </font>
    <font>
      <sz val="11"/>
      <color theme="8" tint="0.59999389629810485"/>
      <name val="Calibri"/>
      <family val="2"/>
      <scheme val="minor"/>
    </font>
    <font>
      <b/>
      <sz val="11"/>
      <name val="Calibri"/>
      <family val="2"/>
      <scheme val="minor"/>
    </font>
    <font>
      <b/>
      <i/>
      <vertAlign val="superscript"/>
      <sz val="11"/>
      <color theme="1"/>
      <name val="Calibri"/>
      <family val="2"/>
      <scheme val="minor"/>
    </font>
  </fonts>
  <fills count="10">
    <fill>
      <patternFill patternType="none"/>
    </fill>
    <fill>
      <patternFill patternType="gray125"/>
    </fill>
    <fill>
      <patternFill patternType="solid">
        <fgColor rgb="FFFF0000"/>
        <bgColor rgb="FFFF0000"/>
      </patternFill>
    </fill>
    <fill>
      <patternFill patternType="solid">
        <fgColor theme="0"/>
        <bgColor indexed="64"/>
      </patternFill>
    </fill>
    <fill>
      <patternFill patternType="solid">
        <fgColor theme="0"/>
        <bgColor rgb="FFFFFFFF"/>
      </patternFill>
    </fill>
    <fill>
      <patternFill patternType="solid">
        <fgColor theme="0"/>
        <bgColor rgb="FFFF0000"/>
      </patternFill>
    </fill>
    <fill>
      <patternFill patternType="solid">
        <fgColor rgb="FFFFC000"/>
        <bgColor rgb="FFFF0000"/>
      </patternFill>
    </fill>
    <fill>
      <patternFill patternType="solid">
        <fgColor rgb="FFFFCCFF"/>
        <bgColor indexed="64"/>
      </patternFill>
    </fill>
    <fill>
      <patternFill patternType="solid">
        <fgColor rgb="FF99CCFF"/>
        <bgColor indexed="64"/>
      </patternFill>
    </fill>
    <fill>
      <patternFill patternType="solid">
        <fgColor rgb="FFFF0000"/>
        <bgColor indexed="64"/>
      </patternFill>
    </fill>
  </fills>
  <borders count="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s>
  <cellStyleXfs count="8">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13" fillId="0" borderId="0"/>
    <xf numFmtId="0" fontId="15" fillId="0" borderId="0"/>
    <xf numFmtId="165" fontId="14" fillId="0" borderId="0" applyFont="0" applyFill="0" applyBorder="0" applyProtection="0">
      <alignment horizontal="right"/>
    </xf>
    <xf numFmtId="0" fontId="16" fillId="0" borderId="0" applyNumberFormat="0" applyFill="0" applyBorder="0" applyAlignment="0" applyProtection="0"/>
    <xf numFmtId="9" fontId="14" fillId="0" borderId="0" applyFont="0" applyFill="0" applyBorder="0" applyAlignment="0" applyProtection="0"/>
  </cellStyleXfs>
  <cellXfs count="98">
    <xf numFmtId="0" fontId="0" fillId="0" borderId="0" xfId="0"/>
    <xf numFmtId="0" fontId="0" fillId="3" borderId="0" xfId="0" applyFill="1" applyAlignment="1">
      <alignment wrapText="1"/>
    </xf>
    <xf numFmtId="0" fontId="0" fillId="4" borderId="0" xfId="0" applyFill="1" applyBorder="1"/>
    <xf numFmtId="0" fontId="0" fillId="3" borderId="0" xfId="0" applyFill="1" applyBorder="1"/>
    <xf numFmtId="0" fontId="0" fillId="4" borderId="0" xfId="0" applyFill="1"/>
    <xf numFmtId="0" fontId="0" fillId="4" borderId="0" xfId="0" applyFill="1" applyBorder="1" applyAlignment="1">
      <alignment horizontal="center"/>
    </xf>
    <xf numFmtId="0" fontId="0" fillId="4" borderId="0" xfId="0" applyFill="1" applyBorder="1" applyAlignment="1">
      <alignment horizontal="center" vertical="center" wrapText="1"/>
    </xf>
    <xf numFmtId="0" fontId="0" fillId="3" borderId="0" xfId="0" applyFill="1"/>
    <xf numFmtId="0" fontId="0" fillId="4" borderId="1" xfId="0" applyFill="1" applyBorder="1" applyAlignment="1">
      <alignment horizontal="left" vertical="center" wrapText="1"/>
    </xf>
    <xf numFmtId="0" fontId="0" fillId="4" borderId="2" xfId="0" applyFill="1" applyBorder="1" applyAlignment="1">
      <alignment horizontal="center" vertical="center" wrapText="1"/>
    </xf>
    <xf numFmtId="0" fontId="6" fillId="4" borderId="2"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0" xfId="0" applyFill="1" applyAlignment="1">
      <alignment horizontal="right" vertical="center" wrapText="1"/>
    </xf>
    <xf numFmtId="0" fontId="3" fillId="4" borderId="3" xfId="0" applyFont="1" applyFill="1" applyBorder="1"/>
    <xf numFmtId="3" fontId="3" fillId="3" borderId="3" xfId="0" applyNumberFormat="1" applyFont="1" applyFill="1" applyBorder="1" applyAlignment="1">
      <alignment horizontal="right"/>
    </xf>
    <xf numFmtId="1" fontId="8" fillId="3" borderId="0" xfId="1" applyNumberFormat="1" applyFont="1" applyFill="1" applyBorder="1" applyAlignment="1">
      <alignment horizontal="right"/>
    </xf>
    <xf numFmtId="1" fontId="3" fillId="3" borderId="0" xfId="1" applyNumberFormat="1" applyFont="1" applyFill="1" applyBorder="1" applyAlignment="1">
      <alignment horizontal="right"/>
    </xf>
    <xf numFmtId="164" fontId="0" fillId="3" borderId="0" xfId="0" applyNumberFormat="1" applyFill="1"/>
    <xf numFmtId="1" fontId="2" fillId="3" borderId="0" xfId="0" applyNumberFormat="1" applyFont="1" applyFill="1"/>
    <xf numFmtId="1" fontId="0" fillId="3" borderId="0" xfId="0" applyNumberFormat="1" applyFill="1"/>
    <xf numFmtId="0" fontId="3" fillId="4" borderId="0" xfId="0" applyFont="1" applyFill="1" applyBorder="1"/>
    <xf numFmtId="3" fontId="3" fillId="3" borderId="0" xfId="0" applyNumberFormat="1" applyFont="1" applyFill="1" applyBorder="1" applyAlignment="1">
      <alignment horizontal="right"/>
    </xf>
    <xf numFmtId="3" fontId="0" fillId="3" borderId="0" xfId="0" applyNumberFormat="1" applyFont="1" applyFill="1" applyBorder="1" applyAlignment="1">
      <alignment horizontal="right"/>
    </xf>
    <xf numFmtId="1" fontId="6" fillId="3" borderId="0" xfId="1" applyNumberFormat="1" applyFont="1" applyFill="1" applyBorder="1" applyAlignment="1">
      <alignment horizontal="right"/>
    </xf>
    <xf numFmtId="3" fontId="0" fillId="4" borderId="0" xfId="0" applyNumberFormat="1" applyFill="1" applyBorder="1"/>
    <xf numFmtId="0" fontId="0" fillId="4" borderId="1" xfId="0" applyFill="1" applyBorder="1"/>
    <xf numFmtId="3" fontId="0" fillId="3" borderId="1" xfId="0" applyNumberFormat="1" applyFont="1" applyFill="1" applyBorder="1" applyAlignment="1">
      <alignment horizontal="right"/>
    </xf>
    <xf numFmtId="1" fontId="6" fillId="3" borderId="1" xfId="1" applyNumberFormat="1" applyFont="1" applyFill="1" applyBorder="1" applyAlignment="1">
      <alignment horizontal="right"/>
    </xf>
    <xf numFmtId="1" fontId="8" fillId="3" borderId="1" xfId="1" applyNumberFormat="1" applyFont="1" applyFill="1" applyBorder="1" applyAlignment="1">
      <alignment horizontal="right"/>
    </xf>
    <xf numFmtId="3" fontId="3" fillId="3" borderId="1" xfId="0" applyNumberFormat="1" applyFont="1" applyFill="1" applyBorder="1" applyAlignment="1">
      <alignment horizontal="right"/>
    </xf>
    <xf numFmtId="0" fontId="0" fillId="4" borderId="0" xfId="0" applyFill="1" applyAlignment="1">
      <alignment horizontal="left" wrapText="1"/>
    </xf>
    <xf numFmtId="0" fontId="9" fillId="4" borderId="0" xfId="0" applyFont="1" applyFill="1"/>
    <xf numFmtId="0" fontId="0" fillId="4" borderId="0" xfId="0" applyFill="1" applyAlignment="1">
      <alignment wrapText="1"/>
    </xf>
    <xf numFmtId="0" fontId="10" fillId="4" borderId="0" xfId="2" applyFont="1" applyFill="1"/>
    <xf numFmtId="0" fontId="0" fillId="4" borderId="0" xfId="0" applyFill="1" applyAlignment="1">
      <alignment horizontal="right"/>
    </xf>
    <xf numFmtId="0" fontId="0" fillId="4" borderId="0" xfId="0" applyFill="1" applyBorder="1" applyAlignment="1">
      <alignment horizontal="center"/>
    </xf>
    <xf numFmtId="0" fontId="0" fillId="4" borderId="1" xfId="0" applyFill="1" applyBorder="1" applyAlignment="1">
      <alignment horizontal="center" vertical="center" wrapText="1"/>
    </xf>
    <xf numFmtId="0" fontId="10" fillId="4" borderId="0" xfId="2" applyFill="1" applyAlignment="1">
      <alignment horizontal="right"/>
    </xf>
    <xf numFmtId="0" fontId="0" fillId="4" borderId="0" xfId="0" applyFill="1" applyBorder="1" applyAlignment="1">
      <alignment vertical="center" wrapText="1"/>
    </xf>
    <xf numFmtId="0" fontId="0" fillId="4" borderId="0" xfId="0" applyFill="1" applyBorder="1" applyAlignment="1">
      <alignment horizontal="center"/>
    </xf>
    <xf numFmtId="0" fontId="0" fillId="4" borderId="1" xfId="0" applyFill="1" applyBorder="1" applyAlignment="1">
      <alignment horizontal="center" vertical="center" wrapText="1"/>
    </xf>
    <xf numFmtId="3" fontId="0" fillId="4" borderId="0" xfId="0" applyNumberFormat="1" applyFill="1"/>
    <xf numFmtId="0" fontId="3" fillId="4" borderId="0" xfId="0" applyFont="1" applyFill="1"/>
    <xf numFmtId="0" fontId="3"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5" borderId="0" xfId="0" applyFont="1" applyFill="1" applyAlignment="1">
      <alignment horizontal="left" wrapText="1"/>
    </xf>
    <xf numFmtId="0" fontId="0" fillId="4" borderId="3" xfId="0" applyFill="1" applyBorder="1"/>
    <xf numFmtId="0" fontId="0" fillId="4" borderId="0" xfId="0" applyFill="1" applyBorder="1" applyAlignment="1">
      <alignment horizontal="left" wrapText="1"/>
    </xf>
    <xf numFmtId="0" fontId="9" fillId="4" borderId="0" xfId="0" applyFont="1" applyFill="1" applyBorder="1"/>
    <xf numFmtId="0" fontId="0" fillId="4" borderId="0" xfId="0" applyFill="1" applyBorder="1" applyAlignment="1">
      <alignment wrapText="1"/>
    </xf>
    <xf numFmtId="0" fontId="10" fillId="4" borderId="0" xfId="2" applyFont="1" applyFill="1" applyBorder="1"/>
    <xf numFmtId="0" fontId="0" fillId="4" borderId="0" xfId="0" applyFill="1" applyBorder="1" applyAlignment="1">
      <alignment horizontal="right"/>
    </xf>
    <xf numFmtId="0" fontId="10" fillId="4" borderId="0" xfId="2" applyFill="1" applyBorder="1"/>
    <xf numFmtId="0" fontId="0" fillId="4" borderId="0" xfId="0" applyFill="1" applyAlignment="1">
      <alignment horizontal="left"/>
    </xf>
    <xf numFmtId="1" fontId="17" fillId="3" borderId="0" xfId="0" applyNumberFormat="1" applyFont="1" applyFill="1"/>
    <xf numFmtId="9" fontId="0" fillId="0" borderId="0" xfId="1" applyFont="1"/>
    <xf numFmtId="0" fontId="15" fillId="7" borderId="0" xfId="4" applyFill="1"/>
    <xf numFmtId="0" fontId="15" fillId="0" borderId="0" xfId="4"/>
    <xf numFmtId="0" fontId="2" fillId="0" borderId="0" xfId="4" applyFont="1"/>
    <xf numFmtId="0" fontId="15" fillId="8" borderId="0" xfId="4" applyFill="1"/>
    <xf numFmtId="0" fontId="3" fillId="8" borderId="0" xfId="4" applyFont="1" applyFill="1"/>
    <xf numFmtId="0" fontId="0" fillId="0" borderId="0" xfId="0" applyFill="1"/>
    <xf numFmtId="0" fontId="15" fillId="0" borderId="0" xfId="4" applyFill="1"/>
    <xf numFmtId="0" fontId="3" fillId="0" borderId="0" xfId="4" applyFont="1" applyFill="1"/>
    <xf numFmtId="0" fontId="2" fillId="7" borderId="0" xfId="4" quotePrefix="1" applyFont="1" applyFill="1"/>
    <xf numFmtId="0" fontId="2" fillId="7" borderId="0" xfId="4" applyFont="1" applyFill="1"/>
    <xf numFmtId="0" fontId="2" fillId="0" borderId="0" xfId="0" applyFont="1" applyFill="1"/>
    <xf numFmtId="0" fontId="15" fillId="7" borderId="0" xfId="4" applyFont="1" applyFill="1"/>
    <xf numFmtId="0" fontId="2" fillId="0" borderId="0" xfId="0" applyFont="1"/>
    <xf numFmtId="0" fontId="2" fillId="0" borderId="0" xfId="4" applyFont="1" applyFill="1"/>
    <xf numFmtId="0" fontId="18" fillId="0" borderId="0" xfId="4" applyFont="1" applyFill="1"/>
    <xf numFmtId="0" fontId="18" fillId="0" borderId="0" xfId="4" applyFont="1"/>
    <xf numFmtId="0" fontId="0" fillId="8" borderId="0" xfId="0" applyFill="1"/>
    <xf numFmtId="0" fontId="2" fillId="7" borderId="0" xfId="0" applyFont="1" applyFill="1"/>
    <xf numFmtId="0" fontId="0" fillId="0" borderId="0" xfId="0" applyAlignment="1">
      <alignment wrapText="1"/>
    </xf>
    <xf numFmtId="1" fontId="0" fillId="3" borderId="0" xfId="1" applyNumberFormat="1" applyFont="1" applyFill="1"/>
    <xf numFmtId="0" fontId="20" fillId="0" borderId="0" xfId="0" applyFont="1"/>
    <xf numFmtId="0" fontId="3" fillId="0" borderId="0" xfId="0" applyFont="1"/>
    <xf numFmtId="0" fontId="3" fillId="0" borderId="0" xfId="0" applyFont="1" applyAlignment="1">
      <alignment horizontal="center"/>
    </xf>
    <xf numFmtId="0" fontId="0" fillId="4" borderId="0" xfId="0" applyFill="1" applyBorder="1" applyAlignment="1"/>
    <xf numFmtId="0" fontId="8" fillId="4" borderId="2" xfId="0" applyFont="1" applyFill="1" applyBorder="1" applyAlignment="1">
      <alignment horizontal="center" vertical="center" wrapText="1"/>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4" fillId="2" borderId="0" xfId="0" applyFont="1" applyFill="1" applyAlignment="1">
      <alignment horizontal="left" wrapText="1"/>
    </xf>
    <xf numFmtId="0" fontId="0" fillId="4" borderId="0" xfId="0" applyFill="1" applyBorder="1" applyAlignment="1">
      <alignment horizontal="center"/>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3" borderId="0" xfId="0" applyFill="1" applyAlignment="1">
      <alignment horizontal="center"/>
    </xf>
    <xf numFmtId="0" fontId="19" fillId="9" borderId="0" xfId="0" applyFont="1" applyFill="1" applyAlignment="1">
      <alignment horizontal="left"/>
    </xf>
    <xf numFmtId="0" fontId="12" fillId="6" borderId="0" xfId="0" applyFont="1" applyFill="1" applyAlignment="1">
      <alignment horizontal="center" wrapText="1"/>
    </xf>
    <xf numFmtId="0" fontId="21" fillId="6" borderId="0" xfId="0" applyFont="1" applyFill="1" applyAlignment="1">
      <alignment horizontal="center" vertical="center" wrapText="1"/>
    </xf>
    <xf numFmtId="0" fontId="10" fillId="3" borderId="0" xfId="2" applyFill="1" applyAlignment="1">
      <alignment horizontal="right"/>
    </xf>
    <xf numFmtId="0" fontId="0" fillId="4" borderId="0" xfId="0" applyFill="1" applyBorder="1" applyAlignment="1">
      <alignment horizontal="left"/>
    </xf>
    <xf numFmtId="0" fontId="0" fillId="4" borderId="0" xfId="0" applyFill="1" applyBorder="1" applyAlignment="1">
      <alignment horizontal="left" vertical="top" wrapText="1"/>
    </xf>
    <xf numFmtId="0" fontId="0" fillId="4" borderId="0" xfId="0" applyFill="1" applyBorder="1" applyAlignment="1">
      <alignment horizontal="left" wrapText="1"/>
    </xf>
    <xf numFmtId="0" fontId="10" fillId="3" borderId="0" xfId="2" applyFill="1" applyAlignment="1">
      <alignment horizontal="right" wrapText="1"/>
    </xf>
  </cellXfs>
  <cellStyles count="8">
    <cellStyle name="Comma 2" xfId="5" xr:uid="{00000000-0005-0000-0000-000000000000}"/>
    <cellStyle name="Hyperlink" xfId="2" xr:uid="{00000000-0005-0000-0000-000001000000}"/>
    <cellStyle name="Hyperlink 2" xfId="6" xr:uid="{00000000-0005-0000-0000-000002000000}"/>
    <cellStyle name="Normal" xfId="0" builtinId="0"/>
    <cellStyle name="Normal 2" xfId="3" xr:uid="{00000000-0005-0000-0000-000004000000}"/>
    <cellStyle name="Normal 3" xfId="4" xr:uid="{00000000-0005-0000-0000-000005000000}"/>
    <cellStyle name="Percent" xfId="1" builtinId="5"/>
    <cellStyle name="Percent 2" xfId="7" xr:uid="{00000000-0005-0000-0000-000007000000}"/>
  </cellStyles>
  <dxfs count="14">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 textlink="">
      <xdr:nvSpPr>
        <xdr:cNvPr id="2" name="Star: 5 Points 1">
          <a:extLst>
            <a:ext uri="{FF2B5EF4-FFF2-40B4-BE49-F238E27FC236}">
              <a16:creationId xmlns:a16="http://schemas.microsoft.com/office/drawing/2014/main" id="{3B26F8EA-B70E-4600-A7D3-2D6446714B6C}"/>
            </a:ext>
          </a:extLst>
        </xdr:cNvPr>
        <xdr:cNvSpPr/>
      </xdr:nvSpPr>
      <xdr:spPr>
        <a:xfrm>
          <a:off x="291737" y="2277564"/>
          <a:ext cx="3752306" cy="63398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1.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67"/>
  <sheetViews>
    <sheetView workbookViewId="0">
      <pane ySplit="5" topLeftCell="A6" activePane="bottomLeft" state="frozen"/>
      <selection activeCell="A4" sqref="A4:L4"/>
      <selection pane="bottomLeft" activeCell="A4" sqref="A4:L4"/>
    </sheetView>
  </sheetViews>
  <sheetFormatPr defaultColWidth="9.1796875" defaultRowHeight="14.5" x14ac:dyDescent="0.35"/>
  <cols>
    <col min="1" max="1" width="50.7265625" style="4" customWidth="1"/>
    <col min="2" max="8" width="8.7265625" style="4" customWidth="1"/>
    <col min="9" max="9" width="2.7265625" style="4" customWidth="1"/>
    <col min="10" max="16" width="8.7265625" style="4" customWidth="1"/>
    <col min="17" max="17" width="2.7265625" style="4" customWidth="1"/>
    <col min="18" max="24" width="8.7265625" style="4" customWidth="1"/>
    <col min="25" max="25" width="2.7265625" style="4" customWidth="1"/>
    <col min="26" max="32" width="8.7265625" style="4" customWidth="1"/>
    <col min="33" max="33" width="2.7265625" style="4" customWidth="1"/>
    <col min="34" max="40" width="8.7265625" style="4" customWidth="1"/>
    <col min="41" max="41" width="2.7265625" style="4" customWidth="1"/>
    <col min="42" max="48" width="8.7265625" style="4" customWidth="1"/>
    <col min="49" max="16384" width="9.1796875" style="4"/>
  </cols>
  <sheetData>
    <row r="1" spans="1:58" s="1" customFormat="1" ht="23.25" customHeight="1" x14ac:dyDescent="0.5">
      <c r="A1" s="84" t="s">
        <v>93</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row>
    <row r="2" spans="1:58" s="3" customFormat="1" x14ac:dyDescent="0.35">
      <c r="A2" s="2"/>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row>
    <row r="3" spans="1:58" s="7" customFormat="1" ht="15.75" customHeight="1" thickBot="1" x14ac:dyDescent="0.4">
      <c r="A3" s="4"/>
      <c r="B3" s="86" t="s">
        <v>0</v>
      </c>
      <c r="C3" s="86"/>
      <c r="D3" s="86"/>
      <c r="E3" s="86"/>
      <c r="F3" s="86"/>
      <c r="G3" s="86"/>
      <c r="H3" s="86"/>
      <c r="I3" s="5"/>
      <c r="J3" s="86" t="s">
        <v>72</v>
      </c>
      <c r="K3" s="86"/>
      <c r="L3" s="86"/>
      <c r="M3" s="86"/>
      <c r="N3" s="86"/>
      <c r="O3" s="86"/>
      <c r="P3" s="86"/>
      <c r="Q3" s="38"/>
      <c r="R3" s="87" t="s">
        <v>1</v>
      </c>
      <c r="S3" s="87"/>
      <c r="T3" s="87"/>
      <c r="U3" s="87"/>
      <c r="V3" s="87"/>
      <c r="W3" s="87"/>
      <c r="X3" s="87"/>
      <c r="Y3" s="5"/>
      <c r="Z3" s="86" t="s">
        <v>2</v>
      </c>
      <c r="AA3" s="86"/>
      <c r="AB3" s="86"/>
      <c r="AC3" s="86"/>
      <c r="AD3" s="86"/>
      <c r="AE3" s="86"/>
      <c r="AF3" s="6"/>
      <c r="AG3" s="5"/>
      <c r="AH3" s="86" t="s">
        <v>3</v>
      </c>
      <c r="AI3" s="86"/>
      <c r="AJ3" s="86"/>
      <c r="AK3" s="86"/>
      <c r="AL3" s="86"/>
      <c r="AM3" s="86"/>
      <c r="AN3" s="6"/>
      <c r="AO3" s="5"/>
      <c r="AP3" s="87" t="s">
        <v>4</v>
      </c>
      <c r="AQ3" s="87"/>
      <c r="AR3" s="87"/>
      <c r="AS3" s="87"/>
      <c r="AT3" s="87"/>
      <c r="AU3" s="87"/>
      <c r="AV3" s="87"/>
    </row>
    <row r="4" spans="1:58" s="12" customFormat="1" ht="46" thickBot="1" x14ac:dyDescent="0.4">
      <c r="A4" s="8" t="s">
        <v>5</v>
      </c>
      <c r="B4" s="9" t="s">
        <v>6</v>
      </c>
      <c r="C4" s="9" t="s">
        <v>7</v>
      </c>
      <c r="D4" s="9" t="s">
        <v>8</v>
      </c>
      <c r="E4" s="9" t="s">
        <v>9</v>
      </c>
      <c r="F4" s="9" t="s">
        <v>10</v>
      </c>
      <c r="G4" s="9" t="s">
        <v>11</v>
      </c>
      <c r="H4" s="10" t="s">
        <v>12</v>
      </c>
      <c r="I4" s="11"/>
      <c r="J4" s="9" t="s">
        <v>6</v>
      </c>
      <c r="K4" s="9" t="s">
        <v>7</v>
      </c>
      <c r="L4" s="9" t="s">
        <v>8</v>
      </c>
      <c r="M4" s="9" t="s">
        <v>9</v>
      </c>
      <c r="N4" s="9" t="s">
        <v>10</v>
      </c>
      <c r="O4" s="9" t="s">
        <v>11</v>
      </c>
      <c r="P4" s="10" t="s">
        <v>12</v>
      </c>
      <c r="Q4" s="11"/>
      <c r="R4" s="9" t="s">
        <v>6</v>
      </c>
      <c r="S4" s="9" t="s">
        <v>7</v>
      </c>
      <c r="T4" s="9" t="s">
        <v>8</v>
      </c>
      <c r="U4" s="9" t="s">
        <v>9</v>
      </c>
      <c r="V4" s="9" t="s">
        <v>10</v>
      </c>
      <c r="W4" s="9" t="s">
        <v>11</v>
      </c>
      <c r="X4" s="10" t="s">
        <v>12</v>
      </c>
      <c r="Y4" s="11"/>
      <c r="Z4" s="9" t="s">
        <v>6</v>
      </c>
      <c r="AA4" s="9" t="s">
        <v>7</v>
      </c>
      <c r="AB4" s="9" t="s">
        <v>8</v>
      </c>
      <c r="AC4" s="9" t="s">
        <v>9</v>
      </c>
      <c r="AD4" s="9" t="s">
        <v>10</v>
      </c>
      <c r="AE4" s="9" t="s">
        <v>11</v>
      </c>
      <c r="AF4" s="10" t="s">
        <v>12</v>
      </c>
      <c r="AG4" s="11"/>
      <c r="AH4" s="9" t="s">
        <v>6</v>
      </c>
      <c r="AI4" s="9" t="s">
        <v>7</v>
      </c>
      <c r="AJ4" s="9" t="s">
        <v>8</v>
      </c>
      <c r="AK4" s="9" t="s">
        <v>9</v>
      </c>
      <c r="AL4" s="9" t="s">
        <v>10</v>
      </c>
      <c r="AM4" s="9" t="s">
        <v>11</v>
      </c>
      <c r="AN4" s="10" t="s">
        <v>12</v>
      </c>
      <c r="AO4" s="11"/>
      <c r="AP4" s="9" t="s">
        <v>6</v>
      </c>
      <c r="AQ4" s="9" t="s">
        <v>7</v>
      </c>
      <c r="AR4" s="9" t="s">
        <v>8</v>
      </c>
      <c r="AS4" s="9" t="s">
        <v>9</v>
      </c>
      <c r="AT4" s="9" t="s">
        <v>10</v>
      </c>
      <c r="AU4" s="9" t="s">
        <v>11</v>
      </c>
      <c r="AV4" s="10" t="s">
        <v>12</v>
      </c>
    </row>
    <row r="5" spans="1:58" s="7" customFormat="1" ht="15" customHeight="1" x14ac:dyDescent="0.35">
      <c r="A5" s="13" t="s">
        <v>13</v>
      </c>
      <c r="B5" s="14">
        <f>B6+B46</f>
        <v>68</v>
      </c>
      <c r="C5" s="14">
        <f t="shared" ref="C5:G5" si="0">C6+C46</f>
        <v>271</v>
      </c>
      <c r="D5" s="14">
        <f t="shared" si="0"/>
        <v>85</v>
      </c>
      <c r="E5" s="14">
        <f t="shared" si="0"/>
        <v>51</v>
      </c>
      <c r="F5" s="14">
        <f t="shared" si="0"/>
        <v>1</v>
      </c>
      <c r="G5" s="14">
        <f t="shared" si="0"/>
        <v>0</v>
      </c>
      <c r="H5" s="15">
        <v>32.664194915254242</v>
      </c>
      <c r="I5" s="14"/>
      <c r="J5" s="14">
        <f t="shared" ref="J5" si="1">J6+J46</f>
        <v>259</v>
      </c>
      <c r="K5" s="14">
        <f t="shared" ref="K5" si="2">K6+K46</f>
        <v>467</v>
      </c>
      <c r="L5" s="14">
        <f t="shared" ref="L5" si="3">L6+L46</f>
        <v>192</v>
      </c>
      <c r="M5" s="14">
        <f t="shared" ref="M5" si="4">M6+M46</f>
        <v>73</v>
      </c>
      <c r="N5" s="14">
        <f t="shared" ref="N5" si="5">N6+N46</f>
        <v>7</v>
      </c>
      <c r="O5" s="14">
        <f t="shared" ref="O5" si="6">O6+O46</f>
        <v>10</v>
      </c>
      <c r="P5" s="16">
        <v>31.118236472945895</v>
      </c>
      <c r="Q5" s="14"/>
      <c r="R5" s="14">
        <f>J5+B5</f>
        <v>327</v>
      </c>
      <c r="S5" s="14">
        <f t="shared" ref="S5:W5" si="7">K5+C5</f>
        <v>738</v>
      </c>
      <c r="T5" s="14">
        <f t="shared" si="7"/>
        <v>277</v>
      </c>
      <c r="U5" s="14">
        <f t="shared" si="7"/>
        <v>124</v>
      </c>
      <c r="V5" s="14">
        <f t="shared" si="7"/>
        <v>8</v>
      </c>
      <c r="W5" s="14">
        <f t="shared" si="7"/>
        <v>10</v>
      </c>
      <c r="X5" s="16">
        <v>31.614625850340136</v>
      </c>
      <c r="Y5" s="14"/>
      <c r="Z5" s="14">
        <f t="shared" ref="Z5" si="8">Z6+Z46</f>
        <v>11</v>
      </c>
      <c r="AA5" s="14">
        <f t="shared" ref="AA5" si="9">AA6+AA46</f>
        <v>31</v>
      </c>
      <c r="AB5" s="14">
        <f t="shared" ref="AB5" si="10">AB6+AB46</f>
        <v>14</v>
      </c>
      <c r="AC5" s="14">
        <f t="shared" ref="AC5" si="11">AC6+AC46</f>
        <v>3</v>
      </c>
      <c r="AD5" s="14">
        <f t="shared" ref="AD5" si="12">AD6+AD46</f>
        <v>2</v>
      </c>
      <c r="AE5" s="14">
        <f t="shared" ref="AE5" si="13">AE6+AE46</f>
        <v>0</v>
      </c>
      <c r="AF5" s="15">
        <v>32.614754098360656</v>
      </c>
      <c r="AG5" s="14"/>
      <c r="AH5" s="14">
        <f t="shared" ref="AH5" si="14">AH6+AH46</f>
        <v>116</v>
      </c>
      <c r="AI5" s="14">
        <f t="shared" ref="AI5" si="15">AI6+AI46</f>
        <v>214</v>
      </c>
      <c r="AJ5" s="14">
        <f t="shared" ref="AJ5" si="16">AJ6+AJ46</f>
        <v>147</v>
      </c>
      <c r="AK5" s="14">
        <f t="shared" ref="AK5" si="17">AK6+AK46</f>
        <v>163</v>
      </c>
      <c r="AL5" s="14">
        <f t="shared" ref="AL5" si="18">AL6+AL46</f>
        <v>65</v>
      </c>
      <c r="AM5" s="14">
        <f t="shared" ref="AM5" si="19">AM6+AM46</f>
        <v>14</v>
      </c>
      <c r="AN5" s="15">
        <v>38.130834512022631</v>
      </c>
      <c r="AO5" s="14"/>
      <c r="AP5" s="14">
        <f>R5+Z5+AH5</f>
        <v>454</v>
      </c>
      <c r="AQ5" s="14">
        <f t="shared" ref="AQ5:AU5" si="20">S5+AA5+AI5</f>
        <v>983</v>
      </c>
      <c r="AR5" s="14">
        <f t="shared" si="20"/>
        <v>438</v>
      </c>
      <c r="AS5" s="14">
        <f t="shared" si="20"/>
        <v>290</v>
      </c>
      <c r="AT5" s="14">
        <f t="shared" si="20"/>
        <v>75</v>
      </c>
      <c r="AU5" s="14">
        <f t="shared" si="20"/>
        <v>24</v>
      </c>
      <c r="AV5" s="16">
        <v>33.700402144772113</v>
      </c>
      <c r="AW5" s="17"/>
      <c r="AX5" s="54">
        <f>SUM(AP5:AU5)</f>
        <v>2264</v>
      </c>
      <c r="AY5" s="54">
        <v>2262</v>
      </c>
      <c r="AZ5" s="18">
        <f>AX5-AY5</f>
        <v>2</v>
      </c>
      <c r="BA5" s="17"/>
      <c r="BB5" s="17"/>
      <c r="BC5" s="17"/>
      <c r="BD5" s="17"/>
      <c r="BE5" s="17"/>
      <c r="BF5" s="19"/>
    </row>
    <row r="6" spans="1:58" s="7" customFormat="1" ht="15" customHeight="1" x14ac:dyDescent="0.35">
      <c r="A6" s="20" t="s">
        <v>14</v>
      </c>
      <c r="B6" s="21">
        <f t="shared" ref="B6:G6" si="21">SUM(B7:B45)</f>
        <v>35</v>
      </c>
      <c r="C6" s="21">
        <f t="shared" si="21"/>
        <v>170</v>
      </c>
      <c r="D6" s="21">
        <f t="shared" si="21"/>
        <v>65</v>
      </c>
      <c r="E6" s="21">
        <f t="shared" si="21"/>
        <v>46</v>
      </c>
      <c r="F6" s="21">
        <f t="shared" si="21"/>
        <v>1</v>
      </c>
      <c r="G6" s="21">
        <f t="shared" si="21"/>
        <v>0</v>
      </c>
      <c r="H6" s="15">
        <v>34.073482428115007</v>
      </c>
      <c r="I6" s="21"/>
      <c r="J6" s="21">
        <f t="shared" ref="J6:O6" si="22">SUM(J7:J45)</f>
        <v>256</v>
      </c>
      <c r="K6" s="21">
        <f t="shared" si="22"/>
        <v>456</v>
      </c>
      <c r="L6" s="21">
        <f t="shared" si="22"/>
        <v>190</v>
      </c>
      <c r="M6" s="21">
        <f t="shared" si="22"/>
        <v>73</v>
      </c>
      <c r="N6" s="21">
        <f t="shared" si="22"/>
        <v>7</v>
      </c>
      <c r="O6" s="21">
        <f t="shared" si="22"/>
        <v>10</v>
      </c>
      <c r="P6" s="16">
        <v>31.145621181262726</v>
      </c>
      <c r="Q6" s="21"/>
      <c r="R6" s="21">
        <f t="shared" ref="R6:W6" si="23">SUM(R7:R45)</f>
        <v>291</v>
      </c>
      <c r="S6" s="21">
        <f t="shared" si="23"/>
        <v>626</v>
      </c>
      <c r="T6" s="21">
        <f t="shared" si="23"/>
        <v>255</v>
      </c>
      <c r="U6" s="21">
        <f t="shared" si="23"/>
        <v>119</v>
      </c>
      <c r="V6" s="21">
        <f t="shared" si="23"/>
        <v>8</v>
      </c>
      <c r="W6" s="21">
        <f t="shared" si="23"/>
        <v>10</v>
      </c>
      <c r="X6" s="16">
        <v>31.853281853281853</v>
      </c>
      <c r="Y6" s="21"/>
      <c r="Z6" s="21">
        <f t="shared" ref="Z6:AE6" si="24">SUM(Z7:Z45)</f>
        <v>8</v>
      </c>
      <c r="AA6" s="21">
        <f t="shared" si="24"/>
        <v>15</v>
      </c>
      <c r="AB6" s="21">
        <f t="shared" si="24"/>
        <v>10</v>
      </c>
      <c r="AC6" s="21">
        <f t="shared" si="24"/>
        <v>2</v>
      </c>
      <c r="AD6" s="21">
        <f t="shared" si="24"/>
        <v>1</v>
      </c>
      <c r="AE6" s="21">
        <f t="shared" si="24"/>
        <v>0</v>
      </c>
      <c r="AF6" s="15">
        <v>32.680555555555557</v>
      </c>
      <c r="AG6" s="21"/>
      <c r="AH6" s="21">
        <f t="shared" ref="AH6:AM6" si="25">SUM(AH7:AH45)</f>
        <v>81</v>
      </c>
      <c r="AI6" s="21">
        <f t="shared" si="25"/>
        <v>142</v>
      </c>
      <c r="AJ6" s="21">
        <f t="shared" si="25"/>
        <v>103</v>
      </c>
      <c r="AK6" s="21">
        <f t="shared" si="25"/>
        <v>130</v>
      </c>
      <c r="AL6" s="21">
        <f t="shared" si="25"/>
        <v>50</v>
      </c>
      <c r="AM6" s="21">
        <f t="shared" si="25"/>
        <v>14</v>
      </c>
      <c r="AN6" s="15">
        <v>38.863188976377948</v>
      </c>
      <c r="AO6" s="21"/>
      <c r="AP6" s="21">
        <f>SUM(AP7:AP45)</f>
        <v>380</v>
      </c>
      <c r="AQ6" s="21">
        <f t="shared" ref="AQ6:AU6" si="26">SUM(AQ7:AQ45)</f>
        <v>783</v>
      </c>
      <c r="AR6" s="21">
        <f t="shared" si="26"/>
        <v>368</v>
      </c>
      <c r="AS6" s="21">
        <f t="shared" si="26"/>
        <v>251</v>
      </c>
      <c r="AT6" s="21">
        <f t="shared" si="26"/>
        <v>59</v>
      </c>
      <c r="AU6" s="21">
        <f t="shared" si="26"/>
        <v>24</v>
      </c>
      <c r="AV6" s="16">
        <v>33.80587275693312</v>
      </c>
      <c r="AW6" s="17"/>
      <c r="AX6" s="54">
        <f t="shared" ref="AX6:AX53" si="27">SUM(AP6:AU6)</f>
        <v>1865</v>
      </c>
      <c r="AY6" s="54">
        <v>1865</v>
      </c>
      <c r="AZ6" s="18">
        <f t="shared" ref="AZ6:AZ53" si="28">AX6-AY6</f>
        <v>0</v>
      </c>
      <c r="BA6" s="17"/>
      <c r="BB6" s="17"/>
      <c r="BC6" s="17"/>
      <c r="BD6" s="17"/>
      <c r="BE6" s="17"/>
    </row>
    <row r="7" spans="1:58" s="7" customFormat="1" ht="15" customHeight="1" thickBot="1" x14ac:dyDescent="0.4">
      <c r="A7" s="2" t="s">
        <v>15</v>
      </c>
      <c r="B7" s="22">
        <v>0</v>
      </c>
      <c r="C7" s="22">
        <v>0</v>
      </c>
      <c r="D7" s="22">
        <v>0</v>
      </c>
      <c r="E7" s="22">
        <v>0</v>
      </c>
      <c r="F7" s="22">
        <v>0</v>
      </c>
      <c r="G7" s="22">
        <v>0</v>
      </c>
      <c r="H7" s="23" t="s">
        <v>71</v>
      </c>
      <c r="I7" s="22"/>
      <c r="J7" s="22">
        <v>0</v>
      </c>
      <c r="K7" s="22">
        <v>0</v>
      </c>
      <c r="L7" s="22">
        <v>0</v>
      </c>
      <c r="M7" s="22">
        <v>0</v>
      </c>
      <c r="N7" s="22">
        <v>0</v>
      </c>
      <c r="O7" s="22">
        <v>0</v>
      </c>
      <c r="P7" s="15" t="s">
        <v>71</v>
      </c>
      <c r="Q7" s="22"/>
      <c r="R7" s="29">
        <f t="shared" ref="R7:R45" si="29">B7+J7</f>
        <v>0</v>
      </c>
      <c r="S7" s="29">
        <f t="shared" ref="S7:S45" si="30">C7+K7</f>
        <v>0</v>
      </c>
      <c r="T7" s="29">
        <f t="shared" ref="T7:T45" si="31">D7+L7</f>
        <v>0</v>
      </c>
      <c r="U7" s="29">
        <f t="shared" ref="U7:U45" si="32">E7+M7</f>
        <v>0</v>
      </c>
      <c r="V7" s="29">
        <f t="shared" ref="V7:V45" si="33">F7+N7</f>
        <v>0</v>
      </c>
      <c r="W7" s="29">
        <f t="shared" ref="W7:W45" si="34">G7+O7</f>
        <v>0</v>
      </c>
      <c r="X7" s="15" t="s">
        <v>71</v>
      </c>
      <c r="Y7" s="22"/>
      <c r="Z7" s="22">
        <v>0</v>
      </c>
      <c r="AA7" s="22">
        <v>0</v>
      </c>
      <c r="AB7" s="22">
        <v>0</v>
      </c>
      <c r="AC7" s="22">
        <v>0</v>
      </c>
      <c r="AD7" s="22">
        <v>0</v>
      </c>
      <c r="AE7" s="22">
        <v>0</v>
      </c>
      <c r="AF7" s="23" t="s">
        <v>71</v>
      </c>
      <c r="AG7" s="22"/>
      <c r="AH7" s="22">
        <v>0</v>
      </c>
      <c r="AI7" s="22">
        <v>0</v>
      </c>
      <c r="AJ7" s="22">
        <v>0</v>
      </c>
      <c r="AK7" s="22">
        <v>0</v>
      </c>
      <c r="AL7" s="22">
        <v>0</v>
      </c>
      <c r="AM7" s="22">
        <v>0</v>
      </c>
      <c r="AN7" s="23" t="s">
        <v>71</v>
      </c>
      <c r="AO7" s="22"/>
      <c r="AP7" s="21">
        <f t="shared" ref="AP7:AP27" si="35">AH7+Z7+R7</f>
        <v>0</v>
      </c>
      <c r="AQ7" s="21">
        <f t="shared" ref="AQ7:AQ28" si="36">AI7+AA7+S7</f>
        <v>0</v>
      </c>
      <c r="AR7" s="21">
        <f t="shared" ref="AR7:AR28" si="37">AJ7+AB7+T7</f>
        <v>0</v>
      </c>
      <c r="AS7" s="21">
        <f t="shared" ref="AS7:AS28" si="38">AK7+AC7+U7</f>
        <v>0</v>
      </c>
      <c r="AT7" s="21">
        <f t="shared" ref="AT7:AT28" si="39">AL7+AD7+V7</f>
        <v>0</v>
      </c>
      <c r="AU7" s="21">
        <f t="shared" ref="AU7:AU28" si="40">AM7+AE7+W7</f>
        <v>0</v>
      </c>
      <c r="AV7" s="15" t="s">
        <v>71</v>
      </c>
      <c r="AW7" s="17"/>
      <c r="AX7" s="54">
        <f t="shared" si="27"/>
        <v>0</v>
      </c>
      <c r="AY7" s="54">
        <v>0</v>
      </c>
      <c r="AZ7" s="18">
        <f t="shared" si="28"/>
        <v>0</v>
      </c>
      <c r="BA7" s="17"/>
      <c r="BB7" s="17"/>
      <c r="BC7" s="17"/>
      <c r="BD7" s="17"/>
      <c r="BE7" s="17"/>
    </row>
    <row r="8" spans="1:58" s="7" customFormat="1" ht="15" customHeight="1" thickBot="1" x14ac:dyDescent="0.4">
      <c r="A8" s="2" t="s">
        <v>16</v>
      </c>
      <c r="B8" s="22">
        <v>3</v>
      </c>
      <c r="C8" s="22">
        <v>15</v>
      </c>
      <c r="D8" s="22">
        <v>5</v>
      </c>
      <c r="E8" s="22">
        <v>0</v>
      </c>
      <c r="F8" s="22">
        <v>0</v>
      </c>
      <c r="G8" s="22">
        <v>0</v>
      </c>
      <c r="H8" s="23">
        <v>30.978260869565219</v>
      </c>
      <c r="I8" s="22"/>
      <c r="J8" s="22">
        <v>5</v>
      </c>
      <c r="K8" s="22">
        <v>8</v>
      </c>
      <c r="L8" s="22">
        <v>5</v>
      </c>
      <c r="M8" s="22">
        <v>3</v>
      </c>
      <c r="N8" s="22">
        <v>1</v>
      </c>
      <c r="O8" s="22">
        <v>0</v>
      </c>
      <c r="P8" s="15">
        <v>34.295454545454547</v>
      </c>
      <c r="Q8" s="22"/>
      <c r="R8" s="29">
        <f t="shared" si="29"/>
        <v>8</v>
      </c>
      <c r="S8" s="29">
        <f t="shared" si="30"/>
        <v>23</v>
      </c>
      <c r="T8" s="29">
        <f t="shared" si="31"/>
        <v>10</v>
      </c>
      <c r="U8" s="29">
        <f t="shared" si="32"/>
        <v>3</v>
      </c>
      <c r="V8" s="29">
        <f t="shared" si="33"/>
        <v>1</v>
      </c>
      <c r="W8" s="29">
        <f t="shared" si="34"/>
        <v>0</v>
      </c>
      <c r="X8" s="15">
        <v>32.6</v>
      </c>
      <c r="Y8" s="22"/>
      <c r="Z8" s="22">
        <v>0</v>
      </c>
      <c r="AA8" s="22">
        <v>0</v>
      </c>
      <c r="AB8" s="22">
        <v>0</v>
      </c>
      <c r="AC8" s="22">
        <v>0</v>
      </c>
      <c r="AD8" s="22">
        <v>0</v>
      </c>
      <c r="AE8" s="22">
        <v>0</v>
      </c>
      <c r="AF8" s="23" t="s">
        <v>71</v>
      </c>
      <c r="AG8" s="22"/>
      <c r="AH8" s="22">
        <v>1</v>
      </c>
      <c r="AI8" s="22">
        <v>2</v>
      </c>
      <c r="AJ8" s="22">
        <v>2</v>
      </c>
      <c r="AK8" s="22">
        <v>3</v>
      </c>
      <c r="AL8" s="22">
        <v>4</v>
      </c>
      <c r="AM8" s="22">
        <v>0</v>
      </c>
      <c r="AN8" s="23">
        <v>46.208333333333329</v>
      </c>
      <c r="AO8" s="22"/>
      <c r="AP8" s="21">
        <f t="shared" si="35"/>
        <v>9</v>
      </c>
      <c r="AQ8" s="21">
        <f t="shared" si="36"/>
        <v>25</v>
      </c>
      <c r="AR8" s="21">
        <f t="shared" si="37"/>
        <v>12</v>
      </c>
      <c r="AS8" s="21">
        <f t="shared" si="38"/>
        <v>6</v>
      </c>
      <c r="AT8" s="21">
        <f t="shared" si="39"/>
        <v>5</v>
      </c>
      <c r="AU8" s="21">
        <f t="shared" si="40"/>
        <v>0</v>
      </c>
      <c r="AV8" s="15">
        <v>35.464912280701753</v>
      </c>
      <c r="AW8" s="17"/>
      <c r="AX8" s="54">
        <f t="shared" si="27"/>
        <v>57</v>
      </c>
      <c r="AY8" s="54">
        <v>57</v>
      </c>
      <c r="AZ8" s="18">
        <f t="shared" si="28"/>
        <v>0</v>
      </c>
      <c r="BA8" s="17"/>
      <c r="BB8" s="17"/>
      <c r="BC8" s="17"/>
      <c r="BD8" s="17"/>
      <c r="BE8" s="17"/>
    </row>
    <row r="9" spans="1:58" s="7" customFormat="1" ht="15" customHeight="1" thickBot="1" x14ac:dyDescent="0.4">
      <c r="A9" s="2" t="s">
        <v>17</v>
      </c>
      <c r="B9" s="22">
        <v>0</v>
      </c>
      <c r="C9" s="22">
        <v>6</v>
      </c>
      <c r="D9" s="22">
        <v>1</v>
      </c>
      <c r="E9" s="22">
        <v>0</v>
      </c>
      <c r="F9" s="22">
        <v>0</v>
      </c>
      <c r="G9" s="22">
        <v>0</v>
      </c>
      <c r="H9" s="23">
        <v>31.499999999999996</v>
      </c>
      <c r="I9" s="22"/>
      <c r="J9" s="22">
        <v>2</v>
      </c>
      <c r="K9" s="22">
        <v>5</v>
      </c>
      <c r="L9" s="22">
        <v>1</v>
      </c>
      <c r="M9" s="22">
        <v>0</v>
      </c>
      <c r="N9" s="22">
        <v>0</v>
      </c>
      <c r="O9" s="22">
        <v>0</v>
      </c>
      <c r="P9" s="15">
        <v>28.8125</v>
      </c>
      <c r="Q9" s="22"/>
      <c r="R9" s="29">
        <f t="shared" si="29"/>
        <v>2</v>
      </c>
      <c r="S9" s="29">
        <f t="shared" si="30"/>
        <v>11</v>
      </c>
      <c r="T9" s="29">
        <f t="shared" si="31"/>
        <v>2</v>
      </c>
      <c r="U9" s="29">
        <f t="shared" si="32"/>
        <v>0</v>
      </c>
      <c r="V9" s="29">
        <f t="shared" si="33"/>
        <v>0</v>
      </c>
      <c r="W9" s="29">
        <f t="shared" si="34"/>
        <v>0</v>
      </c>
      <c r="X9" s="15">
        <v>30.06666666666667</v>
      </c>
      <c r="Y9" s="22"/>
      <c r="Z9" s="22">
        <v>1</v>
      </c>
      <c r="AA9" s="22">
        <v>2</v>
      </c>
      <c r="AB9" s="22">
        <v>0</v>
      </c>
      <c r="AC9" s="22">
        <v>0</v>
      </c>
      <c r="AD9" s="22">
        <v>0</v>
      </c>
      <c r="AE9" s="22">
        <v>0</v>
      </c>
      <c r="AF9" s="23">
        <v>26.666666666666664</v>
      </c>
      <c r="AG9" s="22"/>
      <c r="AH9" s="22">
        <v>1</v>
      </c>
      <c r="AI9" s="22">
        <v>11</v>
      </c>
      <c r="AJ9" s="22">
        <v>6</v>
      </c>
      <c r="AK9" s="22">
        <v>4</v>
      </c>
      <c r="AL9" s="22">
        <v>0</v>
      </c>
      <c r="AM9" s="22">
        <v>0</v>
      </c>
      <c r="AN9" s="23">
        <v>36.136363636363633</v>
      </c>
      <c r="AO9" s="22"/>
      <c r="AP9" s="21">
        <f t="shared" si="35"/>
        <v>4</v>
      </c>
      <c r="AQ9" s="21">
        <f t="shared" si="36"/>
        <v>24</v>
      </c>
      <c r="AR9" s="21">
        <f t="shared" si="37"/>
        <v>8</v>
      </c>
      <c r="AS9" s="21">
        <f t="shared" si="38"/>
        <v>4</v>
      </c>
      <c r="AT9" s="21">
        <f t="shared" si="39"/>
        <v>0</v>
      </c>
      <c r="AU9" s="21">
        <f t="shared" si="40"/>
        <v>0</v>
      </c>
      <c r="AV9" s="15">
        <v>33.150000000000006</v>
      </c>
      <c r="AW9" s="17"/>
      <c r="AX9" s="54">
        <f t="shared" si="27"/>
        <v>40</v>
      </c>
      <c r="AY9" s="54">
        <v>40</v>
      </c>
      <c r="AZ9" s="18">
        <f t="shared" si="28"/>
        <v>0</v>
      </c>
      <c r="BA9" s="17"/>
      <c r="BB9" s="17"/>
      <c r="BC9" s="17"/>
      <c r="BD9" s="17"/>
      <c r="BE9" s="17"/>
    </row>
    <row r="10" spans="1:58" s="7" customFormat="1" ht="15" customHeight="1" thickBot="1" x14ac:dyDescent="0.4">
      <c r="A10" s="2" t="s">
        <v>18</v>
      </c>
      <c r="B10" s="22">
        <v>0</v>
      </c>
      <c r="C10" s="22">
        <v>7</v>
      </c>
      <c r="D10" s="22">
        <v>2</v>
      </c>
      <c r="E10" s="22">
        <v>1</v>
      </c>
      <c r="F10" s="22">
        <v>1</v>
      </c>
      <c r="G10" s="22">
        <v>0</v>
      </c>
      <c r="H10" s="23">
        <v>36.545454545454547</v>
      </c>
      <c r="I10" s="22"/>
      <c r="J10" s="22">
        <v>4</v>
      </c>
      <c r="K10" s="22">
        <v>11</v>
      </c>
      <c r="L10" s="22">
        <v>5</v>
      </c>
      <c r="M10" s="22">
        <v>1</v>
      </c>
      <c r="N10" s="22">
        <v>0</v>
      </c>
      <c r="O10" s="22">
        <v>0</v>
      </c>
      <c r="P10" s="15">
        <v>31.571428571428573</v>
      </c>
      <c r="Q10" s="22"/>
      <c r="R10" s="29">
        <f t="shared" si="29"/>
        <v>4</v>
      </c>
      <c r="S10" s="29">
        <f t="shared" si="30"/>
        <v>18</v>
      </c>
      <c r="T10" s="29">
        <f t="shared" si="31"/>
        <v>7</v>
      </c>
      <c r="U10" s="29">
        <f t="shared" si="32"/>
        <v>2</v>
      </c>
      <c r="V10" s="29">
        <f t="shared" si="33"/>
        <v>1</v>
      </c>
      <c r="W10" s="29">
        <f t="shared" si="34"/>
        <v>0</v>
      </c>
      <c r="X10" s="15">
        <v>33.28125</v>
      </c>
      <c r="Y10" s="22"/>
      <c r="Z10" s="22">
        <v>0</v>
      </c>
      <c r="AA10" s="22">
        <v>0</v>
      </c>
      <c r="AB10" s="22">
        <v>0</v>
      </c>
      <c r="AC10" s="22">
        <v>0</v>
      </c>
      <c r="AD10" s="22">
        <v>0</v>
      </c>
      <c r="AE10" s="22">
        <v>0</v>
      </c>
      <c r="AF10" s="23" t="s">
        <v>71</v>
      </c>
      <c r="AG10" s="22"/>
      <c r="AH10" s="22">
        <v>0</v>
      </c>
      <c r="AI10" s="22">
        <v>5</v>
      </c>
      <c r="AJ10" s="22">
        <v>2</v>
      </c>
      <c r="AK10" s="22">
        <v>2</v>
      </c>
      <c r="AL10" s="22">
        <v>0</v>
      </c>
      <c r="AM10" s="22">
        <v>0</v>
      </c>
      <c r="AN10" s="23">
        <v>36.888888888888886</v>
      </c>
      <c r="AO10" s="22"/>
      <c r="AP10" s="21">
        <f t="shared" si="35"/>
        <v>4</v>
      </c>
      <c r="AQ10" s="21">
        <f t="shared" si="36"/>
        <v>23</v>
      </c>
      <c r="AR10" s="21">
        <f t="shared" si="37"/>
        <v>9</v>
      </c>
      <c r="AS10" s="21">
        <f t="shared" si="38"/>
        <v>4</v>
      </c>
      <c r="AT10" s="21">
        <f t="shared" si="39"/>
        <v>1</v>
      </c>
      <c r="AU10" s="21">
        <f t="shared" si="40"/>
        <v>0</v>
      </c>
      <c r="AV10" s="15">
        <v>34.073170731707322</v>
      </c>
      <c r="AW10" s="17"/>
      <c r="AX10" s="54">
        <f t="shared" si="27"/>
        <v>41</v>
      </c>
      <c r="AY10" s="54">
        <v>41</v>
      </c>
      <c r="AZ10" s="18">
        <f t="shared" si="28"/>
        <v>0</v>
      </c>
      <c r="BA10" s="17"/>
      <c r="BB10" s="17"/>
      <c r="BC10" s="17"/>
      <c r="BD10" s="17"/>
      <c r="BE10" s="17"/>
    </row>
    <row r="11" spans="1:58" s="7" customFormat="1" ht="15" customHeight="1" thickBot="1" x14ac:dyDescent="0.4">
      <c r="A11" s="2" t="s">
        <v>19</v>
      </c>
      <c r="B11" s="22">
        <v>0</v>
      </c>
      <c r="C11" s="22">
        <v>0</v>
      </c>
      <c r="D11" s="22">
        <v>0</v>
      </c>
      <c r="E11" s="22">
        <v>0</v>
      </c>
      <c r="F11" s="22">
        <v>0</v>
      </c>
      <c r="G11" s="22">
        <v>0</v>
      </c>
      <c r="H11" s="23" t="s">
        <v>71</v>
      </c>
      <c r="I11" s="22"/>
      <c r="J11" s="22">
        <v>0</v>
      </c>
      <c r="K11" s="22">
        <v>0</v>
      </c>
      <c r="L11" s="22">
        <v>0</v>
      </c>
      <c r="M11" s="22">
        <v>0</v>
      </c>
      <c r="N11" s="22">
        <v>0</v>
      </c>
      <c r="O11" s="22">
        <v>0</v>
      </c>
      <c r="P11" s="15" t="s">
        <v>71</v>
      </c>
      <c r="Q11" s="22"/>
      <c r="R11" s="29">
        <f t="shared" si="29"/>
        <v>0</v>
      </c>
      <c r="S11" s="29">
        <f t="shared" si="30"/>
        <v>0</v>
      </c>
      <c r="T11" s="29">
        <f t="shared" si="31"/>
        <v>0</v>
      </c>
      <c r="U11" s="29">
        <f t="shared" si="32"/>
        <v>0</v>
      </c>
      <c r="V11" s="29">
        <f t="shared" si="33"/>
        <v>0</v>
      </c>
      <c r="W11" s="29">
        <f t="shared" si="34"/>
        <v>0</v>
      </c>
      <c r="X11" s="15" t="s">
        <v>71</v>
      </c>
      <c r="Y11" s="22"/>
      <c r="Z11" s="22">
        <v>0</v>
      </c>
      <c r="AA11" s="22">
        <v>0</v>
      </c>
      <c r="AB11" s="22">
        <v>0</v>
      </c>
      <c r="AC11" s="22">
        <v>0</v>
      </c>
      <c r="AD11" s="22">
        <v>0</v>
      </c>
      <c r="AE11" s="22">
        <v>0</v>
      </c>
      <c r="AF11" s="23" t="s">
        <v>71</v>
      </c>
      <c r="AG11" s="22"/>
      <c r="AH11" s="22">
        <v>0</v>
      </c>
      <c r="AI11" s="22">
        <v>0</v>
      </c>
      <c r="AJ11" s="22">
        <v>0</v>
      </c>
      <c r="AK11" s="22">
        <v>0</v>
      </c>
      <c r="AL11" s="22">
        <v>0</v>
      </c>
      <c r="AM11" s="22">
        <v>0</v>
      </c>
      <c r="AN11" s="23" t="s">
        <v>71</v>
      </c>
      <c r="AO11" s="22"/>
      <c r="AP11" s="21">
        <f t="shared" si="35"/>
        <v>0</v>
      </c>
      <c r="AQ11" s="21">
        <f t="shared" si="36"/>
        <v>0</v>
      </c>
      <c r="AR11" s="21">
        <f t="shared" si="37"/>
        <v>0</v>
      </c>
      <c r="AS11" s="21">
        <f t="shared" si="38"/>
        <v>0</v>
      </c>
      <c r="AT11" s="21">
        <f t="shared" si="39"/>
        <v>0</v>
      </c>
      <c r="AU11" s="21">
        <f t="shared" si="40"/>
        <v>0</v>
      </c>
      <c r="AV11" s="15" t="s">
        <v>71</v>
      </c>
      <c r="AW11" s="17"/>
      <c r="AX11" s="54">
        <f t="shared" si="27"/>
        <v>0</v>
      </c>
      <c r="AY11" s="54">
        <v>0</v>
      </c>
      <c r="AZ11" s="18">
        <f t="shared" si="28"/>
        <v>0</v>
      </c>
      <c r="BA11" s="17"/>
      <c r="BB11" s="17"/>
      <c r="BC11" s="17"/>
      <c r="BD11" s="17"/>
      <c r="BE11" s="17"/>
    </row>
    <row r="12" spans="1:58" s="7" customFormat="1" ht="15" customHeight="1" thickBot="1" x14ac:dyDescent="0.4">
      <c r="A12" s="2" t="s">
        <v>20</v>
      </c>
      <c r="B12" s="22">
        <v>7</v>
      </c>
      <c r="C12" s="22">
        <v>20</v>
      </c>
      <c r="D12" s="22">
        <v>2</v>
      </c>
      <c r="E12" s="22">
        <v>1</v>
      </c>
      <c r="F12" s="22">
        <v>0</v>
      </c>
      <c r="G12" s="22">
        <v>0</v>
      </c>
      <c r="H12" s="23">
        <v>29.05</v>
      </c>
      <c r="I12" s="22"/>
      <c r="J12" s="22">
        <v>9</v>
      </c>
      <c r="K12" s="22">
        <v>29</v>
      </c>
      <c r="L12" s="22">
        <v>19</v>
      </c>
      <c r="M12" s="22">
        <v>3</v>
      </c>
      <c r="N12" s="22">
        <v>0</v>
      </c>
      <c r="O12" s="22">
        <v>0</v>
      </c>
      <c r="P12" s="15">
        <v>32.85</v>
      </c>
      <c r="Q12" s="22"/>
      <c r="R12" s="29">
        <f t="shared" si="29"/>
        <v>16</v>
      </c>
      <c r="S12" s="29">
        <f t="shared" si="30"/>
        <v>49</v>
      </c>
      <c r="T12" s="29">
        <f t="shared" si="31"/>
        <v>21</v>
      </c>
      <c r="U12" s="29">
        <f t="shared" si="32"/>
        <v>4</v>
      </c>
      <c r="V12" s="29">
        <f t="shared" si="33"/>
        <v>0</v>
      </c>
      <c r="W12" s="29">
        <f t="shared" si="34"/>
        <v>0</v>
      </c>
      <c r="X12" s="15">
        <v>31.583333333333332</v>
      </c>
      <c r="Y12" s="22"/>
      <c r="Z12" s="22">
        <v>0</v>
      </c>
      <c r="AA12" s="22">
        <v>0</v>
      </c>
      <c r="AB12" s="22">
        <v>0</v>
      </c>
      <c r="AC12" s="22">
        <v>0</v>
      </c>
      <c r="AD12" s="22">
        <v>0</v>
      </c>
      <c r="AE12" s="22">
        <v>0</v>
      </c>
      <c r="AF12" s="23" t="s">
        <v>71</v>
      </c>
      <c r="AG12" s="22"/>
      <c r="AH12" s="22">
        <v>18</v>
      </c>
      <c r="AI12" s="22">
        <v>13</v>
      </c>
      <c r="AJ12" s="22">
        <v>7</v>
      </c>
      <c r="AK12" s="22">
        <v>10</v>
      </c>
      <c r="AL12" s="22">
        <v>5</v>
      </c>
      <c r="AM12" s="22">
        <v>0</v>
      </c>
      <c r="AN12" s="23">
        <v>34.735849056603776</v>
      </c>
      <c r="AO12" s="22"/>
      <c r="AP12" s="21">
        <f t="shared" si="35"/>
        <v>34</v>
      </c>
      <c r="AQ12" s="21">
        <f t="shared" si="36"/>
        <v>62</v>
      </c>
      <c r="AR12" s="21">
        <f t="shared" si="37"/>
        <v>28</v>
      </c>
      <c r="AS12" s="21">
        <f t="shared" si="38"/>
        <v>14</v>
      </c>
      <c r="AT12" s="21">
        <f t="shared" si="39"/>
        <v>5</v>
      </c>
      <c r="AU12" s="21">
        <f t="shared" si="40"/>
        <v>0</v>
      </c>
      <c r="AV12" s="15">
        <v>32.751748251748246</v>
      </c>
      <c r="AW12" s="17"/>
      <c r="AX12" s="54">
        <f t="shared" si="27"/>
        <v>143</v>
      </c>
      <c r="AY12" s="54">
        <v>143</v>
      </c>
      <c r="AZ12" s="18">
        <f t="shared" si="28"/>
        <v>0</v>
      </c>
      <c r="BA12" s="17"/>
      <c r="BB12" s="17"/>
      <c r="BC12" s="17"/>
      <c r="BD12" s="17"/>
      <c r="BE12" s="17"/>
    </row>
    <row r="13" spans="1:58" s="7" customFormat="1" ht="15" customHeight="1" thickBot="1" x14ac:dyDescent="0.4">
      <c r="A13" s="2" t="s">
        <v>21</v>
      </c>
      <c r="B13" s="22">
        <v>0</v>
      </c>
      <c r="C13" s="22">
        <v>0</v>
      </c>
      <c r="D13" s="22">
        <v>0</v>
      </c>
      <c r="E13" s="22">
        <v>0</v>
      </c>
      <c r="F13" s="22">
        <v>0</v>
      </c>
      <c r="G13" s="22">
        <v>0</v>
      </c>
      <c r="H13" s="23" t="s">
        <v>71</v>
      </c>
      <c r="I13" s="22"/>
      <c r="J13" s="22">
        <v>0</v>
      </c>
      <c r="K13" s="22">
        <v>0</v>
      </c>
      <c r="L13" s="22">
        <v>0</v>
      </c>
      <c r="M13" s="22">
        <v>0</v>
      </c>
      <c r="N13" s="22">
        <v>0</v>
      </c>
      <c r="O13" s="22">
        <v>0</v>
      </c>
      <c r="P13" s="15" t="s">
        <v>71</v>
      </c>
      <c r="Q13" s="22"/>
      <c r="R13" s="29">
        <f t="shared" si="29"/>
        <v>0</v>
      </c>
      <c r="S13" s="29">
        <f t="shared" si="30"/>
        <v>0</v>
      </c>
      <c r="T13" s="29">
        <f t="shared" si="31"/>
        <v>0</v>
      </c>
      <c r="U13" s="29">
        <f t="shared" si="32"/>
        <v>0</v>
      </c>
      <c r="V13" s="29">
        <f t="shared" si="33"/>
        <v>0</v>
      </c>
      <c r="W13" s="29">
        <f t="shared" si="34"/>
        <v>0</v>
      </c>
      <c r="X13" s="15" t="s">
        <v>71</v>
      </c>
      <c r="Y13" s="22"/>
      <c r="Z13" s="22">
        <v>0</v>
      </c>
      <c r="AA13" s="22">
        <v>0</v>
      </c>
      <c r="AB13" s="22">
        <v>0</v>
      </c>
      <c r="AC13" s="22">
        <v>0</v>
      </c>
      <c r="AD13" s="22">
        <v>0</v>
      </c>
      <c r="AE13" s="22">
        <v>0</v>
      </c>
      <c r="AF13" s="23" t="s">
        <v>71</v>
      </c>
      <c r="AG13" s="22"/>
      <c r="AH13" s="22">
        <v>0</v>
      </c>
      <c r="AI13" s="22">
        <v>0</v>
      </c>
      <c r="AJ13" s="22">
        <v>0</v>
      </c>
      <c r="AK13" s="22">
        <v>0</v>
      </c>
      <c r="AL13" s="22">
        <v>0</v>
      </c>
      <c r="AM13" s="22">
        <v>0</v>
      </c>
      <c r="AN13" s="23" t="s">
        <v>71</v>
      </c>
      <c r="AO13" s="22"/>
      <c r="AP13" s="21">
        <f t="shared" si="35"/>
        <v>0</v>
      </c>
      <c r="AQ13" s="21">
        <f t="shared" si="36"/>
        <v>0</v>
      </c>
      <c r="AR13" s="21">
        <f t="shared" si="37"/>
        <v>0</v>
      </c>
      <c r="AS13" s="21">
        <f t="shared" si="38"/>
        <v>0</v>
      </c>
      <c r="AT13" s="21">
        <f t="shared" si="39"/>
        <v>0</v>
      </c>
      <c r="AU13" s="21">
        <f t="shared" si="40"/>
        <v>0</v>
      </c>
      <c r="AV13" s="15" t="s">
        <v>71</v>
      </c>
      <c r="AW13" s="17"/>
      <c r="AX13" s="54">
        <f t="shared" si="27"/>
        <v>0</v>
      </c>
      <c r="AY13" s="54">
        <v>0</v>
      </c>
      <c r="AZ13" s="18">
        <f t="shared" si="28"/>
        <v>0</v>
      </c>
      <c r="BA13" s="17"/>
      <c r="BB13" s="17"/>
      <c r="BC13" s="17"/>
      <c r="BD13" s="17"/>
      <c r="BE13" s="17"/>
    </row>
    <row r="14" spans="1:58" s="7" customFormat="1" ht="15" customHeight="1" thickBot="1" x14ac:dyDescent="0.4">
      <c r="A14" s="2" t="s">
        <v>22</v>
      </c>
      <c r="B14" s="22">
        <v>0</v>
      </c>
      <c r="C14" s="22">
        <v>0</v>
      </c>
      <c r="D14" s="22">
        <v>0</v>
      </c>
      <c r="E14" s="22">
        <v>0</v>
      </c>
      <c r="F14" s="22">
        <v>0</v>
      </c>
      <c r="G14" s="22">
        <v>0</v>
      </c>
      <c r="H14" s="23" t="s">
        <v>71</v>
      </c>
      <c r="I14" s="22"/>
      <c r="J14" s="22">
        <v>5</v>
      </c>
      <c r="K14" s="22">
        <v>19</v>
      </c>
      <c r="L14" s="22">
        <v>3</v>
      </c>
      <c r="M14" s="22">
        <v>0</v>
      </c>
      <c r="N14" s="22">
        <v>0</v>
      </c>
      <c r="O14" s="22">
        <v>0</v>
      </c>
      <c r="P14" s="15">
        <v>29.314814814814813</v>
      </c>
      <c r="Q14" s="22"/>
      <c r="R14" s="29">
        <f t="shared" si="29"/>
        <v>5</v>
      </c>
      <c r="S14" s="29">
        <f t="shared" si="30"/>
        <v>19</v>
      </c>
      <c r="T14" s="29">
        <f t="shared" si="31"/>
        <v>3</v>
      </c>
      <c r="U14" s="29">
        <f t="shared" si="32"/>
        <v>0</v>
      </c>
      <c r="V14" s="29">
        <f t="shared" si="33"/>
        <v>0</v>
      </c>
      <c r="W14" s="29">
        <f t="shared" si="34"/>
        <v>0</v>
      </c>
      <c r="X14" s="15">
        <v>29.314814814814813</v>
      </c>
      <c r="Y14" s="22"/>
      <c r="Z14" s="22">
        <v>1</v>
      </c>
      <c r="AA14" s="22">
        <v>1</v>
      </c>
      <c r="AB14" s="22">
        <v>0</v>
      </c>
      <c r="AC14" s="22">
        <v>0</v>
      </c>
      <c r="AD14" s="22">
        <v>0</v>
      </c>
      <c r="AE14" s="22">
        <v>0</v>
      </c>
      <c r="AF14" s="23">
        <v>25</v>
      </c>
      <c r="AG14" s="22"/>
      <c r="AH14" s="22">
        <v>1</v>
      </c>
      <c r="AI14" s="22">
        <v>2</v>
      </c>
      <c r="AJ14" s="22">
        <v>2</v>
      </c>
      <c r="AK14" s="22">
        <v>0</v>
      </c>
      <c r="AL14" s="22">
        <v>0</v>
      </c>
      <c r="AM14" s="22">
        <v>0</v>
      </c>
      <c r="AN14" s="23">
        <v>32.200000000000003</v>
      </c>
      <c r="AO14" s="22"/>
      <c r="AP14" s="21">
        <f t="shared" si="35"/>
        <v>7</v>
      </c>
      <c r="AQ14" s="21">
        <f t="shared" si="36"/>
        <v>22</v>
      </c>
      <c r="AR14" s="21">
        <f t="shared" si="37"/>
        <v>5</v>
      </c>
      <c r="AS14" s="21">
        <f t="shared" si="38"/>
        <v>0</v>
      </c>
      <c r="AT14" s="21">
        <f t="shared" si="39"/>
        <v>0</v>
      </c>
      <c r="AU14" s="21">
        <f t="shared" si="40"/>
        <v>0</v>
      </c>
      <c r="AV14" s="15">
        <v>29.485294117647062</v>
      </c>
      <c r="AW14" s="17"/>
      <c r="AX14" s="54">
        <f t="shared" si="27"/>
        <v>34</v>
      </c>
      <c r="AY14" s="54">
        <v>34</v>
      </c>
      <c r="AZ14" s="18">
        <f t="shared" si="28"/>
        <v>0</v>
      </c>
      <c r="BA14" s="17"/>
      <c r="BB14" s="17"/>
      <c r="BC14" s="17"/>
      <c r="BD14" s="17"/>
      <c r="BE14" s="17"/>
    </row>
    <row r="15" spans="1:58" s="7" customFormat="1" ht="15" customHeight="1" thickBot="1" x14ac:dyDescent="0.4">
      <c r="A15" s="2" t="s">
        <v>23</v>
      </c>
      <c r="B15" s="22">
        <v>2</v>
      </c>
      <c r="C15" s="22">
        <v>8</v>
      </c>
      <c r="D15" s="22">
        <v>1</v>
      </c>
      <c r="E15" s="22">
        <v>1</v>
      </c>
      <c r="F15" s="22">
        <v>0</v>
      </c>
      <c r="G15" s="22">
        <v>0</v>
      </c>
      <c r="H15" s="23">
        <v>30.916666666666664</v>
      </c>
      <c r="I15" s="22"/>
      <c r="J15" s="22">
        <v>0</v>
      </c>
      <c r="K15" s="22">
        <v>0</v>
      </c>
      <c r="L15" s="22">
        <v>0</v>
      </c>
      <c r="M15" s="22">
        <v>0</v>
      </c>
      <c r="N15" s="22">
        <v>0</v>
      </c>
      <c r="O15" s="22">
        <v>0</v>
      </c>
      <c r="P15" s="15" t="s">
        <v>71</v>
      </c>
      <c r="Q15" s="22"/>
      <c r="R15" s="29">
        <f t="shared" si="29"/>
        <v>2</v>
      </c>
      <c r="S15" s="29">
        <f t="shared" si="30"/>
        <v>8</v>
      </c>
      <c r="T15" s="29">
        <f t="shared" si="31"/>
        <v>1</v>
      </c>
      <c r="U15" s="29">
        <f t="shared" si="32"/>
        <v>1</v>
      </c>
      <c r="V15" s="29">
        <f t="shared" si="33"/>
        <v>0</v>
      </c>
      <c r="W15" s="29">
        <f t="shared" si="34"/>
        <v>0</v>
      </c>
      <c r="X15" s="15">
        <v>30.916666666666664</v>
      </c>
      <c r="Y15" s="22"/>
      <c r="Z15" s="22">
        <v>0</v>
      </c>
      <c r="AA15" s="22">
        <v>0</v>
      </c>
      <c r="AB15" s="22">
        <v>0</v>
      </c>
      <c r="AC15" s="22">
        <v>0</v>
      </c>
      <c r="AD15" s="22">
        <v>0</v>
      </c>
      <c r="AE15" s="22">
        <v>0</v>
      </c>
      <c r="AF15" s="23" t="s">
        <v>71</v>
      </c>
      <c r="AG15" s="22"/>
      <c r="AH15" s="22">
        <v>0</v>
      </c>
      <c r="AI15" s="22">
        <v>0</v>
      </c>
      <c r="AJ15" s="22">
        <v>1</v>
      </c>
      <c r="AK15" s="22">
        <v>1</v>
      </c>
      <c r="AL15" s="22">
        <v>0</v>
      </c>
      <c r="AM15" s="22">
        <v>0</v>
      </c>
      <c r="AN15" s="23">
        <v>45.5</v>
      </c>
      <c r="AO15" s="22"/>
      <c r="AP15" s="21">
        <f t="shared" si="35"/>
        <v>2</v>
      </c>
      <c r="AQ15" s="21">
        <f t="shared" si="36"/>
        <v>8</v>
      </c>
      <c r="AR15" s="21">
        <f t="shared" si="37"/>
        <v>2</v>
      </c>
      <c r="AS15" s="21">
        <f t="shared" si="38"/>
        <v>2</v>
      </c>
      <c r="AT15" s="21">
        <f t="shared" si="39"/>
        <v>0</v>
      </c>
      <c r="AU15" s="21">
        <f t="shared" si="40"/>
        <v>0</v>
      </c>
      <c r="AV15" s="15">
        <v>33</v>
      </c>
      <c r="AW15" s="17"/>
      <c r="AX15" s="54">
        <f t="shared" si="27"/>
        <v>14</v>
      </c>
      <c r="AY15" s="54">
        <v>14</v>
      </c>
      <c r="AZ15" s="18">
        <f t="shared" si="28"/>
        <v>0</v>
      </c>
      <c r="BA15" s="17"/>
      <c r="BB15" s="17"/>
      <c r="BC15" s="17"/>
      <c r="BD15" s="17"/>
      <c r="BE15" s="17"/>
    </row>
    <row r="16" spans="1:58" s="7" customFormat="1" ht="15" customHeight="1" thickBot="1" x14ac:dyDescent="0.4">
      <c r="A16" s="24" t="s">
        <v>24</v>
      </c>
      <c r="B16" s="22">
        <v>0</v>
      </c>
      <c r="C16" s="22">
        <v>20</v>
      </c>
      <c r="D16" s="22">
        <v>2</v>
      </c>
      <c r="E16" s="22">
        <v>2</v>
      </c>
      <c r="F16" s="22">
        <v>0</v>
      </c>
      <c r="G16" s="22">
        <v>0</v>
      </c>
      <c r="H16" s="23">
        <v>32.583333333333336</v>
      </c>
      <c r="I16" s="22"/>
      <c r="J16" s="22">
        <v>12</v>
      </c>
      <c r="K16" s="22">
        <v>17</v>
      </c>
      <c r="L16" s="22">
        <v>6</v>
      </c>
      <c r="M16" s="22">
        <v>3</v>
      </c>
      <c r="N16" s="22">
        <v>0</v>
      </c>
      <c r="O16" s="22">
        <v>0</v>
      </c>
      <c r="P16" s="15">
        <v>30.118421052631579</v>
      </c>
      <c r="Q16" s="22"/>
      <c r="R16" s="29">
        <f t="shared" si="29"/>
        <v>12</v>
      </c>
      <c r="S16" s="29">
        <f t="shared" si="30"/>
        <v>37</v>
      </c>
      <c r="T16" s="29">
        <f t="shared" si="31"/>
        <v>8</v>
      </c>
      <c r="U16" s="29">
        <f t="shared" si="32"/>
        <v>5</v>
      </c>
      <c r="V16" s="29">
        <f t="shared" si="33"/>
        <v>0</v>
      </c>
      <c r="W16" s="29">
        <f t="shared" si="34"/>
        <v>0</v>
      </c>
      <c r="X16" s="15">
        <v>31.072580645161288</v>
      </c>
      <c r="Y16" s="22"/>
      <c r="Z16" s="22">
        <v>0</v>
      </c>
      <c r="AA16" s="22">
        <v>2</v>
      </c>
      <c r="AB16" s="22">
        <v>1</v>
      </c>
      <c r="AC16" s="22">
        <v>0</v>
      </c>
      <c r="AD16" s="22">
        <v>0</v>
      </c>
      <c r="AE16" s="22">
        <v>0</v>
      </c>
      <c r="AF16" s="23">
        <v>33.5</v>
      </c>
      <c r="AG16" s="22"/>
      <c r="AH16" s="22">
        <v>10</v>
      </c>
      <c r="AI16" s="22">
        <v>2</v>
      </c>
      <c r="AJ16" s="22">
        <v>5</v>
      </c>
      <c r="AK16" s="22">
        <v>9</v>
      </c>
      <c r="AL16" s="22">
        <v>0</v>
      </c>
      <c r="AM16" s="22">
        <v>0</v>
      </c>
      <c r="AN16" s="23">
        <v>35.269230769230774</v>
      </c>
      <c r="AO16" s="22"/>
      <c r="AP16" s="21">
        <f t="shared" si="35"/>
        <v>22</v>
      </c>
      <c r="AQ16" s="21">
        <f t="shared" si="36"/>
        <v>41</v>
      </c>
      <c r="AR16" s="21">
        <f t="shared" si="37"/>
        <v>14</v>
      </c>
      <c r="AS16" s="21">
        <f t="shared" si="38"/>
        <v>14</v>
      </c>
      <c r="AT16" s="21">
        <f t="shared" si="39"/>
        <v>0</v>
      </c>
      <c r="AU16" s="21">
        <f t="shared" si="40"/>
        <v>0</v>
      </c>
      <c r="AV16" s="15">
        <v>32.35164835164835</v>
      </c>
      <c r="AW16" s="17"/>
      <c r="AX16" s="54">
        <f t="shared" si="27"/>
        <v>91</v>
      </c>
      <c r="AY16" s="54">
        <v>91</v>
      </c>
      <c r="AZ16" s="18">
        <f t="shared" si="28"/>
        <v>0</v>
      </c>
      <c r="BA16" s="17"/>
      <c r="BB16" s="17"/>
      <c r="BC16" s="17"/>
      <c r="BD16" s="17"/>
      <c r="BE16" s="17"/>
    </row>
    <row r="17" spans="1:57" s="7" customFormat="1" ht="15" customHeight="1" thickBot="1" x14ac:dyDescent="0.4">
      <c r="A17" s="24" t="s">
        <v>25</v>
      </c>
      <c r="B17" s="22">
        <v>0</v>
      </c>
      <c r="C17" s="22">
        <v>0</v>
      </c>
      <c r="D17" s="22">
        <v>3</v>
      </c>
      <c r="E17" s="22">
        <v>0</v>
      </c>
      <c r="F17" s="22">
        <v>0</v>
      </c>
      <c r="G17" s="22">
        <v>0</v>
      </c>
      <c r="H17" s="23">
        <v>40.5</v>
      </c>
      <c r="I17" s="22"/>
      <c r="J17" s="22">
        <v>21</v>
      </c>
      <c r="K17" s="22">
        <v>42</v>
      </c>
      <c r="L17" s="22">
        <v>26</v>
      </c>
      <c r="M17" s="22">
        <v>5</v>
      </c>
      <c r="N17" s="22">
        <v>0</v>
      </c>
      <c r="O17" s="22">
        <v>0</v>
      </c>
      <c r="P17" s="15">
        <v>31.76063829787234</v>
      </c>
      <c r="Q17" s="22"/>
      <c r="R17" s="29">
        <f t="shared" si="29"/>
        <v>21</v>
      </c>
      <c r="S17" s="29">
        <f t="shared" si="30"/>
        <v>42</v>
      </c>
      <c r="T17" s="29">
        <f t="shared" si="31"/>
        <v>29</v>
      </c>
      <c r="U17" s="29">
        <f t="shared" si="32"/>
        <v>5</v>
      </c>
      <c r="V17" s="29">
        <f t="shared" si="33"/>
        <v>0</v>
      </c>
      <c r="W17" s="29">
        <f t="shared" si="34"/>
        <v>0</v>
      </c>
      <c r="X17" s="15">
        <v>32.03092783505155</v>
      </c>
      <c r="Y17" s="22"/>
      <c r="Z17" s="22">
        <v>0</v>
      </c>
      <c r="AA17" s="22">
        <v>0</v>
      </c>
      <c r="AB17" s="22">
        <v>0</v>
      </c>
      <c r="AC17" s="22">
        <v>0</v>
      </c>
      <c r="AD17" s="22">
        <v>0</v>
      </c>
      <c r="AE17" s="22">
        <v>0</v>
      </c>
      <c r="AF17" s="23" t="s">
        <v>71</v>
      </c>
      <c r="AG17" s="22"/>
      <c r="AH17" s="22">
        <v>1</v>
      </c>
      <c r="AI17" s="22">
        <v>0</v>
      </c>
      <c r="AJ17" s="22">
        <v>1</v>
      </c>
      <c r="AK17" s="22">
        <v>3</v>
      </c>
      <c r="AL17" s="22">
        <v>0</v>
      </c>
      <c r="AM17" s="22">
        <v>0</v>
      </c>
      <c r="AN17" s="23">
        <v>42.4</v>
      </c>
      <c r="AO17" s="22"/>
      <c r="AP17" s="21">
        <f t="shared" si="35"/>
        <v>22</v>
      </c>
      <c r="AQ17" s="21">
        <f t="shared" si="36"/>
        <v>42</v>
      </c>
      <c r="AR17" s="21">
        <f t="shared" si="37"/>
        <v>30</v>
      </c>
      <c r="AS17" s="21">
        <f t="shared" si="38"/>
        <v>8</v>
      </c>
      <c r="AT17" s="21">
        <f t="shared" si="39"/>
        <v>0</v>
      </c>
      <c r="AU17" s="21">
        <f t="shared" si="40"/>
        <v>0</v>
      </c>
      <c r="AV17" s="15">
        <v>32.53921568627451</v>
      </c>
      <c r="AW17" s="17"/>
      <c r="AX17" s="54">
        <f t="shared" si="27"/>
        <v>102</v>
      </c>
      <c r="AY17" s="54">
        <v>102</v>
      </c>
      <c r="AZ17" s="18">
        <f t="shared" si="28"/>
        <v>0</v>
      </c>
      <c r="BA17" s="17"/>
      <c r="BB17" s="17"/>
      <c r="BC17" s="17"/>
      <c r="BD17" s="17"/>
      <c r="BE17" s="17"/>
    </row>
    <row r="18" spans="1:57" s="7" customFormat="1" ht="15" customHeight="1" thickBot="1" x14ac:dyDescent="0.4">
      <c r="A18" s="2" t="s">
        <v>26</v>
      </c>
      <c r="B18" s="22">
        <v>4</v>
      </c>
      <c r="C18" s="22">
        <v>12</v>
      </c>
      <c r="D18" s="22">
        <v>2</v>
      </c>
      <c r="E18" s="22">
        <v>0</v>
      </c>
      <c r="F18" s="22">
        <v>0</v>
      </c>
      <c r="G18" s="22">
        <v>0</v>
      </c>
      <c r="H18" s="23">
        <v>28.944444444444443</v>
      </c>
      <c r="I18" s="22"/>
      <c r="J18" s="22">
        <v>9</v>
      </c>
      <c r="K18" s="22">
        <v>13</v>
      </c>
      <c r="L18" s="22">
        <v>7</v>
      </c>
      <c r="M18" s="22">
        <v>3</v>
      </c>
      <c r="N18" s="22">
        <v>0</v>
      </c>
      <c r="O18" s="22">
        <v>0</v>
      </c>
      <c r="P18" s="15">
        <v>31.40625</v>
      </c>
      <c r="Q18" s="22"/>
      <c r="R18" s="29">
        <f t="shared" si="29"/>
        <v>13</v>
      </c>
      <c r="S18" s="29">
        <f t="shared" si="30"/>
        <v>25</v>
      </c>
      <c r="T18" s="29">
        <f t="shared" si="31"/>
        <v>9</v>
      </c>
      <c r="U18" s="29">
        <f t="shared" si="32"/>
        <v>3</v>
      </c>
      <c r="V18" s="29">
        <f t="shared" si="33"/>
        <v>0</v>
      </c>
      <c r="W18" s="29">
        <f t="shared" si="34"/>
        <v>0</v>
      </c>
      <c r="X18" s="15">
        <v>30.52</v>
      </c>
      <c r="Y18" s="22"/>
      <c r="Z18" s="22">
        <v>0</v>
      </c>
      <c r="AA18" s="22">
        <v>0</v>
      </c>
      <c r="AB18" s="22">
        <v>0</v>
      </c>
      <c r="AC18" s="22">
        <v>0</v>
      </c>
      <c r="AD18" s="22">
        <v>0</v>
      </c>
      <c r="AE18" s="22">
        <v>0</v>
      </c>
      <c r="AF18" s="23" t="s">
        <v>71</v>
      </c>
      <c r="AG18" s="22"/>
      <c r="AH18" s="22">
        <v>3</v>
      </c>
      <c r="AI18" s="22">
        <v>9</v>
      </c>
      <c r="AJ18" s="22">
        <v>6</v>
      </c>
      <c r="AK18" s="22">
        <v>9</v>
      </c>
      <c r="AL18" s="22">
        <v>5</v>
      </c>
      <c r="AM18" s="22">
        <v>0</v>
      </c>
      <c r="AN18" s="23">
        <v>41.5625</v>
      </c>
      <c r="AO18" s="22"/>
      <c r="AP18" s="21">
        <f t="shared" si="35"/>
        <v>16</v>
      </c>
      <c r="AQ18" s="21">
        <f t="shared" si="36"/>
        <v>34</v>
      </c>
      <c r="AR18" s="21">
        <f t="shared" si="37"/>
        <v>15</v>
      </c>
      <c r="AS18" s="21">
        <f t="shared" si="38"/>
        <v>12</v>
      </c>
      <c r="AT18" s="21">
        <f t="shared" si="39"/>
        <v>5</v>
      </c>
      <c r="AU18" s="21">
        <f t="shared" si="40"/>
        <v>0</v>
      </c>
      <c r="AV18" s="15">
        <v>34.829268292682926</v>
      </c>
      <c r="AW18" s="17"/>
      <c r="AX18" s="54">
        <f t="shared" si="27"/>
        <v>82</v>
      </c>
      <c r="AY18" s="54">
        <v>82</v>
      </c>
      <c r="AZ18" s="18">
        <f t="shared" si="28"/>
        <v>0</v>
      </c>
      <c r="BA18" s="17"/>
      <c r="BB18" s="17"/>
      <c r="BC18" s="17"/>
      <c r="BD18" s="17"/>
      <c r="BE18" s="17"/>
    </row>
    <row r="19" spans="1:57" s="7" customFormat="1" ht="15" customHeight="1" thickBot="1" x14ac:dyDescent="0.4">
      <c r="A19" s="2" t="s">
        <v>27</v>
      </c>
      <c r="B19" s="22">
        <v>0</v>
      </c>
      <c r="C19" s="22">
        <v>0</v>
      </c>
      <c r="D19" s="22">
        <v>0</v>
      </c>
      <c r="E19" s="22">
        <v>0</v>
      </c>
      <c r="F19" s="22">
        <v>0</v>
      </c>
      <c r="G19" s="22">
        <v>0</v>
      </c>
      <c r="H19" s="23" t="s">
        <v>71</v>
      </c>
      <c r="I19" s="22"/>
      <c r="J19" s="22">
        <v>2</v>
      </c>
      <c r="K19" s="22">
        <v>5</v>
      </c>
      <c r="L19" s="22">
        <v>1</v>
      </c>
      <c r="M19" s="22">
        <v>1</v>
      </c>
      <c r="N19" s="22">
        <v>0</v>
      </c>
      <c r="O19" s="22">
        <v>0</v>
      </c>
      <c r="P19" s="15">
        <v>31.222222222222225</v>
      </c>
      <c r="Q19" s="22"/>
      <c r="R19" s="29">
        <f t="shared" si="29"/>
        <v>2</v>
      </c>
      <c r="S19" s="29">
        <f t="shared" si="30"/>
        <v>5</v>
      </c>
      <c r="T19" s="29">
        <f t="shared" si="31"/>
        <v>1</v>
      </c>
      <c r="U19" s="29">
        <f t="shared" si="32"/>
        <v>1</v>
      </c>
      <c r="V19" s="29">
        <f t="shared" si="33"/>
        <v>0</v>
      </c>
      <c r="W19" s="29">
        <f t="shared" si="34"/>
        <v>0</v>
      </c>
      <c r="X19" s="15">
        <v>31.222222222222225</v>
      </c>
      <c r="Y19" s="22"/>
      <c r="Z19" s="22">
        <v>1</v>
      </c>
      <c r="AA19" s="22">
        <v>0</v>
      </c>
      <c r="AB19" s="22">
        <v>0</v>
      </c>
      <c r="AC19" s="22">
        <v>0</v>
      </c>
      <c r="AD19" s="22">
        <v>0</v>
      </c>
      <c r="AE19" s="22">
        <v>0</v>
      </c>
      <c r="AF19" s="23">
        <v>20</v>
      </c>
      <c r="AG19" s="22"/>
      <c r="AH19" s="22">
        <v>1</v>
      </c>
      <c r="AI19" s="22">
        <v>2</v>
      </c>
      <c r="AJ19" s="22">
        <v>1</v>
      </c>
      <c r="AK19" s="22">
        <v>0</v>
      </c>
      <c r="AL19" s="22">
        <v>1</v>
      </c>
      <c r="AM19" s="22">
        <v>0</v>
      </c>
      <c r="AN19" s="23">
        <v>36.200000000000003</v>
      </c>
      <c r="AO19" s="22"/>
      <c r="AP19" s="21">
        <f t="shared" si="35"/>
        <v>4</v>
      </c>
      <c r="AQ19" s="21">
        <f t="shared" si="36"/>
        <v>7</v>
      </c>
      <c r="AR19" s="21">
        <f t="shared" si="37"/>
        <v>2</v>
      </c>
      <c r="AS19" s="21">
        <f t="shared" si="38"/>
        <v>1</v>
      </c>
      <c r="AT19" s="21">
        <f t="shared" si="39"/>
        <v>1</v>
      </c>
      <c r="AU19" s="21">
        <f t="shared" si="40"/>
        <v>0</v>
      </c>
      <c r="AV19" s="15">
        <v>32.133333333333333</v>
      </c>
      <c r="AW19" s="17"/>
      <c r="AX19" s="54">
        <f t="shared" si="27"/>
        <v>15</v>
      </c>
      <c r="AY19" s="54">
        <v>15</v>
      </c>
      <c r="AZ19" s="18">
        <f t="shared" si="28"/>
        <v>0</v>
      </c>
      <c r="BA19" s="17"/>
      <c r="BB19" s="17"/>
      <c r="BC19" s="17"/>
      <c r="BD19" s="17"/>
      <c r="BE19" s="17"/>
    </row>
    <row r="20" spans="1:57" s="7" customFormat="1" ht="15" customHeight="1" thickBot="1" x14ac:dyDescent="0.4">
      <c r="A20" s="2" t="s">
        <v>28</v>
      </c>
      <c r="B20" s="22">
        <v>0</v>
      </c>
      <c r="C20" s="22">
        <v>0</v>
      </c>
      <c r="D20" s="22">
        <v>0</v>
      </c>
      <c r="E20" s="22">
        <v>1</v>
      </c>
      <c r="F20" s="22">
        <v>0</v>
      </c>
      <c r="G20" s="22">
        <v>0</v>
      </c>
      <c r="H20" s="23">
        <v>50.5</v>
      </c>
      <c r="I20" s="22"/>
      <c r="J20" s="22">
        <v>6</v>
      </c>
      <c r="K20" s="22">
        <v>10</v>
      </c>
      <c r="L20" s="22">
        <v>5</v>
      </c>
      <c r="M20" s="22">
        <v>1</v>
      </c>
      <c r="N20" s="22">
        <v>0</v>
      </c>
      <c r="O20" s="22">
        <v>0</v>
      </c>
      <c r="P20" s="15">
        <v>30.590909090909093</v>
      </c>
      <c r="Q20" s="22"/>
      <c r="R20" s="29">
        <f t="shared" si="29"/>
        <v>6</v>
      </c>
      <c r="S20" s="29">
        <f t="shared" si="30"/>
        <v>10</v>
      </c>
      <c r="T20" s="29">
        <f t="shared" si="31"/>
        <v>5</v>
      </c>
      <c r="U20" s="29">
        <f t="shared" si="32"/>
        <v>2</v>
      </c>
      <c r="V20" s="29">
        <f t="shared" si="33"/>
        <v>0</v>
      </c>
      <c r="W20" s="29">
        <f t="shared" si="34"/>
        <v>0</v>
      </c>
      <c r="X20" s="15">
        <v>31.456521739130434</v>
      </c>
      <c r="Y20" s="22"/>
      <c r="Z20" s="22">
        <v>1</v>
      </c>
      <c r="AA20" s="22">
        <v>0</v>
      </c>
      <c r="AB20" s="22">
        <v>1</v>
      </c>
      <c r="AC20" s="22">
        <v>0</v>
      </c>
      <c r="AD20" s="22">
        <v>0</v>
      </c>
      <c r="AE20" s="22">
        <v>0</v>
      </c>
      <c r="AF20" s="23">
        <v>30.25</v>
      </c>
      <c r="AG20" s="22"/>
      <c r="AH20" s="22">
        <v>0</v>
      </c>
      <c r="AI20" s="22">
        <v>1</v>
      </c>
      <c r="AJ20" s="22">
        <v>1</v>
      </c>
      <c r="AK20" s="22">
        <v>3</v>
      </c>
      <c r="AL20" s="22">
        <v>1</v>
      </c>
      <c r="AM20" s="22">
        <v>0</v>
      </c>
      <c r="AN20" s="23">
        <v>47.083333333333329</v>
      </c>
      <c r="AO20" s="22"/>
      <c r="AP20" s="21">
        <f t="shared" si="35"/>
        <v>7</v>
      </c>
      <c r="AQ20" s="21">
        <f t="shared" si="36"/>
        <v>11</v>
      </c>
      <c r="AR20" s="21">
        <f t="shared" si="37"/>
        <v>7</v>
      </c>
      <c r="AS20" s="21">
        <f t="shared" si="38"/>
        <v>5</v>
      </c>
      <c r="AT20" s="21">
        <f t="shared" si="39"/>
        <v>1</v>
      </c>
      <c r="AU20" s="21">
        <f t="shared" si="40"/>
        <v>0</v>
      </c>
      <c r="AV20" s="15">
        <v>34.403225806451616</v>
      </c>
      <c r="AW20" s="17"/>
      <c r="AX20" s="54">
        <f t="shared" si="27"/>
        <v>31</v>
      </c>
      <c r="AY20" s="54">
        <v>31</v>
      </c>
      <c r="AZ20" s="18">
        <f t="shared" si="28"/>
        <v>0</v>
      </c>
      <c r="BA20" s="17"/>
      <c r="BB20" s="17"/>
      <c r="BC20" s="17"/>
      <c r="BD20" s="17"/>
      <c r="BE20" s="17"/>
    </row>
    <row r="21" spans="1:57" s="7" customFormat="1" ht="15" customHeight="1" thickBot="1" x14ac:dyDescent="0.4">
      <c r="A21" s="2" t="s">
        <v>29</v>
      </c>
      <c r="B21" s="22">
        <v>0</v>
      </c>
      <c r="C21" s="22">
        <v>0</v>
      </c>
      <c r="D21" s="22">
        <v>0</v>
      </c>
      <c r="E21" s="22">
        <v>0</v>
      </c>
      <c r="F21" s="22">
        <v>0</v>
      </c>
      <c r="G21" s="22">
        <v>0</v>
      </c>
      <c r="H21" s="23" t="s">
        <v>71</v>
      </c>
      <c r="I21" s="22"/>
      <c r="J21" s="22">
        <v>13</v>
      </c>
      <c r="K21" s="22">
        <v>21</v>
      </c>
      <c r="L21" s="22">
        <v>8</v>
      </c>
      <c r="M21" s="22">
        <v>8</v>
      </c>
      <c r="N21" s="22">
        <v>0</v>
      </c>
      <c r="O21" s="22">
        <v>0</v>
      </c>
      <c r="P21" s="15">
        <v>32.36</v>
      </c>
      <c r="Q21" s="22"/>
      <c r="R21" s="29">
        <f t="shared" si="29"/>
        <v>13</v>
      </c>
      <c r="S21" s="29">
        <f t="shared" si="30"/>
        <v>21</v>
      </c>
      <c r="T21" s="29">
        <f t="shared" si="31"/>
        <v>8</v>
      </c>
      <c r="U21" s="29">
        <f t="shared" si="32"/>
        <v>8</v>
      </c>
      <c r="V21" s="29">
        <f t="shared" si="33"/>
        <v>0</v>
      </c>
      <c r="W21" s="29">
        <f t="shared" si="34"/>
        <v>0</v>
      </c>
      <c r="X21" s="15">
        <v>32.36</v>
      </c>
      <c r="Y21" s="22"/>
      <c r="Z21" s="22">
        <v>0</v>
      </c>
      <c r="AA21" s="22">
        <v>0</v>
      </c>
      <c r="AB21" s="22">
        <v>0</v>
      </c>
      <c r="AC21" s="22">
        <v>0</v>
      </c>
      <c r="AD21" s="22">
        <v>0</v>
      </c>
      <c r="AE21" s="22">
        <v>0</v>
      </c>
      <c r="AF21" s="23" t="s">
        <v>71</v>
      </c>
      <c r="AG21" s="22"/>
      <c r="AH21" s="22">
        <v>4</v>
      </c>
      <c r="AI21" s="22">
        <v>12</v>
      </c>
      <c r="AJ21" s="22">
        <v>4</v>
      </c>
      <c r="AK21" s="22">
        <v>12</v>
      </c>
      <c r="AL21" s="22">
        <v>5</v>
      </c>
      <c r="AM21" s="22">
        <v>0</v>
      </c>
      <c r="AN21" s="23">
        <v>40.824324324324323</v>
      </c>
      <c r="AO21" s="22"/>
      <c r="AP21" s="21">
        <f t="shared" si="35"/>
        <v>17</v>
      </c>
      <c r="AQ21" s="21">
        <f t="shared" si="36"/>
        <v>33</v>
      </c>
      <c r="AR21" s="21">
        <f t="shared" si="37"/>
        <v>12</v>
      </c>
      <c r="AS21" s="21">
        <f t="shared" si="38"/>
        <v>20</v>
      </c>
      <c r="AT21" s="21">
        <f t="shared" si="39"/>
        <v>5</v>
      </c>
      <c r="AU21" s="21">
        <f t="shared" si="40"/>
        <v>0</v>
      </c>
      <c r="AV21" s="15">
        <v>35.959770114942529</v>
      </c>
      <c r="AW21" s="17"/>
      <c r="AX21" s="54">
        <f t="shared" si="27"/>
        <v>87</v>
      </c>
      <c r="AY21" s="54">
        <v>87</v>
      </c>
      <c r="AZ21" s="18">
        <f t="shared" si="28"/>
        <v>0</v>
      </c>
      <c r="BA21" s="17"/>
      <c r="BB21" s="17"/>
      <c r="BC21" s="17"/>
      <c r="BD21" s="17"/>
      <c r="BE21" s="17"/>
    </row>
    <row r="22" spans="1:57" s="7" customFormat="1" ht="15" customHeight="1" thickBot="1" x14ac:dyDescent="0.4">
      <c r="A22" s="2" t="s">
        <v>30</v>
      </c>
      <c r="B22" s="22">
        <v>0</v>
      </c>
      <c r="C22" s="22">
        <v>0</v>
      </c>
      <c r="D22" s="22">
        <v>0</v>
      </c>
      <c r="E22" s="22">
        <v>0</v>
      </c>
      <c r="F22" s="22">
        <v>0</v>
      </c>
      <c r="G22" s="22">
        <v>0</v>
      </c>
      <c r="H22" s="23" t="s">
        <v>71</v>
      </c>
      <c r="I22" s="22"/>
      <c r="J22" s="22">
        <v>7</v>
      </c>
      <c r="K22" s="22">
        <v>12</v>
      </c>
      <c r="L22" s="22">
        <v>9</v>
      </c>
      <c r="M22" s="22">
        <v>2</v>
      </c>
      <c r="N22" s="22">
        <v>0</v>
      </c>
      <c r="O22" s="22">
        <v>0</v>
      </c>
      <c r="P22" s="15">
        <v>32.183333333333337</v>
      </c>
      <c r="Q22" s="22"/>
      <c r="R22" s="29">
        <f t="shared" si="29"/>
        <v>7</v>
      </c>
      <c r="S22" s="29">
        <f t="shared" si="30"/>
        <v>12</v>
      </c>
      <c r="T22" s="29">
        <f t="shared" si="31"/>
        <v>9</v>
      </c>
      <c r="U22" s="29">
        <f t="shared" si="32"/>
        <v>2</v>
      </c>
      <c r="V22" s="29">
        <f t="shared" si="33"/>
        <v>0</v>
      </c>
      <c r="W22" s="29">
        <f t="shared" si="34"/>
        <v>0</v>
      </c>
      <c r="X22" s="15">
        <v>32.183333333333337</v>
      </c>
      <c r="Y22" s="22"/>
      <c r="Z22" s="22">
        <v>0</v>
      </c>
      <c r="AA22" s="22">
        <v>0</v>
      </c>
      <c r="AB22" s="22">
        <v>0</v>
      </c>
      <c r="AC22" s="22">
        <v>0</v>
      </c>
      <c r="AD22" s="22">
        <v>0</v>
      </c>
      <c r="AE22" s="22">
        <v>0</v>
      </c>
      <c r="AF22" s="23" t="s">
        <v>71</v>
      </c>
      <c r="AG22" s="22"/>
      <c r="AH22" s="22">
        <v>0</v>
      </c>
      <c r="AI22" s="22">
        <v>2</v>
      </c>
      <c r="AJ22" s="22">
        <v>1</v>
      </c>
      <c r="AK22" s="22">
        <v>1</v>
      </c>
      <c r="AL22" s="22">
        <v>1</v>
      </c>
      <c r="AM22" s="22">
        <v>1</v>
      </c>
      <c r="AN22" s="23">
        <v>42.300000000000004</v>
      </c>
      <c r="AO22" s="22"/>
      <c r="AP22" s="21">
        <f t="shared" si="35"/>
        <v>7</v>
      </c>
      <c r="AQ22" s="21">
        <f t="shared" si="36"/>
        <v>14</v>
      </c>
      <c r="AR22" s="21">
        <f t="shared" si="37"/>
        <v>10</v>
      </c>
      <c r="AS22" s="21">
        <f t="shared" si="38"/>
        <v>3</v>
      </c>
      <c r="AT22" s="21">
        <f t="shared" si="39"/>
        <v>1</v>
      </c>
      <c r="AU22" s="21">
        <f t="shared" si="40"/>
        <v>1</v>
      </c>
      <c r="AV22" s="15">
        <v>33.628571428571426</v>
      </c>
      <c r="AW22" s="17"/>
      <c r="AX22" s="54">
        <f t="shared" si="27"/>
        <v>36</v>
      </c>
      <c r="AY22" s="54">
        <v>36</v>
      </c>
      <c r="AZ22" s="18">
        <f t="shared" si="28"/>
        <v>0</v>
      </c>
      <c r="BA22" s="17"/>
      <c r="BB22" s="17"/>
      <c r="BC22" s="17"/>
      <c r="BD22" s="17"/>
      <c r="BE22" s="17"/>
    </row>
    <row r="23" spans="1:57" s="7" customFormat="1" ht="15" customHeight="1" thickBot="1" x14ac:dyDescent="0.4">
      <c r="A23" s="2" t="s">
        <v>31</v>
      </c>
      <c r="B23" s="22">
        <v>7</v>
      </c>
      <c r="C23" s="22">
        <v>31</v>
      </c>
      <c r="D23" s="22">
        <v>22</v>
      </c>
      <c r="E23" s="22">
        <v>21</v>
      </c>
      <c r="F23" s="22">
        <v>0</v>
      </c>
      <c r="G23" s="22">
        <v>0</v>
      </c>
      <c r="H23" s="23">
        <v>37.302469135802468</v>
      </c>
      <c r="I23" s="22"/>
      <c r="J23" s="22">
        <v>10</v>
      </c>
      <c r="K23" s="22">
        <v>19</v>
      </c>
      <c r="L23" s="22">
        <v>17</v>
      </c>
      <c r="M23" s="22">
        <v>8</v>
      </c>
      <c r="N23" s="22">
        <v>2</v>
      </c>
      <c r="O23" s="22">
        <v>0</v>
      </c>
      <c r="P23" s="15">
        <v>35.419642857142854</v>
      </c>
      <c r="Q23" s="22"/>
      <c r="R23" s="29">
        <f t="shared" si="29"/>
        <v>17</v>
      </c>
      <c r="S23" s="29">
        <f t="shared" si="30"/>
        <v>50</v>
      </c>
      <c r="T23" s="29">
        <f t="shared" si="31"/>
        <v>39</v>
      </c>
      <c r="U23" s="29">
        <f t="shared" si="32"/>
        <v>29</v>
      </c>
      <c r="V23" s="29">
        <f t="shared" si="33"/>
        <v>2</v>
      </c>
      <c r="W23" s="29">
        <f t="shared" si="34"/>
        <v>0</v>
      </c>
      <c r="X23" s="15">
        <v>36.532846715328468</v>
      </c>
      <c r="Y23" s="22"/>
      <c r="Z23" s="22">
        <v>1</v>
      </c>
      <c r="AA23" s="22">
        <v>1</v>
      </c>
      <c r="AB23" s="22">
        <v>1</v>
      </c>
      <c r="AC23" s="22">
        <v>1</v>
      </c>
      <c r="AD23" s="22">
        <v>0</v>
      </c>
      <c r="AE23" s="22">
        <v>0</v>
      </c>
      <c r="AF23" s="23">
        <v>35.25</v>
      </c>
      <c r="AG23" s="22"/>
      <c r="AH23" s="22">
        <v>17</v>
      </c>
      <c r="AI23" s="22">
        <v>26</v>
      </c>
      <c r="AJ23" s="22">
        <v>14</v>
      </c>
      <c r="AK23" s="22">
        <v>15</v>
      </c>
      <c r="AL23" s="22">
        <v>5</v>
      </c>
      <c r="AM23" s="22">
        <v>0</v>
      </c>
      <c r="AN23" s="23">
        <v>35.675324675324681</v>
      </c>
      <c r="AO23" s="22"/>
      <c r="AP23" s="21">
        <f t="shared" si="35"/>
        <v>35</v>
      </c>
      <c r="AQ23" s="21">
        <f t="shared" si="36"/>
        <v>77</v>
      </c>
      <c r="AR23" s="21">
        <f t="shared" si="37"/>
        <v>54</v>
      </c>
      <c r="AS23" s="21">
        <f t="shared" si="38"/>
        <v>45</v>
      </c>
      <c r="AT23" s="21">
        <f t="shared" si="39"/>
        <v>7</v>
      </c>
      <c r="AU23" s="21">
        <f t="shared" si="40"/>
        <v>0</v>
      </c>
      <c r="AV23" s="15">
        <v>36.206422018348626</v>
      </c>
      <c r="AW23" s="17"/>
      <c r="AX23" s="54">
        <f t="shared" si="27"/>
        <v>218</v>
      </c>
      <c r="AY23" s="54">
        <v>218</v>
      </c>
      <c r="AZ23" s="18">
        <f t="shared" si="28"/>
        <v>0</v>
      </c>
      <c r="BA23" s="17"/>
      <c r="BB23" s="17"/>
      <c r="BC23" s="17"/>
      <c r="BD23" s="17"/>
      <c r="BE23" s="17"/>
    </row>
    <row r="24" spans="1:57" s="7" customFormat="1" ht="15" customHeight="1" thickBot="1" x14ac:dyDescent="0.4">
      <c r="A24" s="2" t="s">
        <v>32</v>
      </c>
      <c r="B24" s="22">
        <v>0</v>
      </c>
      <c r="C24" s="22">
        <v>0</v>
      </c>
      <c r="D24" s="22">
        <v>0</v>
      </c>
      <c r="E24" s="22">
        <v>1</v>
      </c>
      <c r="F24" s="22">
        <v>0</v>
      </c>
      <c r="G24" s="22">
        <v>0</v>
      </c>
      <c r="H24" s="23">
        <v>50.5</v>
      </c>
      <c r="I24" s="22"/>
      <c r="J24" s="22">
        <v>9</v>
      </c>
      <c r="K24" s="22">
        <v>23</v>
      </c>
      <c r="L24" s="22">
        <v>11</v>
      </c>
      <c r="M24" s="22">
        <v>7</v>
      </c>
      <c r="N24" s="22">
        <v>1</v>
      </c>
      <c r="O24" s="22">
        <v>0</v>
      </c>
      <c r="P24" s="15">
        <v>33.911764705882355</v>
      </c>
      <c r="Q24" s="22"/>
      <c r="R24" s="29">
        <f t="shared" si="29"/>
        <v>9</v>
      </c>
      <c r="S24" s="29">
        <f t="shared" si="30"/>
        <v>23</v>
      </c>
      <c r="T24" s="29">
        <f t="shared" si="31"/>
        <v>11</v>
      </c>
      <c r="U24" s="29">
        <f t="shared" si="32"/>
        <v>8</v>
      </c>
      <c r="V24" s="29">
        <f t="shared" si="33"/>
        <v>1</v>
      </c>
      <c r="W24" s="29">
        <f t="shared" si="34"/>
        <v>0</v>
      </c>
      <c r="X24" s="15">
        <v>34.230769230769234</v>
      </c>
      <c r="Y24" s="22"/>
      <c r="Z24" s="22">
        <v>1</v>
      </c>
      <c r="AA24" s="22">
        <v>1</v>
      </c>
      <c r="AB24" s="22">
        <v>1</v>
      </c>
      <c r="AC24" s="22">
        <v>0</v>
      </c>
      <c r="AD24" s="22">
        <v>0</v>
      </c>
      <c r="AE24" s="22">
        <v>0</v>
      </c>
      <c r="AF24" s="23">
        <v>30.166666666666664</v>
      </c>
      <c r="AG24" s="22"/>
      <c r="AH24" s="22">
        <v>2</v>
      </c>
      <c r="AI24" s="22">
        <v>6</v>
      </c>
      <c r="AJ24" s="22">
        <v>7</v>
      </c>
      <c r="AK24" s="22">
        <v>4</v>
      </c>
      <c r="AL24" s="22">
        <v>5</v>
      </c>
      <c r="AM24" s="22">
        <v>0</v>
      </c>
      <c r="AN24" s="23">
        <v>42</v>
      </c>
      <c r="AO24" s="22"/>
      <c r="AP24" s="21">
        <f t="shared" si="35"/>
        <v>12</v>
      </c>
      <c r="AQ24" s="21">
        <f t="shared" si="36"/>
        <v>30</v>
      </c>
      <c r="AR24" s="21">
        <f t="shared" si="37"/>
        <v>19</v>
      </c>
      <c r="AS24" s="21">
        <f t="shared" si="38"/>
        <v>12</v>
      </c>
      <c r="AT24" s="21">
        <f t="shared" si="39"/>
        <v>6</v>
      </c>
      <c r="AU24" s="21">
        <f t="shared" si="40"/>
        <v>0</v>
      </c>
      <c r="AV24" s="15">
        <v>36.436708860759495</v>
      </c>
      <c r="AW24" s="17"/>
      <c r="AX24" s="54">
        <f t="shared" si="27"/>
        <v>79</v>
      </c>
      <c r="AY24" s="54">
        <v>79</v>
      </c>
      <c r="AZ24" s="18">
        <f t="shared" si="28"/>
        <v>0</v>
      </c>
      <c r="BA24" s="17"/>
      <c r="BB24" s="17"/>
      <c r="BC24" s="17"/>
      <c r="BD24" s="17"/>
      <c r="BE24" s="17"/>
    </row>
    <row r="25" spans="1:57" s="7" customFormat="1" ht="15" customHeight="1" thickBot="1" x14ac:dyDescent="0.4">
      <c r="A25" s="2" t="s">
        <v>33</v>
      </c>
      <c r="B25" s="22">
        <v>0</v>
      </c>
      <c r="C25" s="22">
        <v>0</v>
      </c>
      <c r="D25" s="22">
        <v>0</v>
      </c>
      <c r="E25" s="22">
        <v>0</v>
      </c>
      <c r="F25" s="22">
        <v>0</v>
      </c>
      <c r="G25" s="22">
        <v>0</v>
      </c>
      <c r="H25" s="23" t="s">
        <v>71</v>
      </c>
      <c r="I25" s="22"/>
      <c r="J25" s="22">
        <v>0</v>
      </c>
      <c r="K25" s="22">
        <v>0</v>
      </c>
      <c r="L25" s="22">
        <v>0</v>
      </c>
      <c r="M25" s="22">
        <v>0</v>
      </c>
      <c r="N25" s="22">
        <v>0</v>
      </c>
      <c r="O25" s="22">
        <v>0</v>
      </c>
      <c r="P25" s="15" t="s">
        <v>71</v>
      </c>
      <c r="Q25" s="22"/>
      <c r="R25" s="29">
        <f t="shared" si="29"/>
        <v>0</v>
      </c>
      <c r="S25" s="29">
        <f t="shared" si="30"/>
        <v>0</v>
      </c>
      <c r="T25" s="29">
        <f t="shared" si="31"/>
        <v>0</v>
      </c>
      <c r="U25" s="29">
        <f t="shared" si="32"/>
        <v>0</v>
      </c>
      <c r="V25" s="29">
        <f t="shared" si="33"/>
        <v>0</v>
      </c>
      <c r="W25" s="29">
        <f t="shared" si="34"/>
        <v>0</v>
      </c>
      <c r="X25" s="15" t="s">
        <v>71</v>
      </c>
      <c r="Y25" s="22"/>
      <c r="Z25" s="22">
        <v>0</v>
      </c>
      <c r="AA25" s="22">
        <v>0</v>
      </c>
      <c r="AB25" s="22">
        <v>0</v>
      </c>
      <c r="AC25" s="22">
        <v>0</v>
      </c>
      <c r="AD25" s="22">
        <v>0</v>
      </c>
      <c r="AE25" s="22">
        <v>0</v>
      </c>
      <c r="AF25" s="23" t="s">
        <v>71</v>
      </c>
      <c r="AG25" s="22"/>
      <c r="AH25" s="22">
        <v>0</v>
      </c>
      <c r="AI25" s="22">
        <v>0</v>
      </c>
      <c r="AJ25" s="22">
        <v>0</v>
      </c>
      <c r="AK25" s="22">
        <v>0</v>
      </c>
      <c r="AL25" s="22">
        <v>0</v>
      </c>
      <c r="AM25" s="22">
        <v>0</v>
      </c>
      <c r="AN25" s="23" t="s">
        <v>71</v>
      </c>
      <c r="AO25" s="22"/>
      <c r="AP25" s="21">
        <f t="shared" si="35"/>
        <v>0</v>
      </c>
      <c r="AQ25" s="21">
        <f t="shared" si="36"/>
        <v>0</v>
      </c>
      <c r="AR25" s="21">
        <f t="shared" si="37"/>
        <v>0</v>
      </c>
      <c r="AS25" s="21">
        <f t="shared" si="38"/>
        <v>0</v>
      </c>
      <c r="AT25" s="21">
        <f t="shared" si="39"/>
        <v>0</v>
      </c>
      <c r="AU25" s="21">
        <f t="shared" si="40"/>
        <v>0</v>
      </c>
      <c r="AV25" s="15" t="s">
        <v>71</v>
      </c>
      <c r="AW25" s="17"/>
      <c r="AX25" s="54">
        <f t="shared" si="27"/>
        <v>0</v>
      </c>
      <c r="AY25" s="54">
        <v>0</v>
      </c>
      <c r="AZ25" s="18">
        <f t="shared" si="28"/>
        <v>0</v>
      </c>
      <c r="BA25" s="17"/>
      <c r="BB25" s="17"/>
      <c r="BC25" s="17"/>
      <c r="BD25" s="17"/>
      <c r="BE25" s="17"/>
    </row>
    <row r="26" spans="1:57" s="7" customFormat="1" ht="15" customHeight="1" thickBot="1" x14ac:dyDescent="0.4">
      <c r="A26" s="2" t="s">
        <v>34</v>
      </c>
      <c r="B26" s="22">
        <v>0</v>
      </c>
      <c r="C26" s="22">
        <v>0</v>
      </c>
      <c r="D26" s="22">
        <v>0</v>
      </c>
      <c r="E26" s="22">
        <v>0</v>
      </c>
      <c r="F26" s="22">
        <v>0</v>
      </c>
      <c r="G26" s="22">
        <v>0</v>
      </c>
      <c r="H26" s="23" t="s">
        <v>71</v>
      </c>
      <c r="I26" s="22"/>
      <c r="J26" s="22">
        <v>0</v>
      </c>
      <c r="K26" s="22">
        <v>4</v>
      </c>
      <c r="L26" s="22">
        <v>0</v>
      </c>
      <c r="M26" s="22">
        <v>0</v>
      </c>
      <c r="N26" s="22">
        <v>0</v>
      </c>
      <c r="O26" s="22">
        <v>0</v>
      </c>
      <c r="P26" s="15">
        <v>30</v>
      </c>
      <c r="Q26" s="22"/>
      <c r="R26" s="29">
        <f t="shared" si="29"/>
        <v>0</v>
      </c>
      <c r="S26" s="29">
        <f t="shared" si="30"/>
        <v>4</v>
      </c>
      <c r="T26" s="29">
        <f t="shared" si="31"/>
        <v>0</v>
      </c>
      <c r="U26" s="29">
        <f t="shared" si="32"/>
        <v>0</v>
      </c>
      <c r="V26" s="29">
        <f t="shared" si="33"/>
        <v>0</v>
      </c>
      <c r="W26" s="29">
        <f t="shared" si="34"/>
        <v>0</v>
      </c>
      <c r="X26" s="15">
        <v>30</v>
      </c>
      <c r="Y26" s="22"/>
      <c r="Z26" s="22">
        <v>0</v>
      </c>
      <c r="AA26" s="22">
        <v>0</v>
      </c>
      <c r="AB26" s="22">
        <v>0</v>
      </c>
      <c r="AC26" s="22">
        <v>0</v>
      </c>
      <c r="AD26" s="22">
        <v>0</v>
      </c>
      <c r="AE26" s="22">
        <v>0</v>
      </c>
      <c r="AF26" s="23" t="s">
        <v>71</v>
      </c>
      <c r="AG26" s="22"/>
      <c r="AH26" s="22">
        <v>1</v>
      </c>
      <c r="AI26" s="22">
        <v>3</v>
      </c>
      <c r="AJ26" s="22">
        <v>0</v>
      </c>
      <c r="AK26" s="22">
        <v>7</v>
      </c>
      <c r="AL26" s="22">
        <v>1</v>
      </c>
      <c r="AM26" s="22">
        <v>0</v>
      </c>
      <c r="AN26" s="23">
        <v>43.666666666666664</v>
      </c>
      <c r="AO26" s="22"/>
      <c r="AP26" s="21">
        <f t="shared" si="35"/>
        <v>1</v>
      </c>
      <c r="AQ26" s="21">
        <f t="shared" si="36"/>
        <v>7</v>
      </c>
      <c r="AR26" s="21">
        <f t="shared" si="37"/>
        <v>0</v>
      </c>
      <c r="AS26" s="21">
        <f t="shared" si="38"/>
        <v>7</v>
      </c>
      <c r="AT26" s="21">
        <f t="shared" si="39"/>
        <v>1</v>
      </c>
      <c r="AU26" s="21">
        <f t="shared" si="40"/>
        <v>0</v>
      </c>
      <c r="AV26" s="15">
        <v>40.25</v>
      </c>
      <c r="AW26" s="17"/>
      <c r="AX26" s="54">
        <f t="shared" si="27"/>
        <v>16</v>
      </c>
      <c r="AY26" s="54">
        <v>16</v>
      </c>
      <c r="AZ26" s="18">
        <f t="shared" si="28"/>
        <v>0</v>
      </c>
      <c r="BA26" s="17"/>
      <c r="BB26" s="17"/>
      <c r="BC26" s="17"/>
      <c r="BD26" s="17"/>
      <c r="BE26" s="17"/>
    </row>
    <row r="27" spans="1:57" s="7" customFormat="1" ht="15" customHeight="1" thickBot="1" x14ac:dyDescent="0.4">
      <c r="A27" s="2" t="s">
        <v>35</v>
      </c>
      <c r="B27" s="22">
        <v>0</v>
      </c>
      <c r="C27" s="22">
        <v>0</v>
      </c>
      <c r="D27" s="22">
        <v>0</v>
      </c>
      <c r="E27" s="22">
        <v>0</v>
      </c>
      <c r="F27" s="22">
        <v>0</v>
      </c>
      <c r="G27" s="22">
        <v>0</v>
      </c>
      <c r="H27" s="23" t="s">
        <v>71</v>
      </c>
      <c r="I27" s="22"/>
      <c r="J27" s="22">
        <v>0</v>
      </c>
      <c r="K27" s="22">
        <v>0</v>
      </c>
      <c r="L27" s="22">
        <v>0</v>
      </c>
      <c r="M27" s="22">
        <v>0</v>
      </c>
      <c r="N27" s="22">
        <v>0</v>
      </c>
      <c r="O27" s="22">
        <v>0</v>
      </c>
      <c r="P27" s="15" t="s">
        <v>71</v>
      </c>
      <c r="Q27" s="22"/>
      <c r="R27" s="29">
        <f t="shared" si="29"/>
        <v>0</v>
      </c>
      <c r="S27" s="29">
        <f t="shared" si="30"/>
        <v>0</v>
      </c>
      <c r="T27" s="29">
        <f t="shared" si="31"/>
        <v>0</v>
      </c>
      <c r="U27" s="29">
        <f t="shared" si="32"/>
        <v>0</v>
      </c>
      <c r="V27" s="29">
        <f t="shared" si="33"/>
        <v>0</v>
      </c>
      <c r="W27" s="29">
        <f t="shared" si="34"/>
        <v>0</v>
      </c>
      <c r="X27" s="15" t="s">
        <v>71</v>
      </c>
      <c r="Y27" s="22"/>
      <c r="Z27" s="22">
        <v>0</v>
      </c>
      <c r="AA27" s="22">
        <v>0</v>
      </c>
      <c r="AB27" s="22">
        <v>0</v>
      </c>
      <c r="AC27" s="22">
        <v>0</v>
      </c>
      <c r="AD27" s="22">
        <v>0</v>
      </c>
      <c r="AE27" s="22">
        <v>0</v>
      </c>
      <c r="AF27" s="23" t="s">
        <v>71</v>
      </c>
      <c r="AG27" s="22"/>
      <c r="AH27" s="22">
        <v>0</v>
      </c>
      <c r="AI27" s="22">
        <v>0</v>
      </c>
      <c r="AJ27" s="22">
        <v>0</v>
      </c>
      <c r="AK27" s="22">
        <v>1</v>
      </c>
      <c r="AL27" s="22">
        <v>0</v>
      </c>
      <c r="AM27" s="22">
        <v>0</v>
      </c>
      <c r="AN27" s="23">
        <v>50.5</v>
      </c>
      <c r="AO27" s="22"/>
      <c r="AP27" s="21">
        <f t="shared" si="35"/>
        <v>0</v>
      </c>
      <c r="AQ27" s="21">
        <f t="shared" si="36"/>
        <v>0</v>
      </c>
      <c r="AR27" s="21">
        <f t="shared" si="37"/>
        <v>0</v>
      </c>
      <c r="AS27" s="21">
        <f t="shared" si="38"/>
        <v>1</v>
      </c>
      <c r="AT27" s="21">
        <f t="shared" si="39"/>
        <v>0</v>
      </c>
      <c r="AU27" s="21">
        <f t="shared" si="40"/>
        <v>0</v>
      </c>
      <c r="AV27" s="15">
        <v>50.5</v>
      </c>
      <c r="AW27" s="17"/>
      <c r="AX27" s="54">
        <f t="shared" si="27"/>
        <v>1</v>
      </c>
      <c r="AY27" s="54">
        <v>1</v>
      </c>
      <c r="AZ27" s="18">
        <f t="shared" si="28"/>
        <v>0</v>
      </c>
      <c r="BA27" s="17"/>
      <c r="BB27" s="17"/>
      <c r="BC27" s="17"/>
      <c r="BD27" s="17"/>
      <c r="BE27" s="17"/>
    </row>
    <row r="28" spans="1:57" s="7" customFormat="1" ht="15" customHeight="1" thickBot="1" x14ac:dyDescent="0.4">
      <c r="A28" s="3" t="s">
        <v>36</v>
      </c>
      <c r="B28" s="22">
        <v>0</v>
      </c>
      <c r="C28" s="22">
        <v>2</v>
      </c>
      <c r="D28" s="22">
        <v>3</v>
      </c>
      <c r="E28" s="22">
        <v>4</v>
      </c>
      <c r="F28" s="22">
        <v>0</v>
      </c>
      <c r="G28" s="22">
        <v>0</v>
      </c>
      <c r="H28" s="23">
        <v>46.5</v>
      </c>
      <c r="I28" s="22"/>
      <c r="J28" s="22">
        <v>5</v>
      </c>
      <c r="K28" s="22">
        <v>9</v>
      </c>
      <c r="L28" s="22">
        <v>0</v>
      </c>
      <c r="M28" s="22">
        <v>2</v>
      </c>
      <c r="N28" s="22">
        <v>0</v>
      </c>
      <c r="O28" s="22">
        <v>0</v>
      </c>
      <c r="P28" s="15">
        <v>28.1875</v>
      </c>
      <c r="Q28" s="22"/>
      <c r="R28" s="29">
        <f t="shared" si="29"/>
        <v>5</v>
      </c>
      <c r="S28" s="29">
        <f t="shared" si="30"/>
        <v>11</v>
      </c>
      <c r="T28" s="29">
        <f t="shared" si="31"/>
        <v>3</v>
      </c>
      <c r="U28" s="29">
        <f t="shared" si="32"/>
        <v>6</v>
      </c>
      <c r="V28" s="29">
        <f t="shared" si="33"/>
        <v>0</v>
      </c>
      <c r="W28" s="29">
        <f t="shared" si="34"/>
        <v>0</v>
      </c>
      <c r="X28" s="15">
        <v>32.547619047619044</v>
      </c>
      <c r="Y28" s="22"/>
      <c r="Z28" s="22">
        <v>0</v>
      </c>
      <c r="AA28" s="22">
        <v>3</v>
      </c>
      <c r="AB28" s="22">
        <v>0</v>
      </c>
      <c r="AC28" s="22">
        <v>0</v>
      </c>
      <c r="AD28" s="22">
        <v>0</v>
      </c>
      <c r="AE28" s="22">
        <v>0</v>
      </c>
      <c r="AF28" s="23">
        <v>30</v>
      </c>
      <c r="AG28" s="22"/>
      <c r="AH28" s="22">
        <v>5</v>
      </c>
      <c r="AI28" s="22">
        <v>10</v>
      </c>
      <c r="AJ28" s="22">
        <v>5</v>
      </c>
      <c r="AK28" s="22">
        <v>6</v>
      </c>
      <c r="AL28" s="22">
        <v>5</v>
      </c>
      <c r="AM28" s="22">
        <v>0</v>
      </c>
      <c r="AN28" s="23">
        <v>39.666666666666664</v>
      </c>
      <c r="AO28" s="22"/>
      <c r="AP28" s="21">
        <f>AH28+Z28+R28</f>
        <v>10</v>
      </c>
      <c r="AQ28" s="21">
        <f t="shared" si="36"/>
        <v>24</v>
      </c>
      <c r="AR28" s="21">
        <f t="shared" si="37"/>
        <v>8</v>
      </c>
      <c r="AS28" s="21">
        <f t="shared" si="38"/>
        <v>12</v>
      </c>
      <c r="AT28" s="21">
        <f t="shared" si="39"/>
        <v>5</v>
      </c>
      <c r="AU28" s="21">
        <f t="shared" si="40"/>
        <v>0</v>
      </c>
      <c r="AV28" s="15">
        <v>36.535087719298247</v>
      </c>
      <c r="AW28" s="17"/>
      <c r="AX28" s="54">
        <f t="shared" si="27"/>
        <v>59</v>
      </c>
      <c r="AY28" s="54">
        <v>59</v>
      </c>
      <c r="AZ28" s="18">
        <f t="shared" si="28"/>
        <v>0</v>
      </c>
      <c r="BA28" s="17"/>
      <c r="BB28" s="17"/>
      <c r="BC28" s="17"/>
      <c r="BD28" s="17"/>
      <c r="BE28" s="17"/>
    </row>
    <row r="29" spans="1:57" s="7" customFormat="1" ht="15" customHeight="1" thickBot="1" x14ac:dyDescent="0.4">
      <c r="A29" s="3" t="s">
        <v>37</v>
      </c>
      <c r="B29" s="22">
        <v>0</v>
      </c>
      <c r="C29" s="22">
        <v>0</v>
      </c>
      <c r="D29" s="22">
        <v>0</v>
      </c>
      <c r="E29" s="22">
        <v>0</v>
      </c>
      <c r="F29" s="22">
        <v>0</v>
      </c>
      <c r="G29" s="22">
        <v>0</v>
      </c>
      <c r="H29" s="23" t="s">
        <v>71</v>
      </c>
      <c r="I29" s="22"/>
      <c r="J29" s="22">
        <v>15</v>
      </c>
      <c r="K29" s="22">
        <v>30</v>
      </c>
      <c r="L29" s="22">
        <v>9</v>
      </c>
      <c r="M29" s="22">
        <v>4</v>
      </c>
      <c r="N29" s="22">
        <v>0</v>
      </c>
      <c r="O29" s="22">
        <v>0</v>
      </c>
      <c r="P29" s="15">
        <v>30.456896551724139</v>
      </c>
      <c r="Q29" s="22"/>
      <c r="R29" s="29">
        <f t="shared" si="29"/>
        <v>15</v>
      </c>
      <c r="S29" s="29">
        <f t="shared" si="30"/>
        <v>30</v>
      </c>
      <c r="T29" s="29">
        <f t="shared" si="31"/>
        <v>9</v>
      </c>
      <c r="U29" s="29">
        <f t="shared" si="32"/>
        <v>4</v>
      </c>
      <c r="V29" s="29">
        <f t="shared" si="33"/>
        <v>0</v>
      </c>
      <c r="W29" s="29">
        <f t="shared" si="34"/>
        <v>0</v>
      </c>
      <c r="X29" s="15">
        <v>30.456896551724139</v>
      </c>
      <c r="Y29" s="22"/>
      <c r="Z29" s="22">
        <v>0</v>
      </c>
      <c r="AA29" s="22">
        <v>0</v>
      </c>
      <c r="AB29" s="22">
        <v>0</v>
      </c>
      <c r="AC29" s="22">
        <v>0</v>
      </c>
      <c r="AD29" s="22">
        <v>0</v>
      </c>
      <c r="AE29" s="22">
        <v>0</v>
      </c>
      <c r="AF29" s="23" t="s">
        <v>71</v>
      </c>
      <c r="AG29" s="22"/>
      <c r="AH29" s="22">
        <v>4</v>
      </c>
      <c r="AI29" s="22">
        <v>7</v>
      </c>
      <c r="AJ29" s="22">
        <v>4</v>
      </c>
      <c r="AK29" s="22">
        <v>6</v>
      </c>
      <c r="AL29" s="22">
        <v>2</v>
      </c>
      <c r="AM29" s="22">
        <v>0</v>
      </c>
      <c r="AN29" s="23">
        <v>38.086956521739125</v>
      </c>
      <c r="AO29" s="22"/>
      <c r="AP29" s="21">
        <f t="shared" ref="AP29:AP45" si="41">AH29+Z29+R29</f>
        <v>19</v>
      </c>
      <c r="AQ29" s="21">
        <f t="shared" ref="AQ29:AQ45" si="42">AI29+AA29+S29</f>
        <v>37</v>
      </c>
      <c r="AR29" s="21">
        <f t="shared" ref="AR29:AR45" si="43">AJ29+AB29+T29</f>
        <v>13</v>
      </c>
      <c r="AS29" s="21">
        <f t="shared" ref="AS29:AS45" si="44">AK29+AC29+U29</f>
        <v>10</v>
      </c>
      <c r="AT29" s="21">
        <f t="shared" ref="AT29:AT45" si="45">AL29+AD29+V29</f>
        <v>2</v>
      </c>
      <c r="AU29" s="21">
        <f t="shared" ref="AU29:AU45" si="46">AM29+AE29+W29</f>
        <v>0</v>
      </c>
      <c r="AV29" s="15">
        <v>32.623456790123456</v>
      </c>
      <c r="AW29" s="17"/>
      <c r="AX29" s="54">
        <f t="shared" si="27"/>
        <v>81</v>
      </c>
      <c r="AY29" s="54">
        <v>81</v>
      </c>
      <c r="AZ29" s="18">
        <f t="shared" si="28"/>
        <v>0</v>
      </c>
      <c r="BA29" s="17"/>
      <c r="BB29" s="17"/>
      <c r="BC29" s="17"/>
      <c r="BD29" s="17"/>
      <c r="BE29" s="17"/>
    </row>
    <row r="30" spans="1:57" s="7" customFormat="1" ht="15" customHeight="1" thickBot="1" x14ac:dyDescent="0.4">
      <c r="A30" s="2" t="s">
        <v>38</v>
      </c>
      <c r="B30" s="22">
        <v>0</v>
      </c>
      <c r="C30" s="22">
        <v>0</v>
      </c>
      <c r="D30" s="22">
        <v>0</v>
      </c>
      <c r="E30" s="22">
        <v>0</v>
      </c>
      <c r="F30" s="22">
        <v>0</v>
      </c>
      <c r="G30" s="22">
        <v>0</v>
      </c>
      <c r="H30" s="23" t="s">
        <v>71</v>
      </c>
      <c r="I30" s="22"/>
      <c r="J30" s="22">
        <v>3</v>
      </c>
      <c r="K30" s="22">
        <v>11</v>
      </c>
      <c r="L30" s="22">
        <v>4</v>
      </c>
      <c r="M30" s="22">
        <v>1</v>
      </c>
      <c r="N30" s="22">
        <v>1</v>
      </c>
      <c r="O30" s="22">
        <v>0</v>
      </c>
      <c r="P30" s="15">
        <v>33.15</v>
      </c>
      <c r="Q30" s="22"/>
      <c r="R30" s="29">
        <f t="shared" si="29"/>
        <v>3</v>
      </c>
      <c r="S30" s="29">
        <f t="shared" si="30"/>
        <v>11</v>
      </c>
      <c r="T30" s="29">
        <f t="shared" si="31"/>
        <v>4</v>
      </c>
      <c r="U30" s="29">
        <f t="shared" si="32"/>
        <v>1</v>
      </c>
      <c r="V30" s="29">
        <f t="shared" si="33"/>
        <v>1</v>
      </c>
      <c r="W30" s="29">
        <f t="shared" si="34"/>
        <v>0</v>
      </c>
      <c r="X30" s="15">
        <v>33.15</v>
      </c>
      <c r="Y30" s="22"/>
      <c r="Z30" s="22">
        <v>0</v>
      </c>
      <c r="AA30" s="22">
        <v>1</v>
      </c>
      <c r="AB30" s="22">
        <v>3</v>
      </c>
      <c r="AC30" s="22">
        <v>0</v>
      </c>
      <c r="AD30" s="22">
        <v>0</v>
      </c>
      <c r="AE30" s="22">
        <v>0</v>
      </c>
      <c r="AF30" s="23">
        <v>37.875</v>
      </c>
      <c r="AG30" s="22"/>
      <c r="AH30" s="22">
        <v>0</v>
      </c>
      <c r="AI30" s="22">
        <v>2</v>
      </c>
      <c r="AJ30" s="22">
        <v>3</v>
      </c>
      <c r="AK30" s="22">
        <v>3</v>
      </c>
      <c r="AL30" s="22">
        <v>0</v>
      </c>
      <c r="AM30" s="22">
        <v>1</v>
      </c>
      <c r="AN30" s="23">
        <v>41.625</v>
      </c>
      <c r="AO30" s="22"/>
      <c r="AP30" s="21">
        <f t="shared" si="41"/>
        <v>3</v>
      </c>
      <c r="AQ30" s="21">
        <f t="shared" si="42"/>
        <v>14</v>
      </c>
      <c r="AR30" s="21">
        <f t="shared" si="43"/>
        <v>10</v>
      </c>
      <c r="AS30" s="21">
        <f t="shared" si="44"/>
        <v>4</v>
      </c>
      <c r="AT30" s="21">
        <f t="shared" si="45"/>
        <v>1</v>
      </c>
      <c r="AU30" s="21">
        <f t="shared" si="46"/>
        <v>1</v>
      </c>
      <c r="AV30" s="15">
        <v>35.859375</v>
      </c>
      <c r="AW30" s="17"/>
      <c r="AX30" s="54">
        <f t="shared" si="27"/>
        <v>33</v>
      </c>
      <c r="AY30" s="54">
        <v>33</v>
      </c>
      <c r="AZ30" s="18">
        <f t="shared" si="28"/>
        <v>0</v>
      </c>
      <c r="BA30" s="17"/>
      <c r="BB30" s="17"/>
      <c r="BC30" s="17"/>
      <c r="BD30" s="17"/>
      <c r="BE30" s="17"/>
    </row>
    <row r="31" spans="1:57" s="7" customFormat="1" ht="15" customHeight="1" thickBot="1" x14ac:dyDescent="0.4">
      <c r="A31" s="3" t="s">
        <v>39</v>
      </c>
      <c r="B31" s="22">
        <v>0</v>
      </c>
      <c r="C31" s="22">
        <v>0</v>
      </c>
      <c r="D31" s="22">
        <v>0</v>
      </c>
      <c r="E31" s="22">
        <v>0</v>
      </c>
      <c r="F31" s="22">
        <v>0</v>
      </c>
      <c r="G31" s="22">
        <v>0</v>
      </c>
      <c r="H31" s="23" t="s">
        <v>71</v>
      </c>
      <c r="I31" s="22"/>
      <c r="J31" s="22">
        <v>21</v>
      </c>
      <c r="K31" s="22">
        <v>29</v>
      </c>
      <c r="L31" s="22">
        <v>9</v>
      </c>
      <c r="M31" s="22">
        <v>3</v>
      </c>
      <c r="N31" s="22">
        <v>0</v>
      </c>
      <c r="O31" s="22">
        <v>0</v>
      </c>
      <c r="P31" s="15">
        <v>29.129032258064512</v>
      </c>
      <c r="Q31" s="22"/>
      <c r="R31" s="29">
        <f t="shared" si="29"/>
        <v>21</v>
      </c>
      <c r="S31" s="29">
        <f t="shared" si="30"/>
        <v>29</v>
      </c>
      <c r="T31" s="29">
        <f t="shared" si="31"/>
        <v>9</v>
      </c>
      <c r="U31" s="29">
        <f t="shared" si="32"/>
        <v>3</v>
      </c>
      <c r="V31" s="29">
        <f t="shared" si="33"/>
        <v>0</v>
      </c>
      <c r="W31" s="29">
        <f t="shared" si="34"/>
        <v>0</v>
      </c>
      <c r="X31" s="15">
        <v>29.129032258064512</v>
      </c>
      <c r="Y31" s="22"/>
      <c r="Z31" s="22">
        <v>1</v>
      </c>
      <c r="AA31" s="22">
        <v>0</v>
      </c>
      <c r="AB31" s="22">
        <v>0</v>
      </c>
      <c r="AC31" s="22">
        <v>0</v>
      </c>
      <c r="AD31" s="22">
        <v>0</v>
      </c>
      <c r="AE31" s="22">
        <v>0</v>
      </c>
      <c r="AF31" s="23">
        <v>20</v>
      </c>
      <c r="AG31" s="22"/>
      <c r="AH31" s="22">
        <v>0</v>
      </c>
      <c r="AI31" s="22">
        <v>0</v>
      </c>
      <c r="AJ31" s="22">
        <v>1</v>
      </c>
      <c r="AK31" s="22">
        <v>1</v>
      </c>
      <c r="AL31" s="22">
        <v>1</v>
      </c>
      <c r="AM31" s="22">
        <v>0</v>
      </c>
      <c r="AN31" s="23">
        <v>50.5</v>
      </c>
      <c r="AO31" s="22"/>
      <c r="AP31" s="21">
        <f t="shared" si="41"/>
        <v>22</v>
      </c>
      <c r="AQ31" s="21">
        <f t="shared" si="42"/>
        <v>29</v>
      </c>
      <c r="AR31" s="21">
        <f t="shared" si="43"/>
        <v>10</v>
      </c>
      <c r="AS31" s="21">
        <f t="shared" si="44"/>
        <v>4</v>
      </c>
      <c r="AT31" s="21">
        <f t="shared" si="45"/>
        <v>1</v>
      </c>
      <c r="AU31" s="21">
        <f t="shared" si="46"/>
        <v>0</v>
      </c>
      <c r="AV31" s="15">
        <v>29.962121212121215</v>
      </c>
      <c r="AW31" s="17"/>
      <c r="AX31" s="54">
        <f t="shared" si="27"/>
        <v>66</v>
      </c>
      <c r="AY31" s="54">
        <v>66</v>
      </c>
      <c r="AZ31" s="18">
        <f t="shared" si="28"/>
        <v>0</v>
      </c>
      <c r="BA31" s="17"/>
      <c r="BB31" s="17"/>
      <c r="BC31" s="17"/>
      <c r="BD31" s="17"/>
      <c r="BE31" s="17"/>
    </row>
    <row r="32" spans="1:57" s="7" customFormat="1" ht="15" customHeight="1" thickBot="1" x14ac:dyDescent="0.4">
      <c r="A32" s="3" t="s">
        <v>40</v>
      </c>
      <c r="B32" s="22">
        <v>0</v>
      </c>
      <c r="C32" s="22">
        <v>2</v>
      </c>
      <c r="D32" s="22">
        <v>1</v>
      </c>
      <c r="E32" s="22">
        <v>1</v>
      </c>
      <c r="F32" s="22">
        <v>0</v>
      </c>
      <c r="G32" s="22">
        <v>0</v>
      </c>
      <c r="H32" s="23">
        <v>37.75</v>
      </c>
      <c r="I32" s="22"/>
      <c r="J32" s="22">
        <v>10</v>
      </c>
      <c r="K32" s="22">
        <v>20</v>
      </c>
      <c r="L32" s="22">
        <v>4</v>
      </c>
      <c r="M32" s="22">
        <v>5</v>
      </c>
      <c r="N32" s="22">
        <v>0</v>
      </c>
      <c r="O32" s="22">
        <v>0</v>
      </c>
      <c r="P32" s="15">
        <v>31.141025641025639</v>
      </c>
      <c r="Q32" s="22"/>
      <c r="R32" s="29">
        <f t="shared" si="29"/>
        <v>10</v>
      </c>
      <c r="S32" s="29">
        <f t="shared" si="30"/>
        <v>22</v>
      </c>
      <c r="T32" s="29">
        <f t="shared" si="31"/>
        <v>5</v>
      </c>
      <c r="U32" s="29">
        <f t="shared" si="32"/>
        <v>6</v>
      </c>
      <c r="V32" s="29">
        <f t="shared" si="33"/>
        <v>0</v>
      </c>
      <c r="W32" s="29">
        <f t="shared" si="34"/>
        <v>0</v>
      </c>
      <c r="X32" s="15">
        <v>31.755813953488374</v>
      </c>
      <c r="Y32" s="22"/>
      <c r="Z32" s="22">
        <v>0</v>
      </c>
      <c r="AA32" s="22">
        <v>0</v>
      </c>
      <c r="AB32" s="22">
        <v>0</v>
      </c>
      <c r="AC32" s="22">
        <v>1</v>
      </c>
      <c r="AD32" s="22">
        <v>0</v>
      </c>
      <c r="AE32" s="22">
        <v>0</v>
      </c>
      <c r="AF32" s="23">
        <v>50.5</v>
      </c>
      <c r="AG32" s="22"/>
      <c r="AH32" s="22">
        <v>0</v>
      </c>
      <c r="AI32" s="22">
        <v>3</v>
      </c>
      <c r="AJ32" s="22">
        <v>4</v>
      </c>
      <c r="AK32" s="22">
        <v>4</v>
      </c>
      <c r="AL32" s="22">
        <v>1</v>
      </c>
      <c r="AM32" s="22">
        <v>0</v>
      </c>
      <c r="AN32" s="23">
        <v>42.874999999999993</v>
      </c>
      <c r="AO32" s="22"/>
      <c r="AP32" s="21">
        <f t="shared" si="41"/>
        <v>10</v>
      </c>
      <c r="AQ32" s="21">
        <f t="shared" si="42"/>
        <v>25</v>
      </c>
      <c r="AR32" s="21">
        <f t="shared" si="43"/>
        <v>9</v>
      </c>
      <c r="AS32" s="21">
        <f t="shared" si="44"/>
        <v>11</v>
      </c>
      <c r="AT32" s="21">
        <f t="shared" si="45"/>
        <v>1</v>
      </c>
      <c r="AU32" s="21">
        <f t="shared" si="46"/>
        <v>0</v>
      </c>
      <c r="AV32" s="15">
        <v>34.473214285714292</v>
      </c>
      <c r="AW32" s="17"/>
      <c r="AX32" s="54">
        <f t="shared" si="27"/>
        <v>56</v>
      </c>
      <c r="AY32" s="54">
        <v>56</v>
      </c>
      <c r="AZ32" s="18">
        <f t="shared" si="28"/>
        <v>0</v>
      </c>
      <c r="BA32" s="17"/>
      <c r="BB32" s="17"/>
      <c r="BC32" s="17"/>
      <c r="BD32" s="17"/>
      <c r="BE32" s="17"/>
    </row>
    <row r="33" spans="1:57" s="7" customFormat="1" ht="15" customHeight="1" thickBot="1" x14ac:dyDescent="0.4">
      <c r="A33" s="2" t="s">
        <v>41</v>
      </c>
      <c r="B33" s="22">
        <v>0</v>
      </c>
      <c r="C33" s="22">
        <v>0</v>
      </c>
      <c r="D33" s="22">
        <v>0</v>
      </c>
      <c r="E33" s="22">
        <v>0</v>
      </c>
      <c r="F33" s="22">
        <v>0</v>
      </c>
      <c r="G33" s="22">
        <v>0</v>
      </c>
      <c r="H33" s="23" t="s">
        <v>71</v>
      </c>
      <c r="I33" s="22"/>
      <c r="J33" s="22">
        <v>0</v>
      </c>
      <c r="K33" s="22">
        <v>0</v>
      </c>
      <c r="L33" s="22">
        <v>0</v>
      </c>
      <c r="M33" s="22">
        <v>0</v>
      </c>
      <c r="N33" s="22">
        <v>0</v>
      </c>
      <c r="O33" s="22">
        <v>0</v>
      </c>
      <c r="P33" s="15" t="s">
        <v>71</v>
      </c>
      <c r="Q33" s="22"/>
      <c r="R33" s="29">
        <f t="shared" si="29"/>
        <v>0</v>
      </c>
      <c r="S33" s="29">
        <f t="shared" si="30"/>
        <v>0</v>
      </c>
      <c r="T33" s="29">
        <f t="shared" si="31"/>
        <v>0</v>
      </c>
      <c r="U33" s="29">
        <f t="shared" si="32"/>
        <v>0</v>
      </c>
      <c r="V33" s="29">
        <f t="shared" si="33"/>
        <v>0</v>
      </c>
      <c r="W33" s="29">
        <f t="shared" si="34"/>
        <v>0</v>
      </c>
      <c r="X33" s="15" t="s">
        <v>71</v>
      </c>
      <c r="Y33" s="22"/>
      <c r="Z33" s="22">
        <v>0</v>
      </c>
      <c r="AA33" s="22">
        <v>0</v>
      </c>
      <c r="AB33" s="22">
        <v>0</v>
      </c>
      <c r="AC33" s="22">
        <v>0</v>
      </c>
      <c r="AD33" s="22">
        <v>0</v>
      </c>
      <c r="AE33" s="22">
        <v>0</v>
      </c>
      <c r="AF33" s="23" t="s">
        <v>71</v>
      </c>
      <c r="AG33" s="22"/>
      <c r="AH33" s="22">
        <v>0</v>
      </c>
      <c r="AI33" s="22">
        <v>0</v>
      </c>
      <c r="AJ33" s="22">
        <v>0</v>
      </c>
      <c r="AK33" s="22">
        <v>0</v>
      </c>
      <c r="AL33" s="22">
        <v>0</v>
      </c>
      <c r="AM33" s="22">
        <v>0</v>
      </c>
      <c r="AN33" s="23" t="s">
        <v>71</v>
      </c>
      <c r="AO33" s="22"/>
      <c r="AP33" s="21">
        <f t="shared" si="41"/>
        <v>0</v>
      </c>
      <c r="AQ33" s="21">
        <f t="shared" si="42"/>
        <v>0</v>
      </c>
      <c r="AR33" s="21">
        <f t="shared" si="43"/>
        <v>0</v>
      </c>
      <c r="AS33" s="21">
        <f t="shared" si="44"/>
        <v>0</v>
      </c>
      <c r="AT33" s="21">
        <f t="shared" si="45"/>
        <v>0</v>
      </c>
      <c r="AU33" s="21">
        <f t="shared" si="46"/>
        <v>0</v>
      </c>
      <c r="AV33" s="15" t="s">
        <v>71</v>
      </c>
      <c r="AW33" s="17"/>
      <c r="AX33" s="54">
        <f t="shared" si="27"/>
        <v>0</v>
      </c>
      <c r="AY33" s="54">
        <v>0</v>
      </c>
      <c r="AZ33" s="18">
        <f t="shared" si="28"/>
        <v>0</v>
      </c>
      <c r="BA33" s="17"/>
      <c r="BB33" s="17"/>
      <c r="BC33" s="17"/>
      <c r="BD33" s="17"/>
      <c r="BE33" s="17"/>
    </row>
    <row r="34" spans="1:57" s="7" customFormat="1" ht="15" customHeight="1" thickBot="1" x14ac:dyDescent="0.4">
      <c r="A34" s="3" t="s">
        <v>42</v>
      </c>
      <c r="B34" s="22">
        <v>0</v>
      </c>
      <c r="C34" s="22">
        <v>0</v>
      </c>
      <c r="D34" s="22">
        <v>0</v>
      </c>
      <c r="E34" s="22">
        <v>0</v>
      </c>
      <c r="F34" s="22">
        <v>0</v>
      </c>
      <c r="G34" s="22">
        <v>0</v>
      </c>
      <c r="H34" s="23" t="s">
        <v>71</v>
      </c>
      <c r="I34" s="22"/>
      <c r="J34" s="22">
        <v>0</v>
      </c>
      <c r="K34" s="22">
        <v>0</v>
      </c>
      <c r="L34" s="22">
        <v>0</v>
      </c>
      <c r="M34" s="22">
        <v>0</v>
      </c>
      <c r="N34" s="22">
        <v>0</v>
      </c>
      <c r="O34" s="22">
        <v>0</v>
      </c>
      <c r="P34" s="15" t="s">
        <v>71</v>
      </c>
      <c r="Q34" s="22"/>
      <c r="R34" s="29">
        <f t="shared" si="29"/>
        <v>0</v>
      </c>
      <c r="S34" s="29">
        <f t="shared" si="30"/>
        <v>0</v>
      </c>
      <c r="T34" s="29">
        <f t="shared" si="31"/>
        <v>0</v>
      </c>
      <c r="U34" s="29">
        <f t="shared" si="32"/>
        <v>0</v>
      </c>
      <c r="V34" s="29">
        <f t="shared" si="33"/>
        <v>0</v>
      </c>
      <c r="W34" s="29">
        <f t="shared" si="34"/>
        <v>0</v>
      </c>
      <c r="X34" s="15" t="s">
        <v>71</v>
      </c>
      <c r="Y34" s="22"/>
      <c r="Z34" s="22">
        <v>0</v>
      </c>
      <c r="AA34" s="22">
        <v>0</v>
      </c>
      <c r="AB34" s="22">
        <v>0</v>
      </c>
      <c r="AC34" s="22">
        <v>0</v>
      </c>
      <c r="AD34" s="22">
        <v>0</v>
      </c>
      <c r="AE34" s="22">
        <v>0</v>
      </c>
      <c r="AF34" s="23" t="s">
        <v>71</v>
      </c>
      <c r="AG34" s="22"/>
      <c r="AH34" s="22">
        <v>0</v>
      </c>
      <c r="AI34" s="22">
        <v>0</v>
      </c>
      <c r="AJ34" s="22">
        <v>0</v>
      </c>
      <c r="AK34" s="22">
        <v>0</v>
      </c>
      <c r="AL34" s="22">
        <v>0</v>
      </c>
      <c r="AM34" s="22">
        <v>0</v>
      </c>
      <c r="AN34" s="23" t="s">
        <v>71</v>
      </c>
      <c r="AO34" s="22"/>
      <c r="AP34" s="21">
        <f t="shared" si="41"/>
        <v>0</v>
      </c>
      <c r="AQ34" s="21">
        <f t="shared" si="42"/>
        <v>0</v>
      </c>
      <c r="AR34" s="21">
        <f t="shared" si="43"/>
        <v>0</v>
      </c>
      <c r="AS34" s="21">
        <f t="shared" si="44"/>
        <v>0</v>
      </c>
      <c r="AT34" s="21">
        <f t="shared" si="45"/>
        <v>0</v>
      </c>
      <c r="AU34" s="21">
        <f t="shared" si="46"/>
        <v>0</v>
      </c>
      <c r="AV34" s="15" t="s">
        <v>71</v>
      </c>
      <c r="AW34" s="17"/>
      <c r="AX34" s="54">
        <f t="shared" si="27"/>
        <v>0</v>
      </c>
      <c r="AY34" s="54">
        <v>0</v>
      </c>
      <c r="AZ34" s="18">
        <f t="shared" si="28"/>
        <v>0</v>
      </c>
      <c r="BA34" s="17"/>
      <c r="BB34" s="17"/>
      <c r="BC34" s="17"/>
      <c r="BD34" s="17"/>
      <c r="BE34" s="17"/>
    </row>
    <row r="35" spans="1:57" s="7" customFormat="1" ht="15" customHeight="1" thickBot="1" x14ac:dyDescent="0.4">
      <c r="A35" s="3" t="s">
        <v>43</v>
      </c>
      <c r="B35" s="22">
        <v>0</v>
      </c>
      <c r="C35" s="22">
        <v>1</v>
      </c>
      <c r="D35" s="22">
        <v>2</v>
      </c>
      <c r="E35" s="22">
        <v>1</v>
      </c>
      <c r="F35" s="22">
        <v>0</v>
      </c>
      <c r="G35" s="22">
        <v>0</v>
      </c>
      <c r="H35" s="23">
        <v>40.375</v>
      </c>
      <c r="I35" s="22"/>
      <c r="J35" s="22">
        <v>2</v>
      </c>
      <c r="K35" s="22">
        <v>4</v>
      </c>
      <c r="L35" s="22">
        <v>2</v>
      </c>
      <c r="M35" s="22">
        <v>2</v>
      </c>
      <c r="N35" s="22">
        <v>1</v>
      </c>
      <c r="O35" s="22">
        <v>0</v>
      </c>
      <c r="P35" s="15">
        <v>36.590909090909093</v>
      </c>
      <c r="Q35" s="22"/>
      <c r="R35" s="29">
        <f t="shared" si="29"/>
        <v>2</v>
      </c>
      <c r="S35" s="29">
        <f t="shared" si="30"/>
        <v>5</v>
      </c>
      <c r="T35" s="29">
        <f t="shared" si="31"/>
        <v>4</v>
      </c>
      <c r="U35" s="29">
        <f t="shared" si="32"/>
        <v>3</v>
      </c>
      <c r="V35" s="29">
        <f t="shared" si="33"/>
        <v>1</v>
      </c>
      <c r="W35" s="29">
        <f t="shared" si="34"/>
        <v>0</v>
      </c>
      <c r="X35" s="15">
        <v>37.6</v>
      </c>
      <c r="Y35" s="22"/>
      <c r="Z35" s="22">
        <v>0</v>
      </c>
      <c r="AA35" s="22">
        <v>0</v>
      </c>
      <c r="AB35" s="22">
        <v>0</v>
      </c>
      <c r="AC35" s="22">
        <v>0</v>
      </c>
      <c r="AD35" s="22">
        <v>0</v>
      </c>
      <c r="AE35" s="22">
        <v>0</v>
      </c>
      <c r="AF35" s="23" t="s">
        <v>71</v>
      </c>
      <c r="AG35" s="22"/>
      <c r="AH35" s="22">
        <v>2</v>
      </c>
      <c r="AI35" s="22">
        <v>1</v>
      </c>
      <c r="AJ35" s="22">
        <v>2</v>
      </c>
      <c r="AK35" s="22">
        <v>4</v>
      </c>
      <c r="AL35" s="22">
        <v>0</v>
      </c>
      <c r="AM35" s="22">
        <v>0</v>
      </c>
      <c r="AN35" s="23">
        <v>39.222222222222221</v>
      </c>
      <c r="AO35" s="22"/>
      <c r="AP35" s="21">
        <f t="shared" si="41"/>
        <v>4</v>
      </c>
      <c r="AQ35" s="21">
        <f t="shared" si="42"/>
        <v>6</v>
      </c>
      <c r="AR35" s="21">
        <f t="shared" si="43"/>
        <v>6</v>
      </c>
      <c r="AS35" s="21">
        <f t="shared" si="44"/>
        <v>7</v>
      </c>
      <c r="AT35" s="21">
        <f t="shared" si="45"/>
        <v>1</v>
      </c>
      <c r="AU35" s="21">
        <f t="shared" si="46"/>
        <v>0</v>
      </c>
      <c r="AV35" s="15">
        <v>38.208333333333336</v>
      </c>
      <c r="AW35" s="17"/>
      <c r="AX35" s="54">
        <f t="shared" si="27"/>
        <v>24</v>
      </c>
      <c r="AY35" s="54">
        <v>24</v>
      </c>
      <c r="AZ35" s="18">
        <f t="shared" si="28"/>
        <v>0</v>
      </c>
      <c r="BA35" s="17"/>
      <c r="BB35" s="17"/>
      <c r="BC35" s="17"/>
      <c r="BD35" s="17"/>
      <c r="BE35" s="17"/>
    </row>
    <row r="36" spans="1:57" s="7" customFormat="1" ht="15" customHeight="1" thickBot="1" x14ac:dyDescent="0.4">
      <c r="A36" s="3" t="s">
        <v>44</v>
      </c>
      <c r="B36" s="22">
        <v>2</v>
      </c>
      <c r="C36" s="22">
        <v>3</v>
      </c>
      <c r="D36" s="22">
        <v>0</v>
      </c>
      <c r="E36" s="22">
        <v>0</v>
      </c>
      <c r="F36" s="22">
        <v>0</v>
      </c>
      <c r="G36" s="22">
        <v>0</v>
      </c>
      <c r="H36" s="23">
        <v>26</v>
      </c>
      <c r="I36" s="22"/>
      <c r="J36" s="22">
        <v>6</v>
      </c>
      <c r="K36" s="22">
        <v>4</v>
      </c>
      <c r="L36" s="22">
        <v>1</v>
      </c>
      <c r="M36" s="22">
        <v>0</v>
      </c>
      <c r="N36" s="22">
        <v>0</v>
      </c>
      <c r="O36" s="22">
        <v>0</v>
      </c>
      <c r="P36" s="15">
        <v>25.500000000000004</v>
      </c>
      <c r="Q36" s="22"/>
      <c r="R36" s="29">
        <f t="shared" si="29"/>
        <v>8</v>
      </c>
      <c r="S36" s="29">
        <f t="shared" si="30"/>
        <v>7</v>
      </c>
      <c r="T36" s="29">
        <f t="shared" si="31"/>
        <v>1</v>
      </c>
      <c r="U36" s="29">
        <f t="shared" si="32"/>
        <v>0</v>
      </c>
      <c r="V36" s="29">
        <f t="shared" si="33"/>
        <v>0</v>
      </c>
      <c r="W36" s="29">
        <f t="shared" si="34"/>
        <v>0</v>
      </c>
      <c r="X36" s="15">
        <v>25.65625</v>
      </c>
      <c r="Y36" s="22"/>
      <c r="Z36" s="22">
        <v>0</v>
      </c>
      <c r="AA36" s="22">
        <v>0</v>
      </c>
      <c r="AB36" s="22">
        <v>0</v>
      </c>
      <c r="AC36" s="22">
        <v>0</v>
      </c>
      <c r="AD36" s="22">
        <v>0</v>
      </c>
      <c r="AE36" s="22">
        <v>0</v>
      </c>
      <c r="AF36" s="23" t="s">
        <v>71</v>
      </c>
      <c r="AG36" s="22"/>
      <c r="AH36" s="22">
        <v>0</v>
      </c>
      <c r="AI36" s="22">
        <v>0</v>
      </c>
      <c r="AJ36" s="22">
        <v>0</v>
      </c>
      <c r="AK36" s="22">
        <v>0</v>
      </c>
      <c r="AL36" s="22">
        <v>1</v>
      </c>
      <c r="AM36" s="22">
        <v>0</v>
      </c>
      <c r="AN36" s="23">
        <v>60.5</v>
      </c>
      <c r="AO36" s="22"/>
      <c r="AP36" s="21">
        <f t="shared" si="41"/>
        <v>8</v>
      </c>
      <c r="AQ36" s="21">
        <f t="shared" si="42"/>
        <v>7</v>
      </c>
      <c r="AR36" s="21">
        <f t="shared" si="43"/>
        <v>1</v>
      </c>
      <c r="AS36" s="21">
        <f t="shared" si="44"/>
        <v>0</v>
      </c>
      <c r="AT36" s="21">
        <f t="shared" si="45"/>
        <v>1</v>
      </c>
      <c r="AU36" s="21">
        <f t="shared" si="46"/>
        <v>0</v>
      </c>
      <c r="AV36" s="15">
        <v>27.705882352941178</v>
      </c>
      <c r="AW36" s="17"/>
      <c r="AX36" s="54">
        <f t="shared" si="27"/>
        <v>17</v>
      </c>
      <c r="AY36" s="54">
        <v>17</v>
      </c>
      <c r="AZ36" s="18">
        <f t="shared" si="28"/>
        <v>0</v>
      </c>
      <c r="BA36" s="17"/>
      <c r="BB36" s="17"/>
      <c r="BC36" s="17"/>
      <c r="BD36" s="17"/>
      <c r="BE36" s="17"/>
    </row>
    <row r="37" spans="1:57" s="7" customFormat="1" ht="15" customHeight="1" thickBot="1" x14ac:dyDescent="0.4">
      <c r="A37" s="2" t="s">
        <v>45</v>
      </c>
      <c r="B37" s="22">
        <v>0</v>
      </c>
      <c r="C37" s="22">
        <v>0</v>
      </c>
      <c r="D37" s="22">
        <v>1</v>
      </c>
      <c r="E37" s="22">
        <v>0</v>
      </c>
      <c r="F37" s="22">
        <v>0</v>
      </c>
      <c r="G37" s="22">
        <v>0</v>
      </c>
      <c r="H37" s="23">
        <v>40.5</v>
      </c>
      <c r="I37" s="22"/>
      <c r="J37" s="22">
        <v>11</v>
      </c>
      <c r="K37" s="22">
        <v>12</v>
      </c>
      <c r="L37" s="22">
        <v>3</v>
      </c>
      <c r="M37" s="22">
        <v>4</v>
      </c>
      <c r="N37" s="22">
        <v>0</v>
      </c>
      <c r="O37" s="22">
        <v>0</v>
      </c>
      <c r="P37" s="15">
        <v>30.116666666666667</v>
      </c>
      <c r="Q37" s="22"/>
      <c r="R37" s="29">
        <f t="shared" si="29"/>
        <v>11</v>
      </c>
      <c r="S37" s="29">
        <f t="shared" si="30"/>
        <v>12</v>
      </c>
      <c r="T37" s="29">
        <f t="shared" si="31"/>
        <v>4</v>
      </c>
      <c r="U37" s="29">
        <f t="shared" si="32"/>
        <v>4</v>
      </c>
      <c r="V37" s="29">
        <f t="shared" si="33"/>
        <v>0</v>
      </c>
      <c r="W37" s="29">
        <f t="shared" si="34"/>
        <v>0</v>
      </c>
      <c r="X37" s="15">
        <v>30.451612903225808</v>
      </c>
      <c r="Y37" s="22"/>
      <c r="Z37" s="22">
        <v>1</v>
      </c>
      <c r="AA37" s="22">
        <v>0</v>
      </c>
      <c r="AB37" s="22">
        <v>0</v>
      </c>
      <c r="AC37" s="22">
        <v>0</v>
      </c>
      <c r="AD37" s="22">
        <v>0</v>
      </c>
      <c r="AE37" s="22">
        <v>0</v>
      </c>
      <c r="AF37" s="23">
        <v>20</v>
      </c>
      <c r="AG37" s="22"/>
      <c r="AH37" s="22">
        <v>1</v>
      </c>
      <c r="AI37" s="22">
        <v>9</v>
      </c>
      <c r="AJ37" s="22">
        <v>7</v>
      </c>
      <c r="AK37" s="22">
        <v>9</v>
      </c>
      <c r="AL37" s="22">
        <v>0</v>
      </c>
      <c r="AM37" s="22">
        <v>0</v>
      </c>
      <c r="AN37" s="23">
        <v>39.538461538461533</v>
      </c>
      <c r="AO37" s="22"/>
      <c r="AP37" s="21">
        <f t="shared" si="41"/>
        <v>13</v>
      </c>
      <c r="AQ37" s="21">
        <f t="shared" si="42"/>
        <v>21</v>
      </c>
      <c r="AR37" s="21">
        <f t="shared" si="43"/>
        <v>11</v>
      </c>
      <c r="AS37" s="21">
        <f t="shared" si="44"/>
        <v>13</v>
      </c>
      <c r="AT37" s="21">
        <f t="shared" si="45"/>
        <v>0</v>
      </c>
      <c r="AU37" s="21">
        <f t="shared" si="46"/>
        <v>0</v>
      </c>
      <c r="AV37" s="15">
        <v>34.344827586206897</v>
      </c>
      <c r="AW37" s="17"/>
      <c r="AX37" s="54">
        <f t="shared" si="27"/>
        <v>58</v>
      </c>
      <c r="AY37" s="54">
        <v>58</v>
      </c>
      <c r="AZ37" s="18">
        <f t="shared" si="28"/>
        <v>0</v>
      </c>
      <c r="BA37" s="17"/>
      <c r="BB37" s="17"/>
      <c r="BC37" s="17"/>
      <c r="BD37" s="17"/>
      <c r="BE37" s="17"/>
    </row>
    <row r="38" spans="1:57" s="7" customFormat="1" ht="15" customHeight="1" thickBot="1" x14ac:dyDescent="0.4">
      <c r="A38" s="2" t="s">
        <v>46</v>
      </c>
      <c r="B38" s="22">
        <v>0</v>
      </c>
      <c r="C38" s="22">
        <v>16</v>
      </c>
      <c r="D38" s="22">
        <v>1</v>
      </c>
      <c r="E38" s="22">
        <v>1</v>
      </c>
      <c r="F38" s="22">
        <v>0</v>
      </c>
      <c r="G38" s="22">
        <v>0</v>
      </c>
      <c r="H38" s="23">
        <v>31.722222222222221</v>
      </c>
      <c r="I38" s="22"/>
      <c r="J38" s="22">
        <v>15</v>
      </c>
      <c r="K38" s="22">
        <v>22</v>
      </c>
      <c r="L38" s="22">
        <v>9</v>
      </c>
      <c r="M38" s="22">
        <v>0</v>
      </c>
      <c r="N38" s="22">
        <v>0</v>
      </c>
      <c r="O38" s="22">
        <v>0</v>
      </c>
      <c r="P38" s="15">
        <v>28.793478260869566</v>
      </c>
      <c r="Q38" s="22"/>
      <c r="R38" s="29">
        <f t="shared" si="29"/>
        <v>15</v>
      </c>
      <c r="S38" s="29">
        <f t="shared" si="30"/>
        <v>38</v>
      </c>
      <c r="T38" s="29">
        <f t="shared" si="31"/>
        <v>10</v>
      </c>
      <c r="U38" s="29">
        <f t="shared" si="32"/>
        <v>1</v>
      </c>
      <c r="V38" s="29">
        <f t="shared" si="33"/>
        <v>0</v>
      </c>
      <c r="W38" s="29">
        <f t="shared" si="34"/>
        <v>0</v>
      </c>
      <c r="X38" s="15">
        <v>29.6171875</v>
      </c>
      <c r="Y38" s="22"/>
      <c r="Z38" s="22">
        <v>0</v>
      </c>
      <c r="AA38" s="22">
        <v>0</v>
      </c>
      <c r="AB38" s="22">
        <v>0</v>
      </c>
      <c r="AC38" s="22">
        <v>0</v>
      </c>
      <c r="AD38" s="22">
        <v>0</v>
      </c>
      <c r="AE38" s="22">
        <v>0</v>
      </c>
      <c r="AF38" s="23" t="s">
        <v>71</v>
      </c>
      <c r="AG38" s="22"/>
      <c r="AH38" s="22">
        <v>0</v>
      </c>
      <c r="AI38" s="22">
        <v>2</v>
      </c>
      <c r="AJ38" s="22">
        <v>2</v>
      </c>
      <c r="AK38" s="22">
        <v>1</v>
      </c>
      <c r="AL38" s="22">
        <v>1</v>
      </c>
      <c r="AM38" s="22">
        <v>0</v>
      </c>
      <c r="AN38" s="23">
        <v>42</v>
      </c>
      <c r="AO38" s="22"/>
      <c r="AP38" s="21">
        <f t="shared" si="41"/>
        <v>15</v>
      </c>
      <c r="AQ38" s="21">
        <f t="shared" si="42"/>
        <v>40</v>
      </c>
      <c r="AR38" s="21">
        <f t="shared" si="43"/>
        <v>12</v>
      </c>
      <c r="AS38" s="21">
        <f t="shared" si="44"/>
        <v>2</v>
      </c>
      <c r="AT38" s="21">
        <f t="shared" si="45"/>
        <v>1</v>
      </c>
      <c r="AU38" s="21">
        <f t="shared" si="46"/>
        <v>0</v>
      </c>
      <c r="AV38" s="15">
        <v>30.678571428571427</v>
      </c>
      <c r="AW38" s="17"/>
      <c r="AX38" s="54">
        <f t="shared" si="27"/>
        <v>70</v>
      </c>
      <c r="AY38" s="54">
        <v>70</v>
      </c>
      <c r="AZ38" s="18">
        <f t="shared" si="28"/>
        <v>0</v>
      </c>
      <c r="BA38" s="17"/>
      <c r="BB38" s="17"/>
      <c r="BC38" s="17"/>
      <c r="BD38" s="17"/>
      <c r="BE38" s="17"/>
    </row>
    <row r="39" spans="1:57" s="7" customFormat="1" ht="15" customHeight="1" thickBot="1" x14ac:dyDescent="0.4">
      <c r="A39" s="2" t="s">
        <v>47</v>
      </c>
      <c r="B39" s="22">
        <v>2</v>
      </c>
      <c r="C39" s="22">
        <v>9</v>
      </c>
      <c r="D39" s="22">
        <v>3</v>
      </c>
      <c r="E39" s="22">
        <v>0</v>
      </c>
      <c r="F39" s="22">
        <v>0</v>
      </c>
      <c r="G39" s="22">
        <v>0</v>
      </c>
      <c r="H39" s="23">
        <v>30.821428571428577</v>
      </c>
      <c r="I39" s="22"/>
      <c r="J39" s="22">
        <v>10</v>
      </c>
      <c r="K39" s="22">
        <v>18</v>
      </c>
      <c r="L39" s="22">
        <v>3</v>
      </c>
      <c r="M39" s="22">
        <v>0</v>
      </c>
      <c r="N39" s="22">
        <v>1</v>
      </c>
      <c r="O39" s="22">
        <v>0</v>
      </c>
      <c r="P39" s="15">
        <v>28.8125</v>
      </c>
      <c r="Q39" s="22"/>
      <c r="R39" s="29">
        <f t="shared" si="29"/>
        <v>12</v>
      </c>
      <c r="S39" s="29">
        <f t="shared" si="30"/>
        <v>27</v>
      </c>
      <c r="T39" s="29">
        <f t="shared" si="31"/>
        <v>6</v>
      </c>
      <c r="U39" s="29">
        <f t="shared" si="32"/>
        <v>0</v>
      </c>
      <c r="V39" s="29">
        <f t="shared" si="33"/>
        <v>1</v>
      </c>
      <c r="W39" s="29">
        <f t="shared" si="34"/>
        <v>0</v>
      </c>
      <c r="X39" s="15">
        <v>29.423913043478262</v>
      </c>
      <c r="Y39" s="22"/>
      <c r="Z39" s="22">
        <v>0</v>
      </c>
      <c r="AA39" s="22">
        <v>0</v>
      </c>
      <c r="AB39" s="22">
        <v>1</v>
      </c>
      <c r="AC39" s="22">
        <v>0</v>
      </c>
      <c r="AD39" s="22">
        <v>1</v>
      </c>
      <c r="AE39" s="22">
        <v>0</v>
      </c>
      <c r="AF39" s="23">
        <v>50.5</v>
      </c>
      <c r="AG39" s="22"/>
      <c r="AH39" s="22">
        <v>4</v>
      </c>
      <c r="AI39" s="22">
        <v>2</v>
      </c>
      <c r="AJ39" s="22">
        <v>2</v>
      </c>
      <c r="AK39" s="22">
        <v>1</v>
      </c>
      <c r="AL39" s="22">
        <v>1</v>
      </c>
      <c r="AM39" s="22">
        <v>0</v>
      </c>
      <c r="AN39" s="23">
        <v>33.200000000000003</v>
      </c>
      <c r="AO39" s="22"/>
      <c r="AP39" s="21">
        <f t="shared" si="41"/>
        <v>16</v>
      </c>
      <c r="AQ39" s="21">
        <f t="shared" si="42"/>
        <v>29</v>
      </c>
      <c r="AR39" s="21">
        <f t="shared" si="43"/>
        <v>9</v>
      </c>
      <c r="AS39" s="21">
        <f t="shared" si="44"/>
        <v>1</v>
      </c>
      <c r="AT39" s="21">
        <f t="shared" si="45"/>
        <v>3</v>
      </c>
      <c r="AU39" s="21">
        <f t="shared" si="46"/>
        <v>0</v>
      </c>
      <c r="AV39" s="15">
        <v>30.801724137931036</v>
      </c>
      <c r="AW39" s="17"/>
      <c r="AX39" s="54">
        <f t="shared" si="27"/>
        <v>58</v>
      </c>
      <c r="AY39" s="54">
        <v>58</v>
      </c>
      <c r="AZ39" s="18">
        <f t="shared" si="28"/>
        <v>0</v>
      </c>
      <c r="BA39" s="17"/>
      <c r="BB39" s="17"/>
      <c r="BC39" s="17"/>
      <c r="BD39" s="17"/>
      <c r="BE39" s="17"/>
    </row>
    <row r="40" spans="1:57" s="7" customFormat="1" ht="15" customHeight="1" thickBot="1" x14ac:dyDescent="0.4">
      <c r="A40" s="2" t="s">
        <v>48</v>
      </c>
      <c r="B40" s="22">
        <v>0</v>
      </c>
      <c r="C40" s="22">
        <v>0</v>
      </c>
      <c r="D40" s="22">
        <v>0</v>
      </c>
      <c r="E40" s="22">
        <v>0</v>
      </c>
      <c r="F40" s="22">
        <v>0</v>
      </c>
      <c r="G40" s="22">
        <v>0</v>
      </c>
      <c r="H40" s="23" t="s">
        <v>71</v>
      </c>
      <c r="I40" s="22"/>
      <c r="J40" s="22">
        <v>12</v>
      </c>
      <c r="K40" s="22">
        <v>10</v>
      </c>
      <c r="L40" s="22">
        <v>2</v>
      </c>
      <c r="M40" s="22">
        <v>0</v>
      </c>
      <c r="N40" s="22">
        <v>0</v>
      </c>
      <c r="O40" s="22">
        <v>10</v>
      </c>
      <c r="P40" s="15">
        <v>25.875</v>
      </c>
      <c r="Q40" s="22"/>
      <c r="R40" s="29">
        <f t="shared" si="29"/>
        <v>12</v>
      </c>
      <c r="S40" s="29">
        <f t="shared" si="30"/>
        <v>10</v>
      </c>
      <c r="T40" s="29">
        <f t="shared" si="31"/>
        <v>2</v>
      </c>
      <c r="U40" s="29">
        <f t="shared" si="32"/>
        <v>0</v>
      </c>
      <c r="V40" s="29">
        <f t="shared" si="33"/>
        <v>0</v>
      </c>
      <c r="W40" s="29">
        <f t="shared" si="34"/>
        <v>10</v>
      </c>
      <c r="X40" s="15">
        <v>25.875</v>
      </c>
      <c r="Y40" s="22"/>
      <c r="Z40" s="22">
        <v>0</v>
      </c>
      <c r="AA40" s="22">
        <v>0</v>
      </c>
      <c r="AB40" s="22">
        <v>0</v>
      </c>
      <c r="AC40" s="22">
        <v>0</v>
      </c>
      <c r="AD40" s="22">
        <v>0</v>
      </c>
      <c r="AE40" s="22">
        <v>0</v>
      </c>
      <c r="AF40" s="23" t="s">
        <v>71</v>
      </c>
      <c r="AG40" s="22"/>
      <c r="AH40" s="22">
        <v>0</v>
      </c>
      <c r="AI40" s="22">
        <v>0</v>
      </c>
      <c r="AJ40" s="22">
        <v>0</v>
      </c>
      <c r="AK40" s="22">
        <v>0</v>
      </c>
      <c r="AL40" s="22">
        <v>0</v>
      </c>
      <c r="AM40" s="22">
        <v>12</v>
      </c>
      <c r="AN40" s="23" t="s">
        <v>71</v>
      </c>
      <c r="AO40" s="22"/>
      <c r="AP40" s="21">
        <f t="shared" si="41"/>
        <v>12</v>
      </c>
      <c r="AQ40" s="21">
        <f t="shared" si="42"/>
        <v>10</v>
      </c>
      <c r="AR40" s="21">
        <f t="shared" si="43"/>
        <v>2</v>
      </c>
      <c r="AS40" s="21">
        <f t="shared" si="44"/>
        <v>0</v>
      </c>
      <c r="AT40" s="21">
        <f t="shared" si="45"/>
        <v>0</v>
      </c>
      <c r="AU40" s="21">
        <f t="shared" si="46"/>
        <v>22</v>
      </c>
      <c r="AV40" s="15">
        <v>25.875</v>
      </c>
      <c r="AW40" s="17"/>
      <c r="AX40" s="54">
        <f t="shared" si="27"/>
        <v>46</v>
      </c>
      <c r="AY40" s="54">
        <v>46</v>
      </c>
      <c r="AZ40" s="18">
        <f t="shared" si="28"/>
        <v>0</v>
      </c>
      <c r="BA40" s="17"/>
      <c r="BB40" s="17"/>
      <c r="BC40" s="17"/>
      <c r="BD40" s="17"/>
      <c r="BE40" s="17"/>
    </row>
    <row r="41" spans="1:57" s="7" customFormat="1" ht="15" customHeight="1" thickBot="1" x14ac:dyDescent="0.4">
      <c r="A41" s="2" t="s">
        <v>49</v>
      </c>
      <c r="B41" s="22">
        <v>3</v>
      </c>
      <c r="C41" s="22">
        <v>0</v>
      </c>
      <c r="D41" s="22">
        <v>7</v>
      </c>
      <c r="E41" s="22">
        <v>7</v>
      </c>
      <c r="F41" s="22">
        <v>0</v>
      </c>
      <c r="G41" s="22">
        <v>0</v>
      </c>
      <c r="H41" s="23">
        <v>41</v>
      </c>
      <c r="I41" s="22"/>
      <c r="J41" s="22">
        <v>13</v>
      </c>
      <c r="K41" s="22">
        <v>15</v>
      </c>
      <c r="L41" s="22">
        <v>4</v>
      </c>
      <c r="M41" s="22">
        <v>1</v>
      </c>
      <c r="N41" s="22">
        <v>0</v>
      </c>
      <c r="O41" s="22">
        <v>0</v>
      </c>
      <c r="P41" s="15">
        <v>27.954545454545457</v>
      </c>
      <c r="Q41" s="22"/>
      <c r="R41" s="29">
        <f t="shared" si="29"/>
        <v>16</v>
      </c>
      <c r="S41" s="29">
        <f t="shared" si="30"/>
        <v>15</v>
      </c>
      <c r="T41" s="29">
        <f t="shared" si="31"/>
        <v>11</v>
      </c>
      <c r="U41" s="29">
        <f t="shared" si="32"/>
        <v>8</v>
      </c>
      <c r="V41" s="29">
        <f t="shared" si="33"/>
        <v>0</v>
      </c>
      <c r="W41" s="29">
        <f t="shared" si="34"/>
        <v>0</v>
      </c>
      <c r="X41" s="15">
        <v>32.39</v>
      </c>
      <c r="Y41" s="22"/>
      <c r="Z41" s="22">
        <v>0</v>
      </c>
      <c r="AA41" s="22">
        <v>0</v>
      </c>
      <c r="AB41" s="22">
        <v>0</v>
      </c>
      <c r="AC41" s="22">
        <v>0</v>
      </c>
      <c r="AD41" s="22">
        <v>0</v>
      </c>
      <c r="AE41" s="22">
        <v>0</v>
      </c>
      <c r="AF41" s="23" t="s">
        <v>71</v>
      </c>
      <c r="AG41" s="22"/>
      <c r="AH41" s="22">
        <v>0</v>
      </c>
      <c r="AI41" s="22">
        <v>0</v>
      </c>
      <c r="AJ41" s="22">
        <v>3</v>
      </c>
      <c r="AK41" s="22">
        <v>7</v>
      </c>
      <c r="AL41" s="22">
        <v>2</v>
      </c>
      <c r="AM41" s="22">
        <v>0</v>
      </c>
      <c r="AN41" s="23">
        <v>49.666666666666671</v>
      </c>
      <c r="AO41" s="22"/>
      <c r="AP41" s="21">
        <f t="shared" si="41"/>
        <v>16</v>
      </c>
      <c r="AQ41" s="21">
        <f t="shared" si="42"/>
        <v>15</v>
      </c>
      <c r="AR41" s="21">
        <f t="shared" si="43"/>
        <v>14</v>
      </c>
      <c r="AS41" s="21">
        <f t="shared" si="44"/>
        <v>15</v>
      </c>
      <c r="AT41" s="21">
        <f t="shared" si="45"/>
        <v>2</v>
      </c>
      <c r="AU41" s="21">
        <f t="shared" si="46"/>
        <v>0</v>
      </c>
      <c r="AV41" s="15">
        <v>35.733870967741936</v>
      </c>
      <c r="AW41" s="17"/>
      <c r="AX41" s="54">
        <f t="shared" si="27"/>
        <v>62</v>
      </c>
      <c r="AY41" s="54">
        <v>62</v>
      </c>
      <c r="AZ41" s="18">
        <f t="shared" si="28"/>
        <v>0</v>
      </c>
      <c r="BA41" s="17"/>
      <c r="BB41" s="17"/>
      <c r="BC41" s="17"/>
      <c r="BD41" s="17"/>
      <c r="BE41" s="17"/>
    </row>
    <row r="42" spans="1:57" s="7" customFormat="1" ht="15" customHeight="1" thickBot="1" x14ac:dyDescent="0.4">
      <c r="A42" s="2" t="s">
        <v>50</v>
      </c>
      <c r="B42" s="22">
        <v>0</v>
      </c>
      <c r="C42" s="22">
        <v>3</v>
      </c>
      <c r="D42" s="22">
        <v>5</v>
      </c>
      <c r="E42" s="22">
        <v>2</v>
      </c>
      <c r="F42" s="22">
        <v>0</v>
      </c>
      <c r="G42" s="22">
        <v>0</v>
      </c>
      <c r="H42" s="23">
        <v>39.35</v>
      </c>
      <c r="I42" s="22"/>
      <c r="J42" s="22">
        <v>0</v>
      </c>
      <c r="K42" s="22">
        <v>5</v>
      </c>
      <c r="L42" s="22">
        <v>5</v>
      </c>
      <c r="M42" s="22">
        <v>1</v>
      </c>
      <c r="N42" s="22">
        <v>0</v>
      </c>
      <c r="O42" s="22">
        <v>0</v>
      </c>
      <c r="P42" s="15">
        <v>36.63636363636364</v>
      </c>
      <c r="Q42" s="22"/>
      <c r="R42" s="29">
        <f t="shared" si="29"/>
        <v>0</v>
      </c>
      <c r="S42" s="29">
        <f t="shared" si="30"/>
        <v>8</v>
      </c>
      <c r="T42" s="29">
        <f t="shared" si="31"/>
        <v>10</v>
      </c>
      <c r="U42" s="29">
        <f t="shared" si="32"/>
        <v>3</v>
      </c>
      <c r="V42" s="29">
        <f t="shared" si="33"/>
        <v>0</v>
      </c>
      <c r="W42" s="29">
        <f t="shared" si="34"/>
        <v>0</v>
      </c>
      <c r="X42" s="15">
        <v>37.928571428571423</v>
      </c>
      <c r="Y42" s="22"/>
      <c r="Z42" s="22">
        <v>0</v>
      </c>
      <c r="AA42" s="22">
        <v>1</v>
      </c>
      <c r="AB42" s="22">
        <v>0</v>
      </c>
      <c r="AC42" s="22">
        <v>0</v>
      </c>
      <c r="AD42" s="22">
        <v>0</v>
      </c>
      <c r="AE42" s="22">
        <v>0</v>
      </c>
      <c r="AF42" s="23">
        <v>30</v>
      </c>
      <c r="AG42" s="22"/>
      <c r="AH42" s="22">
        <v>0</v>
      </c>
      <c r="AI42" s="22">
        <v>0</v>
      </c>
      <c r="AJ42" s="22">
        <v>0</v>
      </c>
      <c r="AK42" s="22">
        <v>0</v>
      </c>
      <c r="AL42" s="22">
        <v>0</v>
      </c>
      <c r="AM42" s="22">
        <v>0</v>
      </c>
      <c r="AN42" s="23" t="s">
        <v>71</v>
      </c>
      <c r="AO42" s="22"/>
      <c r="AP42" s="21">
        <f t="shared" si="41"/>
        <v>0</v>
      </c>
      <c r="AQ42" s="21">
        <f t="shared" si="42"/>
        <v>9</v>
      </c>
      <c r="AR42" s="21">
        <f t="shared" si="43"/>
        <v>10</v>
      </c>
      <c r="AS42" s="21">
        <f t="shared" si="44"/>
        <v>3</v>
      </c>
      <c r="AT42" s="21">
        <f t="shared" si="45"/>
        <v>0</v>
      </c>
      <c r="AU42" s="21">
        <f t="shared" si="46"/>
        <v>0</v>
      </c>
      <c r="AV42" s="15">
        <v>37.56818181818182</v>
      </c>
      <c r="AW42" s="17"/>
      <c r="AX42" s="54">
        <f t="shared" si="27"/>
        <v>22</v>
      </c>
      <c r="AY42" s="54">
        <v>22</v>
      </c>
      <c r="AZ42" s="18">
        <f t="shared" si="28"/>
        <v>0</v>
      </c>
      <c r="BA42" s="17"/>
      <c r="BB42" s="17"/>
      <c r="BC42" s="17"/>
      <c r="BD42" s="17"/>
      <c r="BE42" s="17"/>
    </row>
    <row r="43" spans="1:57" s="7" customFormat="1" ht="15" customHeight="1" thickBot="1" x14ac:dyDescent="0.4">
      <c r="A43" s="2" t="s">
        <v>51</v>
      </c>
      <c r="B43" s="22">
        <v>0</v>
      </c>
      <c r="C43" s="22">
        <v>3</v>
      </c>
      <c r="D43" s="22">
        <v>2</v>
      </c>
      <c r="E43" s="22">
        <v>2</v>
      </c>
      <c r="F43" s="22">
        <v>0</v>
      </c>
      <c r="G43" s="22">
        <v>0</v>
      </c>
      <c r="H43" s="23">
        <v>38.857142857142854</v>
      </c>
      <c r="I43" s="22"/>
      <c r="J43" s="22">
        <v>9</v>
      </c>
      <c r="K43" s="22">
        <v>9</v>
      </c>
      <c r="L43" s="22">
        <v>5</v>
      </c>
      <c r="M43" s="22">
        <v>2</v>
      </c>
      <c r="N43" s="22">
        <v>0</v>
      </c>
      <c r="O43" s="22">
        <v>0</v>
      </c>
      <c r="P43" s="15">
        <v>30.14</v>
      </c>
      <c r="Q43" s="22"/>
      <c r="R43" s="29">
        <f t="shared" si="29"/>
        <v>9</v>
      </c>
      <c r="S43" s="29">
        <f t="shared" si="30"/>
        <v>12</v>
      </c>
      <c r="T43" s="29">
        <f t="shared" si="31"/>
        <v>7</v>
      </c>
      <c r="U43" s="29">
        <f t="shared" si="32"/>
        <v>4</v>
      </c>
      <c r="V43" s="29">
        <f t="shared" si="33"/>
        <v>0</v>
      </c>
      <c r="W43" s="29">
        <f t="shared" si="34"/>
        <v>0</v>
      </c>
      <c r="X43" s="15">
        <v>32.046875</v>
      </c>
      <c r="Y43" s="22"/>
      <c r="Z43" s="22">
        <v>0</v>
      </c>
      <c r="AA43" s="22">
        <v>3</v>
      </c>
      <c r="AB43" s="22">
        <v>2</v>
      </c>
      <c r="AC43" s="22">
        <v>0</v>
      </c>
      <c r="AD43" s="22">
        <v>0</v>
      </c>
      <c r="AE43" s="22">
        <v>0</v>
      </c>
      <c r="AF43" s="23">
        <v>34.200000000000003</v>
      </c>
      <c r="AG43" s="22"/>
      <c r="AH43" s="22">
        <v>3</v>
      </c>
      <c r="AI43" s="22">
        <v>2</v>
      </c>
      <c r="AJ43" s="22">
        <v>7</v>
      </c>
      <c r="AK43" s="22">
        <v>2</v>
      </c>
      <c r="AL43" s="22">
        <v>2</v>
      </c>
      <c r="AM43" s="22">
        <v>0</v>
      </c>
      <c r="AN43" s="23">
        <v>39.09375</v>
      </c>
      <c r="AO43" s="22"/>
      <c r="AP43" s="21">
        <f t="shared" si="41"/>
        <v>12</v>
      </c>
      <c r="AQ43" s="21">
        <f t="shared" si="42"/>
        <v>17</v>
      </c>
      <c r="AR43" s="21">
        <f t="shared" si="43"/>
        <v>16</v>
      </c>
      <c r="AS43" s="21">
        <f t="shared" si="44"/>
        <v>6</v>
      </c>
      <c r="AT43" s="21">
        <f t="shared" si="45"/>
        <v>2</v>
      </c>
      <c r="AU43" s="21">
        <f t="shared" si="46"/>
        <v>0</v>
      </c>
      <c r="AV43" s="15">
        <v>34.377358490566031</v>
      </c>
      <c r="AW43" s="17"/>
      <c r="AX43" s="54">
        <f t="shared" si="27"/>
        <v>53</v>
      </c>
      <c r="AY43" s="54">
        <v>53</v>
      </c>
      <c r="AZ43" s="18">
        <f t="shared" si="28"/>
        <v>0</v>
      </c>
      <c r="BA43" s="17"/>
      <c r="BB43" s="17"/>
      <c r="BC43" s="17"/>
      <c r="BD43" s="17"/>
      <c r="BE43" s="17"/>
    </row>
    <row r="44" spans="1:57" s="7" customFormat="1" ht="15" customHeight="1" thickBot="1" x14ac:dyDescent="0.4">
      <c r="A44" s="2" t="s">
        <v>52</v>
      </c>
      <c r="B44" s="22">
        <v>5</v>
      </c>
      <c r="C44" s="22">
        <v>12</v>
      </c>
      <c r="D44" s="22">
        <v>0</v>
      </c>
      <c r="E44" s="22">
        <v>0</v>
      </c>
      <c r="F44" s="22">
        <v>0</v>
      </c>
      <c r="G44" s="22">
        <v>0</v>
      </c>
      <c r="H44" s="23">
        <v>27.058823529411768</v>
      </c>
      <c r="I44" s="22"/>
      <c r="J44" s="22">
        <v>10</v>
      </c>
      <c r="K44" s="22">
        <v>20</v>
      </c>
      <c r="L44" s="22">
        <v>7</v>
      </c>
      <c r="M44" s="22">
        <v>3</v>
      </c>
      <c r="N44" s="22">
        <v>0</v>
      </c>
      <c r="O44" s="22">
        <v>0</v>
      </c>
      <c r="P44" s="15">
        <v>30.875</v>
      </c>
      <c r="Q44" s="22"/>
      <c r="R44" s="29">
        <f t="shared" si="29"/>
        <v>15</v>
      </c>
      <c r="S44" s="29">
        <f t="shared" si="30"/>
        <v>32</v>
      </c>
      <c r="T44" s="29">
        <f t="shared" si="31"/>
        <v>7</v>
      </c>
      <c r="U44" s="29">
        <f t="shared" si="32"/>
        <v>3</v>
      </c>
      <c r="V44" s="29">
        <f t="shared" si="33"/>
        <v>0</v>
      </c>
      <c r="W44" s="29">
        <f t="shared" si="34"/>
        <v>0</v>
      </c>
      <c r="X44" s="15">
        <v>29.736842105263158</v>
      </c>
      <c r="Y44" s="22"/>
      <c r="Z44" s="22">
        <v>0</v>
      </c>
      <c r="AA44" s="22">
        <v>0</v>
      </c>
      <c r="AB44" s="22">
        <v>0</v>
      </c>
      <c r="AC44" s="22">
        <v>0</v>
      </c>
      <c r="AD44" s="22">
        <v>0</v>
      </c>
      <c r="AE44" s="22">
        <v>0</v>
      </c>
      <c r="AF44" s="23" t="s">
        <v>71</v>
      </c>
      <c r="AG44" s="22"/>
      <c r="AH44" s="22">
        <v>2</v>
      </c>
      <c r="AI44" s="22">
        <v>8</v>
      </c>
      <c r="AJ44" s="22">
        <v>3</v>
      </c>
      <c r="AK44" s="22">
        <v>2</v>
      </c>
      <c r="AL44" s="22">
        <v>1</v>
      </c>
      <c r="AM44" s="22">
        <v>0</v>
      </c>
      <c r="AN44" s="23">
        <v>35.1875</v>
      </c>
      <c r="AO44" s="22"/>
      <c r="AP44" s="21">
        <f t="shared" si="41"/>
        <v>17</v>
      </c>
      <c r="AQ44" s="21">
        <f t="shared" si="42"/>
        <v>40</v>
      </c>
      <c r="AR44" s="21">
        <f t="shared" si="43"/>
        <v>10</v>
      </c>
      <c r="AS44" s="21">
        <f t="shared" si="44"/>
        <v>5</v>
      </c>
      <c r="AT44" s="21">
        <f t="shared" si="45"/>
        <v>1</v>
      </c>
      <c r="AU44" s="21">
        <f t="shared" si="46"/>
        <v>0</v>
      </c>
      <c r="AV44" s="15">
        <v>30.931506849315067</v>
      </c>
      <c r="AW44" s="17"/>
      <c r="AX44" s="54">
        <f t="shared" si="27"/>
        <v>73</v>
      </c>
      <c r="AY44" s="54">
        <v>73</v>
      </c>
      <c r="AZ44" s="18">
        <f t="shared" si="28"/>
        <v>0</v>
      </c>
      <c r="BA44" s="17"/>
      <c r="BB44" s="17"/>
      <c r="BC44" s="17"/>
      <c r="BD44" s="17"/>
      <c r="BE44" s="17"/>
    </row>
    <row r="45" spans="1:57" s="7" customFormat="1" ht="15" customHeight="1" thickBot="1" x14ac:dyDescent="0.4">
      <c r="A45" s="2" t="s">
        <v>53</v>
      </c>
      <c r="B45" s="22">
        <v>0</v>
      </c>
      <c r="C45" s="22">
        <v>0</v>
      </c>
      <c r="D45" s="22">
        <v>0</v>
      </c>
      <c r="E45" s="22">
        <v>0</v>
      </c>
      <c r="F45" s="22">
        <v>0</v>
      </c>
      <c r="G45" s="22">
        <v>0</v>
      </c>
      <c r="H45" s="23" t="s">
        <v>71</v>
      </c>
      <c r="I45" s="22"/>
      <c r="J45" s="22">
        <v>0</v>
      </c>
      <c r="K45" s="22">
        <v>0</v>
      </c>
      <c r="L45" s="22">
        <v>0</v>
      </c>
      <c r="M45" s="22">
        <v>0</v>
      </c>
      <c r="N45" s="22">
        <v>0</v>
      </c>
      <c r="O45" s="22">
        <v>0</v>
      </c>
      <c r="P45" s="15" t="s">
        <v>71</v>
      </c>
      <c r="Q45" s="22"/>
      <c r="R45" s="29">
        <f t="shared" si="29"/>
        <v>0</v>
      </c>
      <c r="S45" s="29">
        <f t="shared" si="30"/>
        <v>0</v>
      </c>
      <c r="T45" s="29">
        <f t="shared" si="31"/>
        <v>0</v>
      </c>
      <c r="U45" s="29">
        <f t="shared" si="32"/>
        <v>0</v>
      </c>
      <c r="V45" s="29">
        <f t="shared" si="33"/>
        <v>0</v>
      </c>
      <c r="W45" s="29">
        <f t="shared" si="34"/>
        <v>0</v>
      </c>
      <c r="X45" s="15" t="s">
        <v>71</v>
      </c>
      <c r="Y45" s="22"/>
      <c r="Z45" s="22">
        <v>0</v>
      </c>
      <c r="AA45" s="22">
        <v>0</v>
      </c>
      <c r="AB45" s="22">
        <v>0</v>
      </c>
      <c r="AC45" s="22">
        <v>0</v>
      </c>
      <c r="AD45" s="22">
        <v>0</v>
      </c>
      <c r="AE45" s="22">
        <v>0</v>
      </c>
      <c r="AF45" s="23" t="s">
        <v>71</v>
      </c>
      <c r="AG45" s="22"/>
      <c r="AH45" s="22">
        <v>0</v>
      </c>
      <c r="AI45" s="22">
        <v>0</v>
      </c>
      <c r="AJ45" s="22">
        <v>0</v>
      </c>
      <c r="AK45" s="22">
        <v>0</v>
      </c>
      <c r="AL45" s="22">
        <v>0</v>
      </c>
      <c r="AM45" s="22">
        <v>0</v>
      </c>
      <c r="AN45" s="23" t="s">
        <v>71</v>
      </c>
      <c r="AO45" s="22"/>
      <c r="AP45" s="21">
        <f t="shared" si="41"/>
        <v>0</v>
      </c>
      <c r="AQ45" s="21">
        <f t="shared" si="42"/>
        <v>0</v>
      </c>
      <c r="AR45" s="21">
        <f t="shared" si="43"/>
        <v>0</v>
      </c>
      <c r="AS45" s="21">
        <f t="shared" si="44"/>
        <v>0</v>
      </c>
      <c r="AT45" s="21">
        <f t="shared" si="45"/>
        <v>0</v>
      </c>
      <c r="AU45" s="21">
        <f t="shared" si="46"/>
        <v>0</v>
      </c>
      <c r="AV45" s="15" t="s">
        <v>71</v>
      </c>
      <c r="AW45" s="17"/>
      <c r="AX45" s="54">
        <f t="shared" si="27"/>
        <v>0</v>
      </c>
      <c r="AY45" s="54">
        <v>0</v>
      </c>
      <c r="AZ45" s="18">
        <f t="shared" si="28"/>
        <v>0</v>
      </c>
      <c r="BA45" s="17"/>
      <c r="BB45" s="17"/>
      <c r="BC45" s="17"/>
      <c r="BD45" s="17"/>
      <c r="BE45" s="17"/>
    </row>
    <row r="46" spans="1:57" s="7" customFormat="1" ht="15" customHeight="1" x14ac:dyDescent="0.35">
      <c r="A46" s="20" t="s">
        <v>54</v>
      </c>
      <c r="B46" s="21">
        <f>SUM(B47:B53)</f>
        <v>33</v>
      </c>
      <c r="C46" s="21">
        <f t="shared" ref="C46:G46" si="47">SUM(C47:C53)</f>
        <v>101</v>
      </c>
      <c r="D46" s="21">
        <f t="shared" si="47"/>
        <v>20</v>
      </c>
      <c r="E46" s="21">
        <f t="shared" si="47"/>
        <v>5</v>
      </c>
      <c r="F46" s="21">
        <f t="shared" si="47"/>
        <v>0</v>
      </c>
      <c r="G46" s="21">
        <f t="shared" si="47"/>
        <v>0</v>
      </c>
      <c r="H46" s="15">
        <v>29.889937106918239</v>
      </c>
      <c r="I46" s="21"/>
      <c r="J46" s="21">
        <f t="shared" ref="J46:O46" si="48">SUM(J47:J53)</f>
        <v>3</v>
      </c>
      <c r="K46" s="21">
        <f t="shared" si="48"/>
        <v>11</v>
      </c>
      <c r="L46" s="21">
        <f t="shared" si="48"/>
        <v>2</v>
      </c>
      <c r="M46" s="21">
        <f t="shared" si="48"/>
        <v>0</v>
      </c>
      <c r="N46" s="21">
        <f t="shared" si="48"/>
        <v>0</v>
      </c>
      <c r="O46" s="21">
        <f t="shared" si="48"/>
        <v>0</v>
      </c>
      <c r="P46" s="15">
        <v>29.4375</v>
      </c>
      <c r="Q46" s="21"/>
      <c r="R46" s="21">
        <f t="shared" ref="R46:W46" si="49">SUM(R47:R53)</f>
        <v>36</v>
      </c>
      <c r="S46" s="21">
        <f t="shared" si="49"/>
        <v>112</v>
      </c>
      <c r="T46" s="21">
        <f t="shared" si="49"/>
        <v>22</v>
      </c>
      <c r="U46" s="21">
        <f t="shared" si="49"/>
        <v>5</v>
      </c>
      <c r="V46" s="21">
        <f t="shared" si="49"/>
        <v>0</v>
      </c>
      <c r="W46" s="21">
        <f t="shared" si="49"/>
        <v>0</v>
      </c>
      <c r="X46" s="15">
        <v>29.848571428571429</v>
      </c>
      <c r="Y46" s="21"/>
      <c r="Z46" s="21">
        <f t="shared" ref="Z46:AE46" si="50">SUM(Z47:Z53)</f>
        <v>3</v>
      </c>
      <c r="AA46" s="21">
        <f t="shared" si="50"/>
        <v>16</v>
      </c>
      <c r="AB46" s="21">
        <f t="shared" si="50"/>
        <v>4</v>
      </c>
      <c r="AC46" s="21">
        <f t="shared" si="50"/>
        <v>1</v>
      </c>
      <c r="AD46" s="21">
        <f t="shared" si="50"/>
        <v>1</v>
      </c>
      <c r="AE46" s="21">
        <f t="shared" si="50"/>
        <v>0</v>
      </c>
      <c r="AF46" s="15">
        <v>32.519999999999996</v>
      </c>
      <c r="AG46" s="21"/>
      <c r="AH46" s="21">
        <f t="shared" ref="AH46:AM46" si="51">SUM(AH47:AH53)</f>
        <v>35</v>
      </c>
      <c r="AI46" s="21">
        <f t="shared" si="51"/>
        <v>72</v>
      </c>
      <c r="AJ46" s="21">
        <f t="shared" si="51"/>
        <v>44</v>
      </c>
      <c r="AK46" s="21">
        <f t="shared" si="51"/>
        <v>33</v>
      </c>
      <c r="AL46" s="21">
        <f t="shared" si="51"/>
        <v>15</v>
      </c>
      <c r="AM46" s="21">
        <f t="shared" si="51"/>
        <v>0</v>
      </c>
      <c r="AN46" s="15">
        <v>36.261306532663319</v>
      </c>
      <c r="AO46" s="21"/>
      <c r="AP46" s="21">
        <f t="shared" ref="AP46:AU46" si="52">SUM(AP47:AP53)</f>
        <v>74</v>
      </c>
      <c r="AQ46" s="21">
        <f t="shared" si="52"/>
        <v>200</v>
      </c>
      <c r="AR46" s="21">
        <f t="shared" si="52"/>
        <v>70</v>
      </c>
      <c r="AS46" s="21">
        <f t="shared" si="52"/>
        <v>39</v>
      </c>
      <c r="AT46" s="21">
        <f t="shared" si="52"/>
        <v>16</v>
      </c>
      <c r="AU46" s="21">
        <f t="shared" si="52"/>
        <v>0</v>
      </c>
      <c r="AV46" s="15">
        <v>33.214285714285715</v>
      </c>
      <c r="AW46" s="17"/>
      <c r="AX46" s="54">
        <f t="shared" si="27"/>
        <v>399</v>
      </c>
      <c r="AY46" s="54">
        <v>397</v>
      </c>
      <c r="AZ46" s="18">
        <f t="shared" si="28"/>
        <v>2</v>
      </c>
      <c r="BA46" s="17"/>
      <c r="BB46" s="17"/>
      <c r="BC46" s="17"/>
      <c r="BD46" s="17"/>
      <c r="BE46" s="17"/>
    </row>
    <row r="47" spans="1:57" s="7" customFormat="1" ht="15" customHeight="1" thickBot="1" x14ac:dyDescent="0.4">
      <c r="A47" s="2" t="s">
        <v>55</v>
      </c>
      <c r="B47" s="22">
        <v>7</v>
      </c>
      <c r="C47" s="22">
        <v>9</v>
      </c>
      <c r="D47" s="22">
        <v>1</v>
      </c>
      <c r="E47" s="22">
        <v>0</v>
      </c>
      <c r="F47" s="22">
        <v>0</v>
      </c>
      <c r="G47" s="22">
        <v>0</v>
      </c>
      <c r="H47" s="23">
        <v>26.5</v>
      </c>
      <c r="I47" s="22"/>
      <c r="J47" s="22">
        <v>0</v>
      </c>
      <c r="K47" s="22">
        <v>0</v>
      </c>
      <c r="L47" s="22">
        <v>1</v>
      </c>
      <c r="M47" s="22">
        <v>0</v>
      </c>
      <c r="N47" s="22">
        <v>0</v>
      </c>
      <c r="O47" s="22">
        <v>0</v>
      </c>
      <c r="P47" s="15">
        <v>40.5</v>
      </c>
      <c r="Q47" s="22"/>
      <c r="R47" s="29">
        <f t="shared" ref="R47:R52" si="53">B47+J47</f>
        <v>7</v>
      </c>
      <c r="S47" s="29">
        <f t="shared" ref="S47:S52" si="54">C47+K47</f>
        <v>9</v>
      </c>
      <c r="T47" s="29">
        <f t="shared" ref="T47:T52" si="55">D47+L47</f>
        <v>2</v>
      </c>
      <c r="U47" s="29">
        <f t="shared" ref="U47:U52" si="56">E47+M47</f>
        <v>0</v>
      </c>
      <c r="V47" s="29">
        <f t="shared" ref="V47:V52" si="57">F47+N47</f>
        <v>0</v>
      </c>
      <c r="W47" s="29">
        <f t="shared" ref="W47:W52" si="58">G47+O47</f>
        <v>0</v>
      </c>
      <c r="X47" s="15">
        <v>27.277777777777779</v>
      </c>
      <c r="Y47" s="22"/>
      <c r="Z47" s="22">
        <v>0</v>
      </c>
      <c r="AA47" s="22">
        <v>0</v>
      </c>
      <c r="AB47" s="22">
        <v>0</v>
      </c>
      <c r="AC47" s="22">
        <v>0</v>
      </c>
      <c r="AD47" s="22">
        <v>0</v>
      </c>
      <c r="AE47" s="22">
        <v>0</v>
      </c>
      <c r="AF47" s="23" t="s">
        <v>71</v>
      </c>
      <c r="AG47" s="22"/>
      <c r="AH47" s="22">
        <v>18</v>
      </c>
      <c r="AI47" s="22">
        <v>17</v>
      </c>
      <c r="AJ47" s="22">
        <v>14</v>
      </c>
      <c r="AK47" s="22">
        <v>11</v>
      </c>
      <c r="AL47" s="22">
        <v>2</v>
      </c>
      <c r="AM47" s="22">
        <v>0</v>
      </c>
      <c r="AN47" s="23">
        <v>34.088709677419359</v>
      </c>
      <c r="AO47" s="22"/>
      <c r="AP47" s="21">
        <f t="shared" ref="AP47:AP53" si="59">AH47+Z47+R47</f>
        <v>25</v>
      </c>
      <c r="AQ47" s="21">
        <f t="shared" ref="AQ47:AQ53" si="60">AI47+AA47+S47</f>
        <v>26</v>
      </c>
      <c r="AR47" s="21">
        <f t="shared" ref="AR47:AR53" si="61">AJ47+AB47+T47</f>
        <v>16</v>
      </c>
      <c r="AS47" s="21">
        <f t="shared" ref="AS47:AS53" si="62">AK47+AC47+U47</f>
        <v>11</v>
      </c>
      <c r="AT47" s="21">
        <f t="shared" ref="AT47:AT53" si="63">AL47+AD47+V47</f>
        <v>2</v>
      </c>
      <c r="AU47" s="21">
        <f t="shared" ref="AU47:AU53" si="64">AM47+AE47+W47</f>
        <v>0</v>
      </c>
      <c r="AV47" s="15">
        <v>32.556250000000006</v>
      </c>
      <c r="AW47" s="17"/>
      <c r="AX47" s="54">
        <f t="shared" si="27"/>
        <v>80</v>
      </c>
      <c r="AY47" s="54">
        <v>80</v>
      </c>
      <c r="AZ47" s="18">
        <f t="shared" si="28"/>
        <v>0</v>
      </c>
      <c r="BA47" s="17"/>
      <c r="BB47" s="17"/>
      <c r="BC47" s="17"/>
      <c r="BD47" s="17"/>
      <c r="BE47" s="17"/>
    </row>
    <row r="48" spans="1:57" s="7" customFormat="1" ht="15" customHeight="1" thickBot="1" x14ac:dyDescent="0.4">
      <c r="A48" s="2" t="s">
        <v>56</v>
      </c>
      <c r="B48" s="22">
        <v>0</v>
      </c>
      <c r="C48" s="22">
        <v>15</v>
      </c>
      <c r="D48" s="22">
        <v>2</v>
      </c>
      <c r="E48" s="22">
        <v>0</v>
      </c>
      <c r="F48" s="22">
        <v>0</v>
      </c>
      <c r="G48" s="22">
        <v>0</v>
      </c>
      <c r="H48" s="23">
        <v>31.235294117647058</v>
      </c>
      <c r="I48" s="22"/>
      <c r="J48" s="22">
        <v>0</v>
      </c>
      <c r="K48" s="22">
        <v>0</v>
      </c>
      <c r="L48" s="22">
        <v>0</v>
      </c>
      <c r="M48" s="22">
        <v>0</v>
      </c>
      <c r="N48" s="22">
        <v>0</v>
      </c>
      <c r="O48" s="22">
        <v>0</v>
      </c>
      <c r="P48" s="15" t="s">
        <v>71</v>
      </c>
      <c r="Q48" s="22"/>
      <c r="R48" s="29">
        <f t="shared" si="53"/>
        <v>0</v>
      </c>
      <c r="S48" s="29">
        <f t="shared" si="54"/>
        <v>15</v>
      </c>
      <c r="T48" s="29">
        <f t="shared" si="55"/>
        <v>2</v>
      </c>
      <c r="U48" s="29">
        <f t="shared" si="56"/>
        <v>0</v>
      </c>
      <c r="V48" s="29">
        <f t="shared" si="57"/>
        <v>0</v>
      </c>
      <c r="W48" s="29">
        <f t="shared" si="58"/>
        <v>0</v>
      </c>
      <c r="X48" s="15">
        <v>31.235294117647058</v>
      </c>
      <c r="Y48" s="22"/>
      <c r="Z48" s="22">
        <v>0</v>
      </c>
      <c r="AA48" s="22">
        <v>0</v>
      </c>
      <c r="AB48" s="22">
        <v>0</v>
      </c>
      <c r="AC48" s="22">
        <v>0</v>
      </c>
      <c r="AD48" s="22">
        <v>0</v>
      </c>
      <c r="AE48" s="22">
        <v>0</v>
      </c>
      <c r="AF48" s="23" t="s">
        <v>71</v>
      </c>
      <c r="AG48" s="22"/>
      <c r="AH48" s="22">
        <v>10</v>
      </c>
      <c r="AI48" s="22">
        <v>5</v>
      </c>
      <c r="AJ48" s="22">
        <v>1</v>
      </c>
      <c r="AK48" s="22">
        <v>9</v>
      </c>
      <c r="AL48" s="22">
        <v>2</v>
      </c>
      <c r="AM48" s="22">
        <v>0</v>
      </c>
      <c r="AN48" s="23">
        <v>35.777777777777771</v>
      </c>
      <c r="AO48" s="22"/>
      <c r="AP48" s="21">
        <f t="shared" si="59"/>
        <v>10</v>
      </c>
      <c r="AQ48" s="21">
        <f t="shared" si="60"/>
        <v>20</v>
      </c>
      <c r="AR48" s="21">
        <f t="shared" si="61"/>
        <v>3</v>
      </c>
      <c r="AS48" s="21">
        <f t="shared" si="62"/>
        <v>9</v>
      </c>
      <c r="AT48" s="21">
        <f t="shared" si="63"/>
        <v>2</v>
      </c>
      <c r="AU48" s="21">
        <f t="shared" si="64"/>
        <v>0</v>
      </c>
      <c r="AV48" s="15">
        <v>34.022727272727273</v>
      </c>
      <c r="AW48" s="17"/>
      <c r="AX48" s="54">
        <f t="shared" si="27"/>
        <v>44</v>
      </c>
      <c r="AY48" s="54">
        <v>44</v>
      </c>
      <c r="AZ48" s="18">
        <f t="shared" si="28"/>
        <v>0</v>
      </c>
      <c r="BA48" s="17"/>
      <c r="BB48" s="17"/>
      <c r="BC48" s="17"/>
      <c r="BD48" s="17"/>
      <c r="BE48" s="17"/>
    </row>
    <row r="49" spans="1:63" s="7" customFormat="1" ht="15" customHeight="1" thickBot="1" x14ac:dyDescent="0.4">
      <c r="A49" s="2" t="s">
        <v>57</v>
      </c>
      <c r="B49" s="22">
        <v>0</v>
      </c>
      <c r="C49" s="22">
        <v>0</v>
      </c>
      <c r="D49" s="22">
        <v>0</v>
      </c>
      <c r="E49" s="22">
        <v>0</v>
      </c>
      <c r="F49" s="22">
        <v>0</v>
      </c>
      <c r="G49" s="22">
        <v>0</v>
      </c>
      <c r="H49" s="23" t="s">
        <v>71</v>
      </c>
      <c r="I49" s="22"/>
      <c r="J49" s="22">
        <v>0</v>
      </c>
      <c r="K49" s="22">
        <v>0</v>
      </c>
      <c r="L49" s="22">
        <v>0</v>
      </c>
      <c r="M49" s="22">
        <v>0</v>
      </c>
      <c r="N49" s="22">
        <v>0</v>
      </c>
      <c r="O49" s="22">
        <v>0</v>
      </c>
      <c r="P49" s="15" t="s">
        <v>71</v>
      </c>
      <c r="Q49" s="22"/>
      <c r="R49" s="29">
        <f t="shared" si="53"/>
        <v>0</v>
      </c>
      <c r="S49" s="29">
        <f t="shared" si="54"/>
        <v>0</v>
      </c>
      <c r="T49" s="29">
        <f t="shared" si="55"/>
        <v>0</v>
      </c>
      <c r="U49" s="29">
        <f t="shared" si="56"/>
        <v>0</v>
      </c>
      <c r="V49" s="29">
        <f t="shared" si="57"/>
        <v>0</v>
      </c>
      <c r="W49" s="29">
        <f t="shared" si="58"/>
        <v>0</v>
      </c>
      <c r="X49" s="15" t="s">
        <v>71</v>
      </c>
      <c r="Y49" s="22"/>
      <c r="Z49" s="22">
        <v>0</v>
      </c>
      <c r="AA49" s="22">
        <v>0</v>
      </c>
      <c r="AB49" s="22">
        <v>0</v>
      </c>
      <c r="AC49" s="22">
        <v>0</v>
      </c>
      <c r="AD49" s="22">
        <v>0</v>
      </c>
      <c r="AE49" s="22">
        <v>0</v>
      </c>
      <c r="AF49" s="23" t="s">
        <v>71</v>
      </c>
      <c r="AG49" s="22"/>
      <c r="AH49" s="22">
        <v>0</v>
      </c>
      <c r="AI49" s="22">
        <v>0</v>
      </c>
      <c r="AJ49" s="22">
        <v>0</v>
      </c>
      <c r="AK49" s="22">
        <v>0</v>
      </c>
      <c r="AL49" s="22">
        <v>0</v>
      </c>
      <c r="AM49" s="22">
        <v>0</v>
      </c>
      <c r="AN49" s="23" t="s">
        <v>71</v>
      </c>
      <c r="AO49" s="22"/>
      <c r="AP49" s="21">
        <f t="shared" si="59"/>
        <v>0</v>
      </c>
      <c r="AQ49" s="21">
        <f t="shared" si="60"/>
        <v>0</v>
      </c>
      <c r="AR49" s="21">
        <f t="shared" si="61"/>
        <v>0</v>
      </c>
      <c r="AS49" s="21">
        <f t="shared" si="62"/>
        <v>0</v>
      </c>
      <c r="AT49" s="21">
        <f t="shared" si="63"/>
        <v>0</v>
      </c>
      <c r="AU49" s="21">
        <f t="shared" si="64"/>
        <v>0</v>
      </c>
      <c r="AV49" s="15" t="s">
        <v>71</v>
      </c>
      <c r="AW49" s="17"/>
      <c r="AX49" s="54">
        <f t="shared" si="27"/>
        <v>0</v>
      </c>
      <c r="AY49" s="54">
        <v>0</v>
      </c>
      <c r="AZ49" s="18">
        <f t="shared" si="28"/>
        <v>0</v>
      </c>
      <c r="BA49" s="17"/>
      <c r="BB49" s="17"/>
      <c r="BC49" s="17"/>
      <c r="BD49" s="17"/>
      <c r="BE49" s="17"/>
    </row>
    <row r="50" spans="1:63" s="7" customFormat="1" ht="15" customHeight="1" thickBot="1" x14ac:dyDescent="0.4">
      <c r="A50" s="2" t="s">
        <v>58</v>
      </c>
      <c r="B50" s="22">
        <v>0</v>
      </c>
      <c r="C50" s="22">
        <v>1</v>
      </c>
      <c r="D50" s="22">
        <v>0</v>
      </c>
      <c r="E50" s="22">
        <v>0</v>
      </c>
      <c r="F50" s="22">
        <v>0</v>
      </c>
      <c r="G50" s="22">
        <v>0</v>
      </c>
      <c r="H50" s="23">
        <v>30</v>
      </c>
      <c r="I50" s="22"/>
      <c r="J50" s="22">
        <v>0</v>
      </c>
      <c r="K50" s="22">
        <v>0</v>
      </c>
      <c r="L50" s="22">
        <v>0</v>
      </c>
      <c r="M50" s="22">
        <v>0</v>
      </c>
      <c r="N50" s="22">
        <v>0</v>
      </c>
      <c r="O50" s="22">
        <v>0</v>
      </c>
      <c r="P50" s="15" t="s">
        <v>71</v>
      </c>
      <c r="Q50" s="22"/>
      <c r="R50" s="29">
        <f t="shared" si="53"/>
        <v>0</v>
      </c>
      <c r="S50" s="29">
        <f t="shared" si="54"/>
        <v>1</v>
      </c>
      <c r="T50" s="29">
        <f t="shared" si="55"/>
        <v>0</v>
      </c>
      <c r="U50" s="29">
        <f t="shared" si="56"/>
        <v>0</v>
      </c>
      <c r="V50" s="29">
        <f t="shared" si="57"/>
        <v>0</v>
      </c>
      <c r="W50" s="29">
        <f t="shared" si="58"/>
        <v>0</v>
      </c>
      <c r="X50" s="15">
        <v>30</v>
      </c>
      <c r="Y50" s="22"/>
      <c r="Z50" s="22">
        <v>0</v>
      </c>
      <c r="AA50" s="22">
        <v>1</v>
      </c>
      <c r="AB50" s="22">
        <v>0</v>
      </c>
      <c r="AC50" s="22">
        <v>1</v>
      </c>
      <c r="AD50" s="22">
        <v>0</v>
      </c>
      <c r="AE50" s="22">
        <v>0</v>
      </c>
      <c r="AF50" s="23">
        <v>40.25</v>
      </c>
      <c r="AG50" s="22"/>
      <c r="AH50" s="22">
        <v>0</v>
      </c>
      <c r="AI50" s="22">
        <v>1</v>
      </c>
      <c r="AJ50" s="22">
        <v>4</v>
      </c>
      <c r="AK50" s="22">
        <v>3</v>
      </c>
      <c r="AL50" s="22">
        <v>4</v>
      </c>
      <c r="AM50" s="22">
        <v>0</v>
      </c>
      <c r="AN50" s="23">
        <v>48.791666666666664</v>
      </c>
      <c r="AO50" s="22"/>
      <c r="AP50" s="21">
        <f t="shared" si="59"/>
        <v>0</v>
      </c>
      <c r="AQ50" s="21">
        <f t="shared" si="60"/>
        <v>3</v>
      </c>
      <c r="AR50" s="21">
        <f t="shared" si="61"/>
        <v>4</v>
      </c>
      <c r="AS50" s="21">
        <f t="shared" si="62"/>
        <v>4</v>
      </c>
      <c r="AT50" s="21">
        <f t="shared" si="63"/>
        <v>4</v>
      </c>
      <c r="AU50" s="21">
        <f t="shared" si="64"/>
        <v>0</v>
      </c>
      <c r="AV50" s="15">
        <v>46.4</v>
      </c>
      <c r="AW50" s="17"/>
      <c r="AX50" s="54">
        <f t="shared" si="27"/>
        <v>15</v>
      </c>
      <c r="AY50" s="54">
        <v>15</v>
      </c>
      <c r="AZ50" s="18">
        <f t="shared" si="28"/>
        <v>0</v>
      </c>
      <c r="BA50" s="17"/>
      <c r="BB50" s="17"/>
      <c r="BC50" s="17"/>
      <c r="BD50" s="17"/>
      <c r="BE50" s="17"/>
    </row>
    <row r="51" spans="1:63" s="7" customFormat="1" ht="15" customHeight="1" thickBot="1" x14ac:dyDescent="0.4">
      <c r="A51" s="2" t="s">
        <v>59</v>
      </c>
      <c r="B51" s="22">
        <v>0</v>
      </c>
      <c r="C51" s="22">
        <v>3</v>
      </c>
      <c r="D51" s="22">
        <v>0</v>
      </c>
      <c r="E51" s="22">
        <v>0</v>
      </c>
      <c r="F51" s="22">
        <v>0</v>
      </c>
      <c r="G51" s="22">
        <v>0</v>
      </c>
      <c r="H51" s="23">
        <v>30</v>
      </c>
      <c r="I51" s="22"/>
      <c r="J51" s="22">
        <v>0</v>
      </c>
      <c r="K51" s="22">
        <v>0</v>
      </c>
      <c r="L51" s="22">
        <v>0</v>
      </c>
      <c r="M51" s="22">
        <v>0</v>
      </c>
      <c r="N51" s="22">
        <v>0</v>
      </c>
      <c r="O51" s="22">
        <v>0</v>
      </c>
      <c r="P51" s="15" t="s">
        <v>71</v>
      </c>
      <c r="Q51" s="22"/>
      <c r="R51" s="29">
        <f t="shared" si="53"/>
        <v>0</v>
      </c>
      <c r="S51" s="29">
        <f t="shared" si="54"/>
        <v>3</v>
      </c>
      <c r="T51" s="29">
        <f t="shared" si="55"/>
        <v>0</v>
      </c>
      <c r="U51" s="29">
        <f t="shared" si="56"/>
        <v>0</v>
      </c>
      <c r="V51" s="29">
        <f t="shared" si="57"/>
        <v>0</v>
      </c>
      <c r="W51" s="29">
        <f t="shared" si="58"/>
        <v>0</v>
      </c>
      <c r="X51" s="15">
        <v>30</v>
      </c>
      <c r="Y51" s="22"/>
      <c r="Z51" s="22">
        <v>1</v>
      </c>
      <c r="AA51" s="22">
        <v>9</v>
      </c>
      <c r="AB51" s="22">
        <v>1</v>
      </c>
      <c r="AC51" s="22">
        <v>0</v>
      </c>
      <c r="AD51" s="22">
        <v>0</v>
      </c>
      <c r="AE51" s="22">
        <v>0</v>
      </c>
      <c r="AF51" s="23">
        <v>30.04545454545455</v>
      </c>
      <c r="AG51" s="22"/>
      <c r="AH51" s="22">
        <v>0</v>
      </c>
      <c r="AI51" s="22">
        <v>4</v>
      </c>
      <c r="AJ51" s="22">
        <v>4</v>
      </c>
      <c r="AK51" s="22">
        <v>2</v>
      </c>
      <c r="AL51" s="22">
        <v>1</v>
      </c>
      <c r="AM51" s="22">
        <v>0</v>
      </c>
      <c r="AN51" s="23">
        <v>40.31818181818182</v>
      </c>
      <c r="AO51" s="22"/>
      <c r="AP51" s="21">
        <f t="shared" si="59"/>
        <v>1</v>
      </c>
      <c r="AQ51" s="21">
        <f t="shared" si="60"/>
        <v>16</v>
      </c>
      <c r="AR51" s="21">
        <f t="shared" si="61"/>
        <v>5</v>
      </c>
      <c r="AS51" s="21">
        <f t="shared" si="62"/>
        <v>2</v>
      </c>
      <c r="AT51" s="21">
        <f t="shared" si="63"/>
        <v>1</v>
      </c>
      <c r="AU51" s="21">
        <f t="shared" si="64"/>
        <v>0</v>
      </c>
      <c r="AV51" s="15">
        <v>34.56</v>
      </c>
      <c r="AW51" s="17"/>
      <c r="AX51" s="54">
        <f t="shared" si="27"/>
        <v>25</v>
      </c>
      <c r="AY51" s="54">
        <v>25</v>
      </c>
      <c r="AZ51" s="18">
        <f t="shared" si="28"/>
        <v>0</v>
      </c>
      <c r="BA51" s="17"/>
      <c r="BB51" s="17"/>
      <c r="BC51" s="17"/>
      <c r="BD51" s="17"/>
      <c r="BE51" s="17"/>
    </row>
    <row r="52" spans="1:63" s="7" customFormat="1" ht="15" customHeight="1" thickBot="1" x14ac:dyDescent="0.4">
      <c r="A52" s="2" t="s">
        <v>60</v>
      </c>
      <c r="B52" s="22">
        <v>0</v>
      </c>
      <c r="C52" s="22">
        <v>0</v>
      </c>
      <c r="D52" s="22">
        <v>1</v>
      </c>
      <c r="E52" s="22">
        <v>0</v>
      </c>
      <c r="F52" s="22">
        <v>0</v>
      </c>
      <c r="G52" s="22">
        <v>0</v>
      </c>
      <c r="H52" s="23">
        <v>40.5</v>
      </c>
      <c r="I52" s="22"/>
      <c r="J52" s="22">
        <v>3</v>
      </c>
      <c r="K52" s="22">
        <v>11</v>
      </c>
      <c r="L52" s="22">
        <v>1</v>
      </c>
      <c r="M52" s="22">
        <v>0</v>
      </c>
      <c r="N52" s="22">
        <v>0</v>
      </c>
      <c r="O52" s="22">
        <v>0</v>
      </c>
      <c r="P52" s="15">
        <v>28.7</v>
      </c>
      <c r="Q52" s="22"/>
      <c r="R52" s="29">
        <f t="shared" si="53"/>
        <v>3</v>
      </c>
      <c r="S52" s="29">
        <f t="shared" si="54"/>
        <v>11</v>
      </c>
      <c r="T52" s="29">
        <f t="shared" si="55"/>
        <v>2</v>
      </c>
      <c r="U52" s="29">
        <f t="shared" si="56"/>
        <v>0</v>
      </c>
      <c r="V52" s="29">
        <f t="shared" si="57"/>
        <v>0</v>
      </c>
      <c r="W52" s="29">
        <f t="shared" si="58"/>
        <v>0</v>
      </c>
      <c r="X52" s="15">
        <v>29.4375</v>
      </c>
      <c r="Y52" s="22"/>
      <c r="Z52" s="22">
        <v>0</v>
      </c>
      <c r="AA52" s="22">
        <v>0</v>
      </c>
      <c r="AB52" s="22">
        <v>0</v>
      </c>
      <c r="AC52" s="22">
        <v>0</v>
      </c>
      <c r="AD52" s="22">
        <v>0</v>
      </c>
      <c r="AE52" s="22">
        <v>0</v>
      </c>
      <c r="AF52" s="23" t="s">
        <v>71</v>
      </c>
      <c r="AG52" s="22"/>
      <c r="AH52" s="22">
        <v>0</v>
      </c>
      <c r="AI52" s="22">
        <v>13</v>
      </c>
      <c r="AJ52" s="22">
        <v>9</v>
      </c>
      <c r="AK52" s="22">
        <v>4</v>
      </c>
      <c r="AL52" s="22">
        <v>5</v>
      </c>
      <c r="AM52" s="22">
        <v>0</v>
      </c>
      <c r="AN52" s="23">
        <v>40.612903225806456</v>
      </c>
      <c r="AO52" s="22"/>
      <c r="AP52" s="21">
        <f t="shared" si="59"/>
        <v>3</v>
      </c>
      <c r="AQ52" s="21">
        <f t="shared" si="60"/>
        <v>24</v>
      </c>
      <c r="AR52" s="21">
        <f t="shared" si="61"/>
        <v>11</v>
      </c>
      <c r="AS52" s="21">
        <f t="shared" si="62"/>
        <v>4</v>
      </c>
      <c r="AT52" s="21">
        <f t="shared" si="63"/>
        <v>5</v>
      </c>
      <c r="AU52" s="21">
        <f t="shared" si="64"/>
        <v>0</v>
      </c>
      <c r="AV52" s="15">
        <v>36.808510638297868</v>
      </c>
      <c r="AW52" s="17"/>
      <c r="AX52" s="54">
        <f t="shared" si="27"/>
        <v>47</v>
      </c>
      <c r="AY52" s="54">
        <v>45</v>
      </c>
      <c r="AZ52" s="18">
        <f t="shared" si="28"/>
        <v>2</v>
      </c>
      <c r="BA52" s="17"/>
      <c r="BB52" s="17"/>
      <c r="BC52" s="17"/>
      <c r="BD52" s="17"/>
      <c r="BE52" s="17"/>
    </row>
    <row r="53" spans="1:63" s="7" customFormat="1" ht="15" customHeight="1" thickBot="1" x14ac:dyDescent="0.4">
      <c r="A53" s="25" t="s">
        <v>61</v>
      </c>
      <c r="B53" s="26">
        <v>26</v>
      </c>
      <c r="C53" s="26">
        <v>73</v>
      </c>
      <c r="D53" s="26">
        <v>16</v>
      </c>
      <c r="E53" s="26">
        <v>5</v>
      </c>
      <c r="F53" s="26">
        <v>0</v>
      </c>
      <c r="G53" s="26">
        <v>0</v>
      </c>
      <c r="H53" s="27">
        <v>30.087500000000002</v>
      </c>
      <c r="I53" s="26"/>
      <c r="J53" s="26">
        <v>0</v>
      </c>
      <c r="K53" s="26">
        <v>0</v>
      </c>
      <c r="L53" s="26">
        <v>0</v>
      </c>
      <c r="M53" s="26">
        <v>0</v>
      </c>
      <c r="N53" s="26">
        <v>0</v>
      </c>
      <c r="O53" s="26">
        <v>0</v>
      </c>
      <c r="P53" s="28" t="s">
        <v>71</v>
      </c>
      <c r="Q53" s="26"/>
      <c r="R53" s="29">
        <f>B53+J53</f>
        <v>26</v>
      </c>
      <c r="S53" s="29">
        <f t="shared" ref="S53:W53" si="65">C53+K53</f>
        <v>73</v>
      </c>
      <c r="T53" s="29">
        <f t="shared" si="65"/>
        <v>16</v>
      </c>
      <c r="U53" s="29">
        <f t="shared" si="65"/>
        <v>5</v>
      </c>
      <c r="V53" s="29">
        <f t="shared" si="65"/>
        <v>0</v>
      </c>
      <c r="W53" s="29">
        <f t="shared" si="65"/>
        <v>0</v>
      </c>
      <c r="X53" s="28">
        <v>30.087500000000002</v>
      </c>
      <c r="Y53" s="26"/>
      <c r="Z53" s="26">
        <v>2</v>
      </c>
      <c r="AA53" s="26">
        <v>6</v>
      </c>
      <c r="AB53" s="26">
        <v>3</v>
      </c>
      <c r="AC53" s="26">
        <v>0</v>
      </c>
      <c r="AD53" s="26">
        <v>1</v>
      </c>
      <c r="AE53" s="26">
        <v>0</v>
      </c>
      <c r="AF53" s="27">
        <v>33.5</v>
      </c>
      <c r="AG53" s="26"/>
      <c r="AH53" s="26">
        <v>7</v>
      </c>
      <c r="AI53" s="26">
        <v>32</v>
      </c>
      <c r="AJ53" s="26">
        <v>12</v>
      </c>
      <c r="AK53" s="26">
        <v>4</v>
      </c>
      <c r="AL53" s="26">
        <v>1</v>
      </c>
      <c r="AM53" s="26">
        <v>0</v>
      </c>
      <c r="AN53" s="27">
        <v>33.008928571428569</v>
      </c>
      <c r="AO53" s="26"/>
      <c r="AP53" s="21">
        <f t="shared" si="59"/>
        <v>35</v>
      </c>
      <c r="AQ53" s="21">
        <f t="shared" si="60"/>
        <v>111</v>
      </c>
      <c r="AR53" s="21">
        <f t="shared" si="61"/>
        <v>31</v>
      </c>
      <c r="AS53" s="21">
        <f t="shared" si="62"/>
        <v>9</v>
      </c>
      <c r="AT53" s="21">
        <f t="shared" si="63"/>
        <v>2</v>
      </c>
      <c r="AU53" s="21">
        <f t="shared" si="64"/>
        <v>0</v>
      </c>
      <c r="AV53" s="28">
        <v>31.175531914893618</v>
      </c>
      <c r="AW53" s="17"/>
      <c r="AX53" s="54">
        <f t="shared" si="27"/>
        <v>188</v>
      </c>
      <c r="AY53" s="54">
        <v>188</v>
      </c>
      <c r="AZ53" s="18">
        <f t="shared" si="28"/>
        <v>0</v>
      </c>
      <c r="BA53" s="17"/>
      <c r="BB53" s="17"/>
      <c r="BC53" s="17"/>
      <c r="BD53" s="17"/>
      <c r="BE53" s="17"/>
    </row>
    <row r="54" spans="1:63" s="7" customFormat="1" ht="15" customHeight="1" x14ac:dyDescent="0.3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17"/>
      <c r="BD54" s="17"/>
      <c r="BE54" s="17"/>
      <c r="BF54" s="17"/>
      <c r="BG54" s="17"/>
      <c r="BH54" s="17"/>
      <c r="BI54" s="17"/>
      <c r="BJ54" s="17"/>
      <c r="BK54" s="17"/>
    </row>
    <row r="55" spans="1:63" x14ac:dyDescent="0.35">
      <c r="A55" s="81" t="s">
        <v>62</v>
      </c>
      <c r="B55" s="81"/>
      <c r="C55" s="81"/>
      <c r="D55" s="81"/>
      <c r="E55" s="81"/>
      <c r="F55" s="81"/>
      <c r="G55" s="81"/>
      <c r="H55" s="81"/>
      <c r="I55" s="81"/>
      <c r="J55" s="81"/>
      <c r="K55" s="81"/>
      <c r="L55" s="81"/>
      <c r="M55" s="81"/>
      <c r="N55" s="81"/>
      <c r="O55" s="81"/>
      <c r="P55" s="81"/>
      <c r="Q55" s="81"/>
      <c r="R55" s="81"/>
      <c r="S55" s="81"/>
      <c r="T55" s="81"/>
      <c r="U55" s="81"/>
      <c r="V55" s="81"/>
      <c r="W55" s="81"/>
      <c r="X55" s="81"/>
    </row>
    <row r="56" spans="1:63" x14ac:dyDescent="0.35">
      <c r="A56" s="30" t="s">
        <v>73</v>
      </c>
      <c r="B56" s="30"/>
      <c r="C56" s="30"/>
      <c r="D56" s="30"/>
      <c r="E56" s="30"/>
      <c r="F56" s="30"/>
      <c r="G56" s="30"/>
      <c r="H56" s="30"/>
      <c r="I56" s="30"/>
      <c r="J56" s="30"/>
      <c r="K56" s="30"/>
      <c r="L56" s="30"/>
      <c r="M56" s="30"/>
      <c r="N56" s="30"/>
      <c r="O56" s="30"/>
      <c r="P56" s="30"/>
      <c r="Q56" s="30"/>
      <c r="R56" s="30"/>
      <c r="S56" s="30"/>
      <c r="T56" s="30"/>
      <c r="U56" s="30"/>
      <c r="V56" s="30"/>
      <c r="W56" s="30"/>
      <c r="X56" s="30"/>
    </row>
    <row r="57" spans="1:63" x14ac:dyDescent="0.35">
      <c r="A57" s="82"/>
      <c r="B57" s="82"/>
      <c r="C57" s="82"/>
      <c r="D57" s="82"/>
      <c r="E57" s="82"/>
      <c r="F57" s="82"/>
      <c r="G57" s="82"/>
      <c r="H57" s="82"/>
      <c r="I57" s="82"/>
      <c r="J57" s="82"/>
      <c r="K57" s="82"/>
      <c r="L57" s="82"/>
      <c r="M57" s="82"/>
      <c r="N57" s="82"/>
      <c r="O57" s="82"/>
      <c r="P57" s="82"/>
      <c r="Q57" s="82"/>
      <c r="R57" s="82"/>
      <c r="S57" s="82"/>
      <c r="T57" s="82"/>
      <c r="U57" s="82"/>
      <c r="V57" s="82"/>
      <c r="W57" s="82"/>
      <c r="X57" s="82"/>
    </row>
    <row r="58" spans="1:63" x14ac:dyDescent="0.35">
      <c r="A58" s="31" t="s">
        <v>63</v>
      </c>
    </row>
    <row r="59" spans="1:63" x14ac:dyDescent="0.35">
      <c r="A59" s="83" t="s">
        <v>74</v>
      </c>
      <c r="B59" s="83"/>
      <c r="C59" s="83"/>
      <c r="D59" s="83"/>
      <c r="E59" s="83"/>
      <c r="F59" s="83"/>
      <c r="G59" s="83"/>
      <c r="H59" s="83"/>
      <c r="I59" s="83"/>
      <c r="J59" s="83"/>
      <c r="K59" s="83"/>
      <c r="L59" s="83"/>
      <c r="M59" s="83"/>
      <c r="N59" s="83"/>
      <c r="O59" s="83"/>
      <c r="P59" s="83"/>
      <c r="Q59" s="83"/>
      <c r="R59" s="83"/>
      <c r="S59" s="83"/>
      <c r="T59" s="83"/>
      <c r="U59" s="83"/>
      <c r="V59" s="83"/>
      <c r="W59" s="83"/>
      <c r="X59" s="83"/>
    </row>
    <row r="61" spans="1:63" x14ac:dyDescent="0.35">
      <c r="A61" s="4" t="s">
        <v>64</v>
      </c>
      <c r="B61" s="32"/>
      <c r="C61" s="32"/>
      <c r="D61" s="32"/>
      <c r="E61" s="32"/>
      <c r="F61" s="32"/>
      <c r="G61" s="32"/>
      <c r="H61" s="32"/>
      <c r="I61" s="32"/>
      <c r="J61" s="32"/>
      <c r="K61" s="32"/>
      <c r="L61" s="32"/>
      <c r="M61" s="32"/>
      <c r="N61" s="32"/>
      <c r="O61" s="32"/>
      <c r="P61" s="32"/>
      <c r="Q61" s="32"/>
      <c r="R61" s="32"/>
      <c r="S61" s="32"/>
      <c r="T61" s="32"/>
      <c r="U61" s="32"/>
      <c r="V61" s="32"/>
      <c r="W61" s="32"/>
      <c r="X61" s="32"/>
    </row>
    <row r="62" spans="1:63" x14ac:dyDescent="0.35">
      <c r="A62" s="33" t="s">
        <v>65</v>
      </c>
      <c r="B62" s="32"/>
      <c r="C62" s="32"/>
      <c r="D62" s="32"/>
      <c r="E62" s="32"/>
      <c r="F62" s="32"/>
      <c r="G62" s="32"/>
      <c r="H62" s="32"/>
      <c r="I62" s="32"/>
      <c r="J62" s="32"/>
      <c r="K62" s="32"/>
      <c r="L62" s="32"/>
      <c r="M62" s="32"/>
      <c r="N62" s="32"/>
      <c r="O62" s="32"/>
      <c r="P62" s="32"/>
      <c r="Q62" s="32"/>
      <c r="R62" s="32"/>
      <c r="S62" s="32"/>
      <c r="T62" s="32"/>
      <c r="U62" s="32"/>
      <c r="V62" s="32"/>
      <c r="W62" s="32"/>
      <c r="X62" s="32"/>
    </row>
    <row r="64" spans="1:63" x14ac:dyDescent="0.35">
      <c r="A64" s="81" t="s">
        <v>66</v>
      </c>
      <c r="B64" s="81"/>
      <c r="C64" s="81"/>
      <c r="D64" s="81"/>
      <c r="E64" s="81"/>
      <c r="F64" s="81"/>
      <c r="G64" s="81"/>
      <c r="H64" s="81"/>
      <c r="I64" s="81"/>
      <c r="J64" s="81"/>
      <c r="K64" s="81"/>
      <c r="L64" s="81"/>
      <c r="M64" s="81"/>
      <c r="N64" s="81"/>
      <c r="O64" s="81"/>
      <c r="P64" s="81"/>
      <c r="Q64" s="81"/>
      <c r="R64" s="81"/>
      <c r="S64" s="81"/>
      <c r="T64" s="81"/>
      <c r="U64" s="81"/>
      <c r="V64" s="81"/>
      <c r="W64" s="81"/>
      <c r="X64" s="81"/>
    </row>
    <row r="65" spans="1:48" x14ac:dyDescent="0.35">
      <c r="A65" s="33"/>
      <c r="AV65" s="7"/>
    </row>
    <row r="66" spans="1:48" x14ac:dyDescent="0.35">
      <c r="A66" s="4" t="s">
        <v>67</v>
      </c>
      <c r="X66" s="34"/>
      <c r="AV66" s="37" t="s">
        <v>68</v>
      </c>
    </row>
    <row r="67" spans="1:48" x14ac:dyDescent="0.35">
      <c r="A67" s="33" t="s">
        <v>69</v>
      </c>
      <c r="X67" s="34"/>
      <c r="AV67" s="34" t="s">
        <v>70</v>
      </c>
    </row>
  </sheetData>
  <mergeCells count="12">
    <mergeCell ref="A55:X55"/>
    <mergeCell ref="A57:X57"/>
    <mergeCell ref="A59:X59"/>
    <mergeCell ref="A64:X64"/>
    <mergeCell ref="A1:AV1"/>
    <mergeCell ref="B2:AV2"/>
    <mergeCell ref="B3:H3"/>
    <mergeCell ref="J3:P3"/>
    <mergeCell ref="R3:X3"/>
    <mergeCell ref="Z3:AE3"/>
    <mergeCell ref="AH3:AM3"/>
    <mergeCell ref="AP3:AV3"/>
  </mergeCells>
  <hyperlinks>
    <hyperlink ref="A62" r:id="rId1" xr:uid="{00000000-0004-0000-0000-000000000000}"/>
    <hyperlink ref="A67" r:id="rId2" xr:uid="{00000000-0004-0000-0000-000001000000}"/>
    <hyperlink ref="AV66" r:id="rId3" xr:uid="{00000000-0004-0000-0000-000002000000}"/>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3:D3"/>
  <sheetViews>
    <sheetView workbookViewId="0">
      <selection activeCell="A4" sqref="A4:L4"/>
    </sheetView>
  </sheetViews>
  <sheetFormatPr defaultRowHeight="14.5" x14ac:dyDescent="0.35"/>
  <sheetData>
    <row r="3" spans="3:4" x14ac:dyDescent="0.35">
      <c r="C3" s="55">
        <f ca="1">(FIRE1122!R8+FIRE1122!S8)/SUM(FIRE1122!R8:V8)</f>
        <v>0.71109713926438223</v>
      </c>
      <c r="D3" s="55">
        <v>0.26992125984251969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F103"/>
  <sheetViews>
    <sheetView tabSelected="1" zoomScaleNormal="100" workbookViewId="0">
      <pane ySplit="7" topLeftCell="A8" activePane="bottomLeft" state="frozen"/>
      <selection pane="bottomLeft" activeCell="A4" sqref="A4:L4"/>
    </sheetView>
  </sheetViews>
  <sheetFormatPr defaultColWidth="9.1796875" defaultRowHeight="14.5" x14ac:dyDescent="0.35"/>
  <cols>
    <col min="1" max="1" width="50.7265625" style="4" customWidth="1"/>
    <col min="2" max="8" width="8.7265625" style="4" customWidth="1"/>
    <col min="9" max="9" width="2.6328125" style="4" customWidth="1"/>
    <col min="10" max="16" width="8.7265625" style="4" customWidth="1"/>
    <col min="17" max="17" width="2.7265625" style="4" customWidth="1"/>
    <col min="18" max="24" width="8.7265625" style="4" customWidth="1"/>
    <col min="25" max="25" width="2.7265625" style="4" customWidth="1"/>
    <col min="26" max="32" width="8.7265625" style="4" customWidth="1"/>
    <col min="33" max="33" width="2.7265625" style="4" customWidth="1"/>
    <col min="34" max="40" width="8.7265625" style="4" customWidth="1"/>
    <col min="41" max="41" width="2.7265625" style="4" customWidth="1"/>
    <col min="42" max="48" width="8.7265625" style="4" customWidth="1"/>
    <col min="49" max="51" width="9.1796875" style="4"/>
    <col min="52" max="52" width="0" style="4" hidden="1" customWidth="1"/>
    <col min="53" max="16384" width="9.1796875" style="4"/>
  </cols>
  <sheetData>
    <row r="1" spans="1:58" s="1" customFormat="1" ht="17" x14ac:dyDescent="0.5">
      <c r="A1" s="84" t="s">
        <v>75</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row>
    <row r="2" spans="1:58" s="1" customFormat="1" ht="23.25" customHeight="1" x14ac:dyDescent="0.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row>
    <row r="3" spans="1:58" s="1" customFormat="1" ht="23.25" customHeight="1" x14ac:dyDescent="0.5">
      <c r="A3" s="20" t="s">
        <v>95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row>
    <row r="4" spans="1:58" s="1" customFormat="1" ht="17" x14ac:dyDescent="0.5">
      <c r="A4" s="92" t="s">
        <v>174</v>
      </c>
      <c r="B4" s="92"/>
      <c r="C4" s="92"/>
      <c r="D4" s="92"/>
      <c r="E4" s="92"/>
      <c r="F4" s="92"/>
      <c r="G4" s="92"/>
      <c r="H4" s="92"/>
      <c r="I4" s="92"/>
      <c r="J4" s="92"/>
      <c r="K4" s="92"/>
      <c r="L4" s="92"/>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row>
    <row r="5" spans="1:58" s="3" customFormat="1" x14ac:dyDescent="0.35">
      <c r="A5" s="2"/>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row>
    <row r="6" spans="1:58" s="7" customFormat="1" ht="15.75" customHeight="1" thickBot="1" x14ac:dyDescent="0.4">
      <c r="A6" s="4"/>
      <c r="B6" s="88" t="s">
        <v>96</v>
      </c>
      <c r="C6" s="88"/>
      <c r="D6" s="88"/>
      <c r="E6" s="88"/>
      <c r="F6" s="88"/>
      <c r="G6" s="88"/>
      <c r="H6" s="88"/>
      <c r="I6" s="39"/>
      <c r="J6" s="86" t="s">
        <v>211</v>
      </c>
      <c r="K6" s="86"/>
      <c r="L6" s="86"/>
      <c r="M6" s="86"/>
      <c r="N6" s="86"/>
      <c r="O6" s="86"/>
      <c r="P6" s="86"/>
      <c r="Q6" s="39"/>
      <c r="R6" s="87" t="s">
        <v>1</v>
      </c>
      <c r="S6" s="87"/>
      <c r="T6" s="87"/>
      <c r="U6" s="87"/>
      <c r="V6" s="87"/>
      <c r="W6" s="87"/>
      <c r="X6" s="87"/>
      <c r="Y6" s="39"/>
      <c r="Z6" s="86" t="s">
        <v>97</v>
      </c>
      <c r="AA6" s="86"/>
      <c r="AB6" s="86"/>
      <c r="AC6" s="86"/>
      <c r="AD6" s="86"/>
      <c r="AE6" s="86"/>
      <c r="AF6" s="86"/>
      <c r="AG6" s="39"/>
      <c r="AH6" s="86" t="s">
        <v>3</v>
      </c>
      <c r="AI6" s="86"/>
      <c r="AJ6" s="86"/>
      <c r="AK6" s="86"/>
      <c r="AL6" s="86"/>
      <c r="AM6" s="86"/>
      <c r="AN6" s="86"/>
      <c r="AO6" s="39"/>
      <c r="AP6" s="87" t="s">
        <v>4</v>
      </c>
      <c r="AQ6" s="87"/>
      <c r="AR6" s="87"/>
      <c r="AS6" s="87"/>
      <c r="AT6" s="87"/>
      <c r="AU6" s="87"/>
      <c r="AV6" s="87"/>
    </row>
    <row r="7" spans="1:58" s="12" customFormat="1" ht="46" thickBot="1" x14ac:dyDescent="0.4">
      <c r="A7" s="8" t="s">
        <v>5</v>
      </c>
      <c r="B7" s="9" t="s">
        <v>6</v>
      </c>
      <c r="C7" s="9" t="s">
        <v>7</v>
      </c>
      <c r="D7" s="9" t="s">
        <v>8</v>
      </c>
      <c r="E7" s="9" t="s">
        <v>9</v>
      </c>
      <c r="F7" s="9" t="s">
        <v>10</v>
      </c>
      <c r="G7" s="9" t="s">
        <v>11</v>
      </c>
      <c r="H7" s="10" t="s">
        <v>12</v>
      </c>
      <c r="I7" s="40"/>
      <c r="J7" s="9" t="s">
        <v>6</v>
      </c>
      <c r="K7" s="9" t="s">
        <v>7</v>
      </c>
      <c r="L7" s="9" t="s">
        <v>8</v>
      </c>
      <c r="M7" s="9" t="s">
        <v>9</v>
      </c>
      <c r="N7" s="9" t="s">
        <v>10</v>
      </c>
      <c r="O7" s="9" t="s">
        <v>11</v>
      </c>
      <c r="P7" s="10" t="s">
        <v>12</v>
      </c>
      <c r="Q7" s="40"/>
      <c r="R7" s="44" t="s">
        <v>6</v>
      </c>
      <c r="S7" s="44" t="s">
        <v>7</v>
      </c>
      <c r="T7" s="44" t="s">
        <v>8</v>
      </c>
      <c r="U7" s="44" t="s">
        <v>9</v>
      </c>
      <c r="V7" s="44" t="s">
        <v>10</v>
      </c>
      <c r="W7" s="44" t="s">
        <v>11</v>
      </c>
      <c r="X7" s="80" t="s">
        <v>212</v>
      </c>
      <c r="Y7" s="40"/>
      <c r="Z7" s="9" t="s">
        <v>6</v>
      </c>
      <c r="AA7" s="9" t="s">
        <v>7</v>
      </c>
      <c r="AB7" s="9" t="s">
        <v>8</v>
      </c>
      <c r="AC7" s="9" t="s">
        <v>9</v>
      </c>
      <c r="AD7" s="9" t="s">
        <v>10</v>
      </c>
      <c r="AE7" s="9" t="s">
        <v>11</v>
      </c>
      <c r="AF7" s="10" t="s">
        <v>12</v>
      </c>
      <c r="AG7" s="40"/>
      <c r="AH7" s="9" t="s">
        <v>6</v>
      </c>
      <c r="AI7" s="9" t="s">
        <v>7</v>
      </c>
      <c r="AJ7" s="9" t="s">
        <v>8</v>
      </c>
      <c r="AK7" s="9" t="s">
        <v>9</v>
      </c>
      <c r="AL7" s="9" t="s">
        <v>10</v>
      </c>
      <c r="AM7" s="9" t="s">
        <v>11</v>
      </c>
      <c r="AN7" s="10" t="s">
        <v>12</v>
      </c>
      <c r="AO7" s="40"/>
      <c r="AP7" s="44" t="s">
        <v>6</v>
      </c>
      <c r="AQ7" s="44" t="s">
        <v>7</v>
      </c>
      <c r="AR7" s="44" t="s">
        <v>8</v>
      </c>
      <c r="AS7" s="44" t="s">
        <v>9</v>
      </c>
      <c r="AT7" s="44" t="s">
        <v>10</v>
      </c>
      <c r="AU7" s="44" t="s">
        <v>11</v>
      </c>
      <c r="AV7" s="80" t="s">
        <v>212</v>
      </c>
    </row>
    <row r="8" spans="1:58" s="7" customFormat="1" ht="15" customHeight="1" x14ac:dyDescent="0.35">
      <c r="A8" s="13" t="s">
        <v>13</v>
      </c>
      <c r="B8" s="21">
        <f ca="1">ROUND(FIRE1122_raw!B8,0)</f>
        <v>235</v>
      </c>
      <c r="C8" s="21">
        <f ca="1">ROUND(FIRE1122_raw!C8,0)</f>
        <v>962</v>
      </c>
      <c r="D8" s="21">
        <f ca="1">ROUND(FIRE1122_raw!D8,0)</f>
        <v>295</v>
      </c>
      <c r="E8" s="21">
        <f ca="1">ROUND(FIRE1122_raw!E8,0)</f>
        <v>96</v>
      </c>
      <c r="F8" s="21">
        <f ca="1">ROUND(FIRE1122_raw!F8,0)</f>
        <v>7</v>
      </c>
      <c r="G8" s="21">
        <f ca="1">ROUND(FIRE1122_raw!G8,0)</f>
        <v>0</v>
      </c>
      <c r="H8" s="21">
        <f ca="1">IF(FIRE1122_raw!H8="-","-",ROUND(FIRE1122_raw!H8,0))</f>
        <v>32</v>
      </c>
      <c r="I8" s="22"/>
      <c r="J8" s="21">
        <f ca="1">ROUND(FIRE1122_raw!J8,0)</f>
        <v>352</v>
      </c>
      <c r="K8" s="21">
        <f ca="1">ROUND(FIRE1122_raw!K8,0)</f>
        <v>713</v>
      </c>
      <c r="L8" s="21">
        <f ca="1">ROUND(FIRE1122_raw!L8,0)</f>
        <v>336</v>
      </c>
      <c r="M8" s="21">
        <f ca="1">ROUND(FIRE1122_raw!M8,0)</f>
        <v>156</v>
      </c>
      <c r="N8" s="21">
        <f ca="1">ROUND(FIRE1122_raw!N8,0)</f>
        <v>29</v>
      </c>
      <c r="O8" s="21">
        <f ca="1">ROUND(FIRE1122_raw!O8,0)</f>
        <v>1</v>
      </c>
      <c r="P8" s="21">
        <f ca="1">IF(FIRE1122_raw!P8="-","-",ROUND(FIRE1122_raw!P8,0))</f>
        <v>32</v>
      </c>
      <c r="Q8" s="14"/>
      <c r="R8" s="21">
        <f ca="1">ROUND(FIRE1122_raw!R8,0)</f>
        <v>587</v>
      </c>
      <c r="S8" s="21">
        <f ca="1">ROUND(FIRE1122_raw!S8,0)</f>
        <v>1675</v>
      </c>
      <c r="T8" s="21">
        <f ca="1">ROUND(FIRE1122_raw!T8,0)</f>
        <v>631</v>
      </c>
      <c r="U8" s="21">
        <f ca="1">ROUND(FIRE1122_raw!U8,0)</f>
        <v>252</v>
      </c>
      <c r="V8" s="21">
        <f ca="1">ROUND(FIRE1122_raw!V8,0)</f>
        <v>36</v>
      </c>
      <c r="W8" s="21">
        <f ca="1">ROUND(FIRE1122_raw!W8,0)</f>
        <v>1</v>
      </c>
      <c r="X8" s="21">
        <f ca="1">IF(FIRE1122_raw!X8="-","-",ROUND(FIRE1122_raw!X8,0))</f>
        <v>32</v>
      </c>
      <c r="Y8" s="14"/>
      <c r="Z8" s="21">
        <f ca="1">ROUND(FIRE1122_raw!Z8,0)</f>
        <v>16</v>
      </c>
      <c r="AA8" s="21">
        <f ca="1">ROUND(FIRE1122_raw!AA8,0)</f>
        <v>42</v>
      </c>
      <c r="AB8" s="21">
        <f ca="1">ROUND(FIRE1122_raw!AB8,0)</f>
        <v>21</v>
      </c>
      <c r="AC8" s="21">
        <f ca="1">ROUND(FIRE1122_raw!AC8,0)</f>
        <v>11</v>
      </c>
      <c r="AD8" s="21">
        <f ca="1">ROUND(FIRE1122_raw!AD8,0)</f>
        <v>2</v>
      </c>
      <c r="AE8" s="21">
        <f ca="1">ROUND(FIRE1122_raw!AE8,0)</f>
        <v>0</v>
      </c>
      <c r="AF8" s="21">
        <f ca="1">IF(FIRE1122_raw!AF8="-","-",ROUND(FIRE1122_raw!AF8,0))</f>
        <v>34</v>
      </c>
      <c r="AG8" s="14"/>
      <c r="AH8" s="21">
        <f ca="1">ROUND(FIRE1122_raw!AH8,0)</f>
        <v>122</v>
      </c>
      <c r="AI8" s="21">
        <f ca="1">ROUND(FIRE1122_raw!AI8,0)</f>
        <v>286</v>
      </c>
      <c r="AJ8" s="21">
        <f ca="1">ROUND(FIRE1122_raw!AJ8,0)</f>
        <v>193</v>
      </c>
      <c r="AK8" s="21">
        <f ca="1">ROUND(FIRE1122_raw!AK8,0)</f>
        <v>256</v>
      </c>
      <c r="AL8" s="21">
        <f ca="1">ROUND(FIRE1122_raw!AL8,0)</f>
        <v>115</v>
      </c>
      <c r="AM8" s="21">
        <f ca="1">ROUND(FIRE1122_raw!AM8,0)</f>
        <v>10</v>
      </c>
      <c r="AN8" s="21">
        <f ca="1">IF(FIRE1122_raw!AN8="-","-",ROUND(FIRE1122_raw!AN8,0))</f>
        <v>39</v>
      </c>
      <c r="AO8" s="14"/>
      <c r="AP8" s="21">
        <f ca="1">ROUND(FIRE1122_raw!AP8,0)</f>
        <v>725</v>
      </c>
      <c r="AQ8" s="21">
        <f ca="1">ROUND(FIRE1122_raw!AQ8,0)</f>
        <v>2003</v>
      </c>
      <c r="AR8" s="21">
        <f ca="1">ROUND(FIRE1122_raw!AR8,0)</f>
        <v>845</v>
      </c>
      <c r="AS8" s="21">
        <f ca="1">ROUND(FIRE1122_raw!AS8,0)</f>
        <v>519</v>
      </c>
      <c r="AT8" s="21">
        <f ca="1">ROUND(FIRE1122_raw!AT8,0)</f>
        <v>153</v>
      </c>
      <c r="AU8" s="21">
        <f ca="1">ROUND(FIRE1122_raw!AU8,0)</f>
        <v>11</v>
      </c>
      <c r="AV8" s="21">
        <f ca="1">IF(FIRE1122_raw!AV8="-","-",ROUND(FIRE1122_raw!AV8,0))</f>
        <v>34</v>
      </c>
      <c r="AW8" s="17"/>
      <c r="AX8" s="17"/>
      <c r="AY8" s="17"/>
      <c r="AZ8" s="17"/>
      <c r="BA8" s="17"/>
      <c r="BB8" s="17"/>
      <c r="BC8" s="17"/>
      <c r="BD8" s="17"/>
      <c r="BE8" s="17"/>
      <c r="BF8" s="19"/>
    </row>
    <row r="9" spans="1:58" s="7" customFormat="1" ht="15" customHeight="1" x14ac:dyDescent="0.35">
      <c r="A9" s="20" t="s">
        <v>14</v>
      </c>
      <c r="B9" s="21">
        <f ca="1">ROUND(FIRE1122_raw!B9,0)</f>
        <v>93</v>
      </c>
      <c r="C9" s="21">
        <f ca="1">ROUND(FIRE1122_raw!C9,0)</f>
        <v>434</v>
      </c>
      <c r="D9" s="21">
        <f ca="1">ROUND(FIRE1122_raw!D9,0)</f>
        <v>183</v>
      </c>
      <c r="E9" s="21">
        <f ca="1">ROUND(FIRE1122_raw!E9,0)</f>
        <v>71</v>
      </c>
      <c r="F9" s="21">
        <f ca="1">ROUND(FIRE1122_raw!F9,0)</f>
        <v>5</v>
      </c>
      <c r="G9" s="21">
        <f ca="1">ROUND(FIRE1122_raw!G9,0)</f>
        <v>0</v>
      </c>
      <c r="H9" s="21">
        <f ca="1">IF(FIRE1122_raw!H9="-","-",ROUND(FIRE1122_raw!H9,0))</f>
        <v>33</v>
      </c>
      <c r="I9" s="22"/>
      <c r="J9" s="21">
        <f ca="1">ROUND(FIRE1122_raw!J9,0)</f>
        <v>345</v>
      </c>
      <c r="K9" s="21">
        <f ca="1">ROUND(FIRE1122_raw!K9,0)</f>
        <v>689</v>
      </c>
      <c r="L9" s="21">
        <f ca="1">ROUND(FIRE1122_raw!L9,0)</f>
        <v>322</v>
      </c>
      <c r="M9" s="21">
        <f ca="1">ROUND(FIRE1122_raw!M9,0)</f>
        <v>154</v>
      </c>
      <c r="N9" s="21">
        <f ca="1">ROUND(FIRE1122_raw!N9,0)</f>
        <v>28</v>
      </c>
      <c r="O9" s="21">
        <f ca="1">ROUND(FIRE1122_raw!O9,0)</f>
        <v>1</v>
      </c>
      <c r="P9" s="21">
        <f ca="1">IF(FIRE1122_raw!P9="-","-",ROUND(FIRE1122_raw!P9,0))</f>
        <v>32</v>
      </c>
      <c r="Q9" s="21"/>
      <c r="R9" s="21">
        <f ca="1">ROUND(FIRE1122_raw!R9,0)</f>
        <v>438</v>
      </c>
      <c r="S9" s="21">
        <f ca="1">ROUND(FIRE1122_raw!S9,0)</f>
        <v>1123</v>
      </c>
      <c r="T9" s="21">
        <f ca="1">ROUND(FIRE1122_raw!T9,0)</f>
        <v>505</v>
      </c>
      <c r="U9" s="21">
        <f ca="1">ROUND(FIRE1122_raw!U9,0)</f>
        <v>225</v>
      </c>
      <c r="V9" s="21">
        <f ca="1">ROUND(FIRE1122_raw!V9,0)</f>
        <v>33</v>
      </c>
      <c r="W9" s="21">
        <f ca="1">ROUND(FIRE1122_raw!W9,0)</f>
        <v>1</v>
      </c>
      <c r="X9" s="21">
        <f ca="1">IF(FIRE1122_raw!X9="-","-",ROUND(FIRE1122_raw!X9,0))</f>
        <v>33</v>
      </c>
      <c r="Y9" s="21"/>
      <c r="Z9" s="21">
        <f ca="1">ROUND(FIRE1122_raw!Z9,0)</f>
        <v>13</v>
      </c>
      <c r="AA9" s="21">
        <f ca="1">ROUND(FIRE1122_raw!AA9,0)</f>
        <v>36</v>
      </c>
      <c r="AB9" s="21">
        <f ca="1">ROUND(FIRE1122_raw!AB9,0)</f>
        <v>14</v>
      </c>
      <c r="AC9" s="21">
        <f ca="1">ROUND(FIRE1122_raw!AC9,0)</f>
        <v>7</v>
      </c>
      <c r="AD9" s="21">
        <f ca="1">ROUND(FIRE1122_raw!AD9,0)</f>
        <v>0</v>
      </c>
      <c r="AE9" s="21">
        <f ca="1">ROUND(FIRE1122_raw!AE9,0)</f>
        <v>0</v>
      </c>
      <c r="AF9" s="21">
        <f ca="1">IF(FIRE1122_raw!AF9="-","-",ROUND(FIRE1122_raw!AF9,0))</f>
        <v>32</v>
      </c>
      <c r="AG9" s="21"/>
      <c r="AH9" s="21">
        <f ca="1">ROUND(FIRE1122_raw!AH9,0)</f>
        <v>72</v>
      </c>
      <c r="AI9" s="21">
        <f ca="1">ROUND(FIRE1122_raw!AI9,0)</f>
        <v>182</v>
      </c>
      <c r="AJ9" s="21">
        <f ca="1">ROUND(FIRE1122_raw!AJ9,0)</f>
        <v>134</v>
      </c>
      <c r="AK9" s="21">
        <f ca="1">ROUND(FIRE1122_raw!AK9,0)</f>
        <v>176</v>
      </c>
      <c r="AL9" s="21">
        <f ca="1">ROUND(FIRE1122_raw!AL9,0)</f>
        <v>74</v>
      </c>
      <c r="AM9" s="21">
        <f ca="1">ROUND(FIRE1122_raw!AM9,0)</f>
        <v>10</v>
      </c>
      <c r="AN9" s="21">
        <f ca="1">IF(FIRE1122_raw!AN9="-","-",ROUND(FIRE1122_raw!AN9,0))</f>
        <v>40</v>
      </c>
      <c r="AO9" s="21"/>
      <c r="AP9" s="21">
        <f ca="1">ROUND(FIRE1122_raw!AP9,0)</f>
        <v>523</v>
      </c>
      <c r="AQ9" s="21">
        <f ca="1">ROUND(FIRE1122_raw!AQ9,0)</f>
        <v>1341</v>
      </c>
      <c r="AR9" s="21">
        <f ca="1">ROUND(FIRE1122_raw!AR9,0)</f>
        <v>653</v>
      </c>
      <c r="AS9" s="21">
        <f ca="1">ROUND(FIRE1122_raw!AS9,0)</f>
        <v>408</v>
      </c>
      <c r="AT9" s="21">
        <f ca="1">ROUND(FIRE1122_raw!AT9,0)</f>
        <v>107</v>
      </c>
      <c r="AU9" s="21">
        <f ca="1">ROUND(FIRE1122_raw!AU9,0)</f>
        <v>11</v>
      </c>
      <c r="AV9" s="21">
        <f ca="1">IF(FIRE1122_raw!AV9="-","-",ROUND(FIRE1122_raw!AV9,0))</f>
        <v>34</v>
      </c>
      <c r="AW9" s="17"/>
      <c r="AX9" s="17"/>
      <c r="AY9" s="17"/>
      <c r="AZ9" s="17"/>
      <c r="BA9" s="17"/>
      <c r="BB9" s="17"/>
      <c r="BC9" s="17"/>
      <c r="BD9" s="17"/>
      <c r="BE9" s="17"/>
    </row>
    <row r="10" spans="1:58" s="7" customFormat="1" ht="15" customHeight="1" x14ac:dyDescent="0.35">
      <c r="A10" s="2" t="s">
        <v>15</v>
      </c>
      <c r="B10" s="22">
        <f ca="1">ROUND(FIRE1122_raw!B10,0)</f>
        <v>0</v>
      </c>
      <c r="C10" s="22">
        <f ca="1">ROUND(FIRE1122_raw!C10,0)</f>
        <v>11</v>
      </c>
      <c r="D10" s="22">
        <f ca="1">ROUND(FIRE1122_raw!D10,0)</f>
        <v>3</v>
      </c>
      <c r="E10" s="22">
        <f ca="1">ROUND(FIRE1122_raw!E10,0)</f>
        <v>1</v>
      </c>
      <c r="F10" s="22">
        <f ca="1">ROUND(FIRE1122_raw!F10,0)</f>
        <v>0</v>
      </c>
      <c r="G10" s="22">
        <f ca="1">ROUND(FIRE1122_raw!G10,0)</f>
        <v>0</v>
      </c>
      <c r="H10" s="22">
        <f ca="1">IF(FIRE1122_raw!H10="-","-",ROUND(FIRE1122_raw!H10,0))</f>
        <v>33</v>
      </c>
      <c r="I10" s="22"/>
      <c r="J10" s="22">
        <f ca="1">ROUND(FIRE1122_raw!J10,0)</f>
        <v>3</v>
      </c>
      <c r="K10" s="22">
        <f ca="1">ROUND(FIRE1122_raw!K10,0)</f>
        <v>8</v>
      </c>
      <c r="L10" s="22">
        <f ca="1">ROUND(FIRE1122_raw!L10,0)</f>
        <v>6</v>
      </c>
      <c r="M10" s="22">
        <f ca="1">ROUND(FIRE1122_raw!M10,0)</f>
        <v>1</v>
      </c>
      <c r="N10" s="22">
        <f ca="1">ROUND(FIRE1122_raw!N10,0)</f>
        <v>1</v>
      </c>
      <c r="O10" s="22">
        <f ca="1">ROUND(FIRE1122_raw!O10,0)</f>
        <v>0</v>
      </c>
      <c r="P10" s="22">
        <f ca="1">IF(FIRE1122_raw!P10="-","-",ROUND(FIRE1122_raw!P10,0))</f>
        <v>34</v>
      </c>
      <c r="Q10" s="22"/>
      <c r="R10" s="21">
        <f ca="1">ROUND(FIRE1122_raw!R10,0)</f>
        <v>3</v>
      </c>
      <c r="S10" s="21">
        <f ca="1">ROUND(FIRE1122_raw!S10,0)</f>
        <v>19</v>
      </c>
      <c r="T10" s="21">
        <f ca="1">ROUND(FIRE1122_raw!T10,0)</f>
        <v>9</v>
      </c>
      <c r="U10" s="21">
        <f ca="1">ROUND(FIRE1122_raw!U10,0)</f>
        <v>2</v>
      </c>
      <c r="V10" s="21">
        <f ca="1">ROUND(FIRE1122_raw!V10,0)</f>
        <v>1</v>
      </c>
      <c r="W10" s="21">
        <f ca="1">ROUND(FIRE1122_raw!W10,0)</f>
        <v>0</v>
      </c>
      <c r="X10" s="21">
        <f ca="1">IF(FIRE1122_raw!X10="-","-",ROUND(FIRE1122_raw!X10,0))</f>
        <v>34</v>
      </c>
      <c r="Y10" s="22"/>
      <c r="Z10" s="22">
        <f ca="1">ROUND(FIRE1122_raw!Z10,0)</f>
        <v>1</v>
      </c>
      <c r="AA10" s="22">
        <f ca="1">ROUND(FIRE1122_raw!AA10,0)</f>
        <v>1</v>
      </c>
      <c r="AB10" s="22">
        <f ca="1">ROUND(FIRE1122_raw!AB10,0)</f>
        <v>1</v>
      </c>
      <c r="AC10" s="22">
        <f ca="1">ROUND(FIRE1122_raw!AC10,0)</f>
        <v>0</v>
      </c>
      <c r="AD10" s="22">
        <f ca="1">ROUND(FIRE1122_raw!AD10,0)</f>
        <v>0</v>
      </c>
      <c r="AE10" s="22">
        <f ca="1">ROUND(FIRE1122_raw!AE10,0)</f>
        <v>0</v>
      </c>
      <c r="AF10" s="22">
        <f ca="1">IF(FIRE1122_raw!AF10="-","-",ROUND(FIRE1122_raw!AF10,0))</f>
        <v>30</v>
      </c>
      <c r="AG10" s="22"/>
      <c r="AH10" s="22">
        <f ca="1">ROUND(FIRE1122_raw!AH10,0)</f>
        <v>3</v>
      </c>
      <c r="AI10" s="22">
        <f ca="1">ROUND(FIRE1122_raw!AI10,0)</f>
        <v>8</v>
      </c>
      <c r="AJ10" s="22">
        <f ca="1">ROUND(FIRE1122_raw!AJ10,0)</f>
        <v>6</v>
      </c>
      <c r="AK10" s="22">
        <f ca="1">ROUND(FIRE1122_raw!AK10,0)</f>
        <v>5</v>
      </c>
      <c r="AL10" s="22">
        <f ca="1">ROUND(FIRE1122_raw!AL10,0)</f>
        <v>3</v>
      </c>
      <c r="AM10" s="22">
        <f ca="1">ROUND(FIRE1122_raw!AM10,0)</f>
        <v>0</v>
      </c>
      <c r="AN10" s="22">
        <f ca="1">IF(FIRE1122_raw!AN10="-","-",ROUND(FIRE1122_raw!AN10,0))</f>
        <v>39</v>
      </c>
      <c r="AO10" s="22"/>
      <c r="AP10" s="21">
        <f ca="1">ROUND(FIRE1122_raw!AP10,0)</f>
        <v>7</v>
      </c>
      <c r="AQ10" s="21">
        <f ca="1">ROUND(FIRE1122_raw!AQ10,0)</f>
        <v>28</v>
      </c>
      <c r="AR10" s="21">
        <f ca="1">ROUND(FIRE1122_raw!AR10,0)</f>
        <v>16</v>
      </c>
      <c r="AS10" s="21">
        <f ca="1">ROUND(FIRE1122_raw!AS10,0)</f>
        <v>7</v>
      </c>
      <c r="AT10" s="21">
        <f ca="1">ROUND(FIRE1122_raw!AT10,0)</f>
        <v>4</v>
      </c>
      <c r="AU10" s="21">
        <f ca="1">ROUND(FIRE1122_raw!AU10,0)</f>
        <v>0</v>
      </c>
      <c r="AV10" s="21">
        <f ca="1">IF(FIRE1122_raw!AV10="-","-",ROUND(FIRE1122_raw!AV10,0))</f>
        <v>36</v>
      </c>
      <c r="AW10" s="17"/>
      <c r="AX10" s="17"/>
      <c r="AY10" s="17"/>
      <c r="AZ10" s="17"/>
      <c r="BA10" s="17"/>
      <c r="BB10" s="17"/>
      <c r="BC10" s="17"/>
      <c r="BD10" s="17"/>
      <c r="BE10" s="17"/>
    </row>
    <row r="11" spans="1:58" s="7" customFormat="1" ht="15" customHeight="1" x14ac:dyDescent="0.35">
      <c r="A11" s="2" t="s">
        <v>16</v>
      </c>
      <c r="B11" s="22">
        <f ca="1">ROUND(FIRE1122_raw!B11,0)</f>
        <v>1</v>
      </c>
      <c r="C11" s="22">
        <f ca="1">ROUND(FIRE1122_raw!C11,0)</f>
        <v>9</v>
      </c>
      <c r="D11" s="22">
        <f ca="1">ROUND(FIRE1122_raw!D11,0)</f>
        <v>7</v>
      </c>
      <c r="E11" s="22">
        <f ca="1">ROUND(FIRE1122_raw!E11,0)</f>
        <v>1</v>
      </c>
      <c r="F11" s="22">
        <f ca="1">ROUND(FIRE1122_raw!F11,0)</f>
        <v>0</v>
      </c>
      <c r="G11" s="22">
        <f ca="1">ROUND(FIRE1122_raw!G11,0)</f>
        <v>0</v>
      </c>
      <c r="H11" s="22">
        <f ca="1">IF(FIRE1122_raw!H11="-","-",ROUND(FIRE1122_raw!H11,0))</f>
        <v>35</v>
      </c>
      <c r="I11" s="22"/>
      <c r="J11" s="22">
        <f ca="1">ROUND(FIRE1122_raw!J11,0)</f>
        <v>5</v>
      </c>
      <c r="K11" s="22">
        <f ca="1">ROUND(FIRE1122_raw!K11,0)</f>
        <v>12</v>
      </c>
      <c r="L11" s="22">
        <f ca="1">ROUND(FIRE1122_raw!L11,0)</f>
        <v>5</v>
      </c>
      <c r="M11" s="22">
        <f ca="1">ROUND(FIRE1122_raw!M11,0)</f>
        <v>4</v>
      </c>
      <c r="N11" s="22">
        <f ca="1">ROUND(FIRE1122_raw!N11,0)</f>
        <v>0</v>
      </c>
      <c r="O11" s="22">
        <f ca="1">ROUND(FIRE1122_raw!O11,0)</f>
        <v>0</v>
      </c>
      <c r="P11" s="22">
        <f ca="1">IF(FIRE1122_raw!P11="-","-",ROUND(FIRE1122_raw!P11,0))</f>
        <v>33</v>
      </c>
      <c r="Q11" s="22"/>
      <c r="R11" s="21">
        <f ca="1">ROUND(FIRE1122_raw!R11,0)</f>
        <v>6</v>
      </c>
      <c r="S11" s="21">
        <f ca="1">ROUND(FIRE1122_raw!S11,0)</f>
        <v>21</v>
      </c>
      <c r="T11" s="21">
        <f ca="1">ROUND(FIRE1122_raw!T11,0)</f>
        <v>12</v>
      </c>
      <c r="U11" s="21">
        <f ca="1">ROUND(FIRE1122_raw!U11,0)</f>
        <v>5</v>
      </c>
      <c r="V11" s="21">
        <f ca="1">ROUND(FIRE1122_raw!V11,0)</f>
        <v>0</v>
      </c>
      <c r="W11" s="21">
        <f ca="1">ROUND(FIRE1122_raw!W11,0)</f>
        <v>0</v>
      </c>
      <c r="X11" s="21">
        <f ca="1">IF(FIRE1122_raw!X11="-","-",ROUND(FIRE1122_raw!X11,0))</f>
        <v>34</v>
      </c>
      <c r="Y11" s="22"/>
      <c r="Z11" s="22">
        <f ca="1">ROUND(FIRE1122_raw!Z11,0)</f>
        <v>0</v>
      </c>
      <c r="AA11" s="22">
        <f ca="1">ROUND(FIRE1122_raw!AA11,0)</f>
        <v>1</v>
      </c>
      <c r="AB11" s="22">
        <f ca="1">ROUND(FIRE1122_raw!AB11,0)</f>
        <v>1</v>
      </c>
      <c r="AC11" s="22">
        <f ca="1">ROUND(FIRE1122_raw!AC11,0)</f>
        <v>0</v>
      </c>
      <c r="AD11" s="22">
        <f ca="1">ROUND(FIRE1122_raw!AD11,0)</f>
        <v>0</v>
      </c>
      <c r="AE11" s="22">
        <f ca="1">ROUND(FIRE1122_raw!AE11,0)</f>
        <v>0</v>
      </c>
      <c r="AF11" s="22">
        <f ca="1">IF(FIRE1122_raw!AF11="-","-",ROUND(FIRE1122_raw!AF11,0))</f>
        <v>35</v>
      </c>
      <c r="AG11" s="22"/>
      <c r="AH11" s="22">
        <f ca="1">ROUND(FIRE1122_raw!AH11,0)</f>
        <v>1</v>
      </c>
      <c r="AI11" s="22">
        <f ca="1">ROUND(FIRE1122_raw!AI11,0)</f>
        <v>8</v>
      </c>
      <c r="AJ11" s="22">
        <f ca="1">ROUND(FIRE1122_raw!AJ11,0)</f>
        <v>3</v>
      </c>
      <c r="AK11" s="22">
        <f ca="1">ROUND(FIRE1122_raw!AK11,0)</f>
        <v>6</v>
      </c>
      <c r="AL11" s="22">
        <f ca="1">ROUND(FIRE1122_raw!AL11,0)</f>
        <v>4</v>
      </c>
      <c r="AM11" s="22">
        <f ca="1">ROUND(FIRE1122_raw!AM11,0)</f>
        <v>0</v>
      </c>
      <c r="AN11" s="22">
        <f ca="1">IF(FIRE1122_raw!AN11="-","-",ROUND(FIRE1122_raw!AN11,0))</f>
        <v>41</v>
      </c>
      <c r="AO11" s="22"/>
      <c r="AP11" s="21">
        <f ca="1">ROUND(FIRE1122_raw!AP11,0)</f>
        <v>7</v>
      </c>
      <c r="AQ11" s="21">
        <f ca="1">ROUND(FIRE1122_raw!AQ11,0)</f>
        <v>30</v>
      </c>
      <c r="AR11" s="21">
        <f ca="1">ROUND(FIRE1122_raw!AR11,0)</f>
        <v>16</v>
      </c>
      <c r="AS11" s="21">
        <f ca="1">ROUND(FIRE1122_raw!AS11,0)</f>
        <v>11</v>
      </c>
      <c r="AT11" s="21">
        <f ca="1">ROUND(FIRE1122_raw!AT11,0)</f>
        <v>4</v>
      </c>
      <c r="AU11" s="21">
        <f ca="1">ROUND(FIRE1122_raw!AU11,0)</f>
        <v>0</v>
      </c>
      <c r="AV11" s="21">
        <f ca="1">IF(FIRE1122_raw!AV11="-","-",ROUND(FIRE1122_raw!AV11,0))</f>
        <v>36</v>
      </c>
      <c r="AW11" s="17"/>
      <c r="AX11" s="17"/>
      <c r="AY11" s="17"/>
      <c r="AZ11" s="17"/>
      <c r="BA11" s="17"/>
      <c r="BB11" s="17"/>
      <c r="BC11" s="17"/>
      <c r="BD11" s="17"/>
      <c r="BE11" s="17"/>
    </row>
    <row r="12" spans="1:58" s="7" customFormat="1" ht="15" customHeight="1" x14ac:dyDescent="0.35">
      <c r="A12" s="2" t="s">
        <v>17</v>
      </c>
      <c r="B12" s="22">
        <f ca="1">ROUND(FIRE1122_raw!B12,0)</f>
        <v>2</v>
      </c>
      <c r="C12" s="22">
        <f ca="1">ROUND(FIRE1122_raw!C12,0)</f>
        <v>10</v>
      </c>
      <c r="D12" s="22">
        <f ca="1">ROUND(FIRE1122_raw!D12,0)</f>
        <v>2</v>
      </c>
      <c r="E12" s="22">
        <f ca="1">ROUND(FIRE1122_raw!E12,0)</f>
        <v>0</v>
      </c>
      <c r="F12" s="22">
        <f ca="1">ROUND(FIRE1122_raw!F12,0)</f>
        <v>0</v>
      </c>
      <c r="G12" s="22">
        <f ca="1">ROUND(FIRE1122_raw!G12,0)</f>
        <v>0</v>
      </c>
      <c r="H12" s="22">
        <f ca="1">IF(FIRE1122_raw!H12="-","-",ROUND(FIRE1122_raw!H12,0))</f>
        <v>30</v>
      </c>
      <c r="I12" s="22"/>
      <c r="J12" s="22">
        <f ca="1">ROUND(FIRE1122_raw!J12,0)</f>
        <v>7</v>
      </c>
      <c r="K12" s="22">
        <f ca="1">ROUND(FIRE1122_raw!K12,0)</f>
        <v>8</v>
      </c>
      <c r="L12" s="22">
        <f ca="1">ROUND(FIRE1122_raw!L12,0)</f>
        <v>7</v>
      </c>
      <c r="M12" s="22">
        <f ca="1">ROUND(FIRE1122_raw!M12,0)</f>
        <v>1</v>
      </c>
      <c r="N12" s="22">
        <f ca="1">ROUND(FIRE1122_raw!N12,0)</f>
        <v>0</v>
      </c>
      <c r="O12" s="22">
        <f ca="1">ROUND(FIRE1122_raw!O12,0)</f>
        <v>0</v>
      </c>
      <c r="P12" s="22">
        <f ca="1">IF(FIRE1122_raw!P12="-","-",ROUND(FIRE1122_raw!P12,0))</f>
        <v>31</v>
      </c>
      <c r="Q12" s="22"/>
      <c r="R12" s="21">
        <f ca="1">ROUND(FIRE1122_raw!R12,0)</f>
        <v>9</v>
      </c>
      <c r="S12" s="21">
        <f ca="1">ROUND(FIRE1122_raw!S12,0)</f>
        <v>18</v>
      </c>
      <c r="T12" s="21">
        <f ca="1">ROUND(FIRE1122_raw!T12,0)</f>
        <v>9</v>
      </c>
      <c r="U12" s="21">
        <f ca="1">ROUND(FIRE1122_raw!U12,0)</f>
        <v>1</v>
      </c>
      <c r="V12" s="21">
        <f ca="1">ROUND(FIRE1122_raw!V12,0)</f>
        <v>0</v>
      </c>
      <c r="W12" s="21">
        <f ca="1">ROUND(FIRE1122_raw!W12,0)</f>
        <v>0</v>
      </c>
      <c r="X12" s="21">
        <f ca="1">IF(FIRE1122_raw!X12="-","-",ROUND(FIRE1122_raw!X12,0))</f>
        <v>31</v>
      </c>
      <c r="Y12" s="22"/>
      <c r="Z12" s="22">
        <f ca="1">ROUND(FIRE1122_raw!Z12,0)</f>
        <v>3</v>
      </c>
      <c r="AA12" s="22">
        <f ca="1">ROUND(FIRE1122_raw!AA12,0)</f>
        <v>2</v>
      </c>
      <c r="AB12" s="22">
        <f ca="1">ROUND(FIRE1122_raw!AB12,0)</f>
        <v>0</v>
      </c>
      <c r="AC12" s="22">
        <f ca="1">ROUND(FIRE1122_raw!AC12,0)</f>
        <v>0</v>
      </c>
      <c r="AD12" s="22">
        <f ca="1">ROUND(FIRE1122_raw!AD12,0)</f>
        <v>0</v>
      </c>
      <c r="AE12" s="22">
        <f ca="1">ROUND(FIRE1122_raw!AE12,0)</f>
        <v>0</v>
      </c>
      <c r="AF12" s="22">
        <f ca="1">IF(FIRE1122_raw!AF12="-","-",ROUND(FIRE1122_raw!AF12,0))</f>
        <v>24</v>
      </c>
      <c r="AG12" s="22"/>
      <c r="AH12" s="22">
        <f ca="1">ROUND(FIRE1122_raw!AH12,0)</f>
        <v>3</v>
      </c>
      <c r="AI12" s="22">
        <f ca="1">ROUND(FIRE1122_raw!AI12,0)</f>
        <v>13</v>
      </c>
      <c r="AJ12" s="22">
        <f ca="1">ROUND(FIRE1122_raw!AJ12,0)</f>
        <v>5</v>
      </c>
      <c r="AK12" s="22">
        <f ca="1">ROUND(FIRE1122_raw!AK12,0)</f>
        <v>5</v>
      </c>
      <c r="AL12" s="22">
        <f ca="1">ROUND(FIRE1122_raw!AL12,0)</f>
        <v>3</v>
      </c>
      <c r="AM12" s="22">
        <f ca="1">ROUND(FIRE1122_raw!AM12,0)</f>
        <v>0</v>
      </c>
      <c r="AN12" s="22">
        <f ca="1">IF(FIRE1122_raw!AN12="-","-",ROUND(FIRE1122_raw!AN12,0))</f>
        <v>37</v>
      </c>
      <c r="AO12" s="22"/>
      <c r="AP12" s="21">
        <f ca="1">ROUND(FIRE1122_raw!AP12,0)</f>
        <v>15</v>
      </c>
      <c r="AQ12" s="21">
        <f ca="1">ROUND(FIRE1122_raw!AQ12,0)</f>
        <v>33</v>
      </c>
      <c r="AR12" s="21">
        <f ca="1">ROUND(FIRE1122_raw!AR12,0)</f>
        <v>14</v>
      </c>
      <c r="AS12" s="21">
        <f ca="1">ROUND(FIRE1122_raw!AS12,0)</f>
        <v>6</v>
      </c>
      <c r="AT12" s="21">
        <f ca="1">ROUND(FIRE1122_raw!AT12,0)</f>
        <v>3</v>
      </c>
      <c r="AU12" s="21">
        <f ca="1">ROUND(FIRE1122_raw!AU12,0)</f>
        <v>0</v>
      </c>
      <c r="AV12" s="21">
        <f ca="1">IF(FIRE1122_raw!AV12="-","-",ROUND(FIRE1122_raw!AV12,0))</f>
        <v>33</v>
      </c>
      <c r="AW12" s="17"/>
      <c r="AX12" s="17"/>
      <c r="AY12" s="17"/>
      <c r="AZ12" s="17"/>
      <c r="BA12" s="17"/>
      <c r="BB12" s="17"/>
      <c r="BC12" s="17"/>
      <c r="BD12" s="17"/>
      <c r="BE12" s="17"/>
    </row>
    <row r="13" spans="1:58" s="7" customFormat="1" ht="15" customHeight="1" x14ac:dyDescent="0.35">
      <c r="A13" s="2" t="s">
        <v>18</v>
      </c>
      <c r="B13" s="22">
        <f ca="1">ROUND(FIRE1122_raw!B13,0)</f>
        <v>9</v>
      </c>
      <c r="C13" s="22">
        <f ca="1">ROUND(FIRE1122_raw!C13,0)</f>
        <v>14</v>
      </c>
      <c r="D13" s="22">
        <f ca="1">ROUND(FIRE1122_raw!D13,0)</f>
        <v>1</v>
      </c>
      <c r="E13" s="22">
        <f ca="1">ROUND(FIRE1122_raw!E13,0)</f>
        <v>3</v>
      </c>
      <c r="F13" s="22">
        <f ca="1">ROUND(FIRE1122_raw!F13,0)</f>
        <v>1</v>
      </c>
      <c r="G13" s="22">
        <f ca="1">ROUND(FIRE1122_raw!G13,0)</f>
        <v>0</v>
      </c>
      <c r="H13" s="22">
        <f ca="1">IF(FIRE1122_raw!H13="-","-",ROUND(FIRE1122_raw!H13,0))</f>
        <v>30</v>
      </c>
      <c r="I13" s="22"/>
      <c r="J13" s="22">
        <f ca="1">ROUND(FIRE1122_raw!J13,0)</f>
        <v>4</v>
      </c>
      <c r="K13" s="22">
        <f ca="1">ROUND(FIRE1122_raw!K13,0)</f>
        <v>9</v>
      </c>
      <c r="L13" s="22">
        <f ca="1">ROUND(FIRE1122_raw!L13,0)</f>
        <v>5</v>
      </c>
      <c r="M13" s="22">
        <f ca="1">ROUND(FIRE1122_raw!M13,0)</f>
        <v>1</v>
      </c>
      <c r="N13" s="22">
        <f ca="1">ROUND(FIRE1122_raw!N13,0)</f>
        <v>0</v>
      </c>
      <c r="O13" s="22">
        <f ca="1">ROUND(FIRE1122_raw!O13,0)</f>
        <v>0</v>
      </c>
      <c r="P13" s="22">
        <f ca="1">IF(FIRE1122_raw!P13="-","-",ROUND(FIRE1122_raw!P13,0))</f>
        <v>32</v>
      </c>
      <c r="Q13" s="22"/>
      <c r="R13" s="21">
        <f ca="1">ROUND(FIRE1122_raw!R13,0)</f>
        <v>13</v>
      </c>
      <c r="S13" s="21">
        <f ca="1">ROUND(FIRE1122_raw!S13,0)</f>
        <v>23</v>
      </c>
      <c r="T13" s="21">
        <f ca="1">ROUND(FIRE1122_raw!T13,0)</f>
        <v>6</v>
      </c>
      <c r="U13" s="21">
        <f ca="1">ROUND(FIRE1122_raw!U13,0)</f>
        <v>4</v>
      </c>
      <c r="V13" s="21">
        <f ca="1">ROUND(FIRE1122_raw!V13,0)</f>
        <v>1</v>
      </c>
      <c r="W13" s="21">
        <f ca="1">ROUND(FIRE1122_raw!W13,0)</f>
        <v>0</v>
      </c>
      <c r="X13" s="21">
        <f ca="1">IF(FIRE1122_raw!X13="-","-",ROUND(FIRE1122_raw!X13,0))</f>
        <v>31</v>
      </c>
      <c r="Y13" s="22"/>
      <c r="Z13" s="22">
        <f ca="1">ROUND(FIRE1122_raw!Z13,0)</f>
        <v>0</v>
      </c>
      <c r="AA13" s="22">
        <f ca="1">ROUND(FIRE1122_raw!AA13,0)</f>
        <v>0</v>
      </c>
      <c r="AB13" s="22">
        <f ca="1">ROUND(FIRE1122_raw!AB13,0)</f>
        <v>0</v>
      </c>
      <c r="AC13" s="22">
        <f ca="1">ROUND(FIRE1122_raw!AC13,0)</f>
        <v>0</v>
      </c>
      <c r="AD13" s="22">
        <f ca="1">ROUND(FIRE1122_raw!AD13,0)</f>
        <v>0</v>
      </c>
      <c r="AE13" s="22">
        <f ca="1">ROUND(FIRE1122_raw!AE13,0)</f>
        <v>0</v>
      </c>
      <c r="AF13" s="22" t="str">
        <f ca="1">IF(FIRE1122_raw!AF13="-","-",ROUND(FIRE1122_raw!AF13,0))</f>
        <v>-</v>
      </c>
      <c r="AG13" s="22"/>
      <c r="AH13" s="22">
        <f ca="1">ROUND(FIRE1122_raw!AH13,0)</f>
        <v>0</v>
      </c>
      <c r="AI13" s="22">
        <f ca="1">ROUND(FIRE1122_raw!AI13,0)</f>
        <v>0</v>
      </c>
      <c r="AJ13" s="22">
        <f ca="1">ROUND(FIRE1122_raw!AJ13,0)</f>
        <v>1</v>
      </c>
      <c r="AK13" s="22">
        <f ca="1">ROUND(FIRE1122_raw!AK13,0)</f>
        <v>3</v>
      </c>
      <c r="AL13" s="22">
        <f ca="1">ROUND(FIRE1122_raw!AL13,0)</f>
        <v>2</v>
      </c>
      <c r="AM13" s="22">
        <f ca="1">ROUND(FIRE1122_raw!AM13,0)</f>
        <v>0</v>
      </c>
      <c r="AN13" s="22">
        <f ca="1">IF(FIRE1122_raw!AN13="-","-",ROUND(FIRE1122_raw!AN13,0))</f>
        <v>51</v>
      </c>
      <c r="AO13" s="22"/>
      <c r="AP13" s="21">
        <f ca="1">ROUND(FIRE1122_raw!AP13,0)</f>
        <v>13</v>
      </c>
      <c r="AQ13" s="21">
        <f ca="1">ROUND(FIRE1122_raw!AQ13,0)</f>
        <v>23</v>
      </c>
      <c r="AR13" s="21">
        <f ca="1">ROUND(FIRE1122_raw!AR13,0)</f>
        <v>7</v>
      </c>
      <c r="AS13" s="21">
        <f ca="1">ROUND(FIRE1122_raw!AS13,0)</f>
        <v>7</v>
      </c>
      <c r="AT13" s="21">
        <f ca="1">ROUND(FIRE1122_raw!AT13,0)</f>
        <v>3</v>
      </c>
      <c r="AU13" s="21">
        <f ca="1">ROUND(FIRE1122_raw!AU13,0)</f>
        <v>0</v>
      </c>
      <c r="AV13" s="21">
        <f ca="1">IF(FIRE1122_raw!AV13="-","-",ROUND(FIRE1122_raw!AV13,0))</f>
        <v>33</v>
      </c>
      <c r="AW13" s="17"/>
      <c r="AX13" s="17"/>
      <c r="AY13" s="17"/>
      <c r="AZ13" s="17"/>
      <c r="BA13" s="17"/>
      <c r="BB13" s="17"/>
      <c r="BC13" s="17"/>
      <c r="BD13" s="17"/>
      <c r="BE13" s="17"/>
    </row>
    <row r="14" spans="1:58" s="7" customFormat="1" ht="15" customHeight="1" x14ac:dyDescent="0.35">
      <c r="A14" s="2" t="s">
        <v>19</v>
      </c>
      <c r="B14" s="22">
        <f ca="1">ROUND(FIRE1122_raw!B14,0)</f>
        <v>0</v>
      </c>
      <c r="C14" s="22">
        <f ca="1">ROUND(FIRE1122_raw!C14,0)</f>
        <v>12</v>
      </c>
      <c r="D14" s="22">
        <f ca="1">ROUND(FIRE1122_raw!D14,0)</f>
        <v>1</v>
      </c>
      <c r="E14" s="22">
        <f ca="1">ROUND(FIRE1122_raw!E14,0)</f>
        <v>1</v>
      </c>
      <c r="F14" s="22">
        <f ca="1">ROUND(FIRE1122_raw!F14,0)</f>
        <v>0</v>
      </c>
      <c r="G14" s="22">
        <f ca="1">ROUND(FIRE1122_raw!G14,0)</f>
        <v>0</v>
      </c>
      <c r="H14" s="22">
        <f ca="1">IF(FIRE1122_raw!H14="-","-",ROUND(FIRE1122_raw!H14,0))</f>
        <v>32</v>
      </c>
      <c r="I14" s="22"/>
      <c r="J14" s="22">
        <f ca="1">ROUND(FIRE1122_raw!J14,0)</f>
        <v>7</v>
      </c>
      <c r="K14" s="22">
        <f ca="1">ROUND(FIRE1122_raw!K14,0)</f>
        <v>17</v>
      </c>
      <c r="L14" s="22">
        <f ca="1">ROUND(FIRE1122_raw!L14,0)</f>
        <v>6</v>
      </c>
      <c r="M14" s="22">
        <f ca="1">ROUND(FIRE1122_raw!M14,0)</f>
        <v>6</v>
      </c>
      <c r="N14" s="22">
        <f ca="1">ROUND(FIRE1122_raw!N14,0)</f>
        <v>0</v>
      </c>
      <c r="O14" s="22">
        <f ca="1">ROUND(FIRE1122_raw!O14,0)</f>
        <v>0</v>
      </c>
      <c r="P14" s="22">
        <f ca="1">IF(FIRE1122_raw!P14="-","-",ROUND(FIRE1122_raw!P14,0))</f>
        <v>33</v>
      </c>
      <c r="Q14" s="22"/>
      <c r="R14" s="21">
        <f ca="1">ROUND(FIRE1122_raw!R14,0)</f>
        <v>7</v>
      </c>
      <c r="S14" s="21">
        <f ca="1">ROUND(FIRE1122_raw!S14,0)</f>
        <v>29</v>
      </c>
      <c r="T14" s="21">
        <f ca="1">ROUND(FIRE1122_raw!T14,0)</f>
        <v>7</v>
      </c>
      <c r="U14" s="21">
        <f ca="1">ROUND(FIRE1122_raw!U14,0)</f>
        <v>7</v>
      </c>
      <c r="V14" s="21">
        <f ca="1">ROUND(FIRE1122_raw!V14,0)</f>
        <v>0</v>
      </c>
      <c r="W14" s="21">
        <f ca="1">ROUND(FIRE1122_raw!W14,0)</f>
        <v>0</v>
      </c>
      <c r="X14" s="21">
        <f ca="1">IF(FIRE1122_raw!X14="-","-",ROUND(FIRE1122_raw!X14,0))</f>
        <v>33</v>
      </c>
      <c r="Y14" s="22"/>
      <c r="Z14" s="22">
        <f ca="1">ROUND(FIRE1122_raw!Z14,0)</f>
        <v>3</v>
      </c>
      <c r="AA14" s="22">
        <f ca="1">ROUND(FIRE1122_raw!AA14,0)</f>
        <v>6</v>
      </c>
      <c r="AB14" s="22">
        <f ca="1">ROUND(FIRE1122_raw!AB14,0)</f>
        <v>2</v>
      </c>
      <c r="AC14" s="22">
        <f ca="1">ROUND(FIRE1122_raw!AC14,0)</f>
        <v>1</v>
      </c>
      <c r="AD14" s="22">
        <f ca="1">ROUND(FIRE1122_raw!AD14,0)</f>
        <v>0</v>
      </c>
      <c r="AE14" s="22">
        <f ca="1">ROUND(FIRE1122_raw!AE14,0)</f>
        <v>0</v>
      </c>
      <c r="AF14" s="22">
        <f ca="1">IF(FIRE1122_raw!AF14="-","-",ROUND(FIRE1122_raw!AF14,0))</f>
        <v>31</v>
      </c>
      <c r="AG14" s="22"/>
      <c r="AH14" s="22">
        <f ca="1">ROUND(FIRE1122_raw!AH14,0)</f>
        <v>1</v>
      </c>
      <c r="AI14" s="22">
        <f ca="1">ROUND(FIRE1122_raw!AI14,0)</f>
        <v>15</v>
      </c>
      <c r="AJ14" s="22">
        <f ca="1">ROUND(FIRE1122_raw!AJ14,0)</f>
        <v>1</v>
      </c>
      <c r="AK14" s="22">
        <f ca="1">ROUND(FIRE1122_raw!AK14,0)</f>
        <v>4</v>
      </c>
      <c r="AL14" s="22">
        <f ca="1">ROUND(FIRE1122_raw!AL14,0)</f>
        <v>0</v>
      </c>
      <c r="AM14" s="22">
        <f ca="1">ROUND(FIRE1122_raw!AM14,0)</f>
        <v>0</v>
      </c>
      <c r="AN14" s="22">
        <f ca="1">IF(FIRE1122_raw!AN14="-","-",ROUND(FIRE1122_raw!AN14,0))</f>
        <v>34</v>
      </c>
      <c r="AO14" s="22"/>
      <c r="AP14" s="21">
        <f ca="1">ROUND(FIRE1122_raw!AP14,0)</f>
        <v>11</v>
      </c>
      <c r="AQ14" s="21">
        <f ca="1">ROUND(FIRE1122_raw!AQ14,0)</f>
        <v>50</v>
      </c>
      <c r="AR14" s="21">
        <f ca="1">ROUND(FIRE1122_raw!AR14,0)</f>
        <v>10</v>
      </c>
      <c r="AS14" s="21">
        <f ca="1">ROUND(FIRE1122_raw!AS14,0)</f>
        <v>12</v>
      </c>
      <c r="AT14" s="21">
        <f ca="1">ROUND(FIRE1122_raw!AT14,0)</f>
        <v>0</v>
      </c>
      <c r="AU14" s="21">
        <f ca="1">ROUND(FIRE1122_raw!AU14,0)</f>
        <v>0</v>
      </c>
      <c r="AV14" s="21">
        <f ca="1">IF(FIRE1122_raw!AV14="-","-",ROUND(FIRE1122_raw!AV14,0))</f>
        <v>33</v>
      </c>
      <c r="AW14" s="17"/>
      <c r="AX14" s="17"/>
      <c r="AY14" s="17"/>
      <c r="AZ14" s="17"/>
      <c r="BA14" s="17"/>
      <c r="BB14" s="17"/>
      <c r="BC14" s="17"/>
      <c r="BD14" s="17"/>
      <c r="BE14" s="17"/>
    </row>
    <row r="15" spans="1:58" s="7" customFormat="1" ht="15" customHeight="1" x14ac:dyDescent="0.35">
      <c r="A15" s="2" t="s">
        <v>20</v>
      </c>
      <c r="B15" s="22">
        <f ca="1">ROUND(FIRE1122_raw!B15,0)</f>
        <v>13</v>
      </c>
      <c r="C15" s="22">
        <f ca="1">ROUND(FIRE1122_raw!C15,0)</f>
        <v>28</v>
      </c>
      <c r="D15" s="22">
        <f ca="1">ROUND(FIRE1122_raw!D15,0)</f>
        <v>8</v>
      </c>
      <c r="E15" s="22">
        <f ca="1">ROUND(FIRE1122_raw!E15,0)</f>
        <v>5</v>
      </c>
      <c r="F15" s="22">
        <f ca="1">ROUND(FIRE1122_raw!F15,0)</f>
        <v>0</v>
      </c>
      <c r="G15" s="22">
        <f ca="1">ROUND(FIRE1122_raw!G15,0)</f>
        <v>0</v>
      </c>
      <c r="H15" s="22">
        <f ca="1">IF(FIRE1122_raw!H15="-","-",ROUND(FIRE1122_raw!H15,0))</f>
        <v>31</v>
      </c>
      <c r="I15" s="22"/>
      <c r="J15" s="22">
        <f ca="1">ROUND(FIRE1122_raw!J15,0)</f>
        <v>7</v>
      </c>
      <c r="K15" s="22">
        <f ca="1">ROUND(FIRE1122_raw!K15,0)</f>
        <v>12</v>
      </c>
      <c r="L15" s="22">
        <f ca="1">ROUND(FIRE1122_raw!L15,0)</f>
        <v>7</v>
      </c>
      <c r="M15" s="22">
        <f ca="1">ROUND(FIRE1122_raw!M15,0)</f>
        <v>2</v>
      </c>
      <c r="N15" s="22">
        <f ca="1">ROUND(FIRE1122_raw!N15,0)</f>
        <v>0</v>
      </c>
      <c r="O15" s="22">
        <f ca="1">ROUND(FIRE1122_raw!O15,0)</f>
        <v>0</v>
      </c>
      <c r="P15" s="22">
        <f ca="1">IF(FIRE1122_raw!P15="-","-",ROUND(FIRE1122_raw!P15,0))</f>
        <v>32</v>
      </c>
      <c r="Q15" s="22"/>
      <c r="R15" s="21">
        <f ca="1">ROUND(FIRE1122_raw!R15,0)</f>
        <v>20</v>
      </c>
      <c r="S15" s="21">
        <f ca="1">ROUND(FIRE1122_raw!S15,0)</f>
        <v>40</v>
      </c>
      <c r="T15" s="21">
        <f ca="1">ROUND(FIRE1122_raw!T15,0)</f>
        <v>15</v>
      </c>
      <c r="U15" s="21">
        <f ca="1">ROUND(FIRE1122_raw!U15,0)</f>
        <v>7</v>
      </c>
      <c r="V15" s="21">
        <f ca="1">ROUND(FIRE1122_raw!V15,0)</f>
        <v>0</v>
      </c>
      <c r="W15" s="21">
        <f ca="1">ROUND(FIRE1122_raw!W15,0)</f>
        <v>0</v>
      </c>
      <c r="X15" s="21">
        <f ca="1">IF(FIRE1122_raw!X15="-","-",ROUND(FIRE1122_raw!X15,0))</f>
        <v>31</v>
      </c>
      <c r="Y15" s="22"/>
      <c r="Z15" s="22">
        <f ca="1">ROUND(FIRE1122_raw!Z15,0)</f>
        <v>0</v>
      </c>
      <c r="AA15" s="22">
        <f ca="1">ROUND(FIRE1122_raw!AA15,0)</f>
        <v>0</v>
      </c>
      <c r="AB15" s="22">
        <f ca="1">ROUND(FIRE1122_raw!AB15,0)</f>
        <v>0</v>
      </c>
      <c r="AC15" s="22">
        <f ca="1">ROUND(FIRE1122_raw!AC15,0)</f>
        <v>0</v>
      </c>
      <c r="AD15" s="22">
        <f ca="1">ROUND(FIRE1122_raw!AD15,0)</f>
        <v>0</v>
      </c>
      <c r="AE15" s="22">
        <f ca="1">ROUND(FIRE1122_raw!AE15,0)</f>
        <v>0</v>
      </c>
      <c r="AF15" s="22" t="str">
        <f ca="1">IF(FIRE1122_raw!AF15="-","-",ROUND(FIRE1122_raw!AF15,0))</f>
        <v>-</v>
      </c>
      <c r="AG15" s="22"/>
      <c r="AH15" s="22">
        <f ca="1">ROUND(FIRE1122_raw!AH15,0)</f>
        <v>5</v>
      </c>
      <c r="AI15" s="22">
        <f ca="1">ROUND(FIRE1122_raw!AI15,0)</f>
        <v>3</v>
      </c>
      <c r="AJ15" s="22">
        <f ca="1">ROUND(FIRE1122_raw!AJ15,0)</f>
        <v>1</v>
      </c>
      <c r="AK15" s="22">
        <f ca="1">ROUND(FIRE1122_raw!AK15,0)</f>
        <v>2</v>
      </c>
      <c r="AL15" s="22">
        <f ca="1">ROUND(FIRE1122_raw!AL15,0)</f>
        <v>5</v>
      </c>
      <c r="AM15" s="22">
        <f ca="1">ROUND(FIRE1122_raw!AM15,0)</f>
        <v>0</v>
      </c>
      <c r="AN15" s="22">
        <f ca="1">IF(FIRE1122_raw!AN15="-","-",ROUND(FIRE1122_raw!AN15,0))</f>
        <v>38</v>
      </c>
      <c r="AO15" s="22"/>
      <c r="AP15" s="21">
        <f ca="1">ROUND(FIRE1122_raw!AP15,0)</f>
        <v>25</v>
      </c>
      <c r="AQ15" s="21">
        <f ca="1">ROUND(FIRE1122_raw!AQ15,0)</f>
        <v>43</v>
      </c>
      <c r="AR15" s="21">
        <f ca="1">ROUND(FIRE1122_raw!AR15,0)</f>
        <v>16</v>
      </c>
      <c r="AS15" s="21">
        <f ca="1">ROUND(FIRE1122_raw!AS15,0)</f>
        <v>9</v>
      </c>
      <c r="AT15" s="21">
        <f ca="1">ROUND(FIRE1122_raw!AT15,0)</f>
        <v>5</v>
      </c>
      <c r="AU15" s="21">
        <f ca="1">ROUND(FIRE1122_raw!AU15,0)</f>
        <v>0</v>
      </c>
      <c r="AV15" s="21">
        <f ca="1">IF(FIRE1122_raw!AV15="-","-",ROUND(FIRE1122_raw!AV15,0))</f>
        <v>32</v>
      </c>
      <c r="AW15" s="17"/>
      <c r="AX15" s="17"/>
      <c r="AY15" s="17"/>
      <c r="AZ15" s="17"/>
      <c r="BA15" s="17"/>
      <c r="BB15" s="17"/>
      <c r="BC15" s="17"/>
      <c r="BD15" s="17"/>
      <c r="BE15" s="17"/>
    </row>
    <row r="16" spans="1:58" s="7" customFormat="1" ht="15" customHeight="1" x14ac:dyDescent="0.35">
      <c r="A16" s="2" t="s">
        <v>21</v>
      </c>
      <c r="B16" s="22">
        <f ca="1">ROUND(FIRE1122_raw!B16,0)</f>
        <v>5</v>
      </c>
      <c r="C16" s="22">
        <f ca="1">ROUND(FIRE1122_raw!C16,0)</f>
        <v>22</v>
      </c>
      <c r="D16" s="22">
        <f ca="1">ROUND(FIRE1122_raw!D16,0)</f>
        <v>7</v>
      </c>
      <c r="E16" s="22">
        <f ca="1">ROUND(FIRE1122_raw!E16,0)</f>
        <v>2</v>
      </c>
      <c r="F16" s="22">
        <f ca="1">ROUND(FIRE1122_raw!F16,0)</f>
        <v>0</v>
      </c>
      <c r="G16" s="22">
        <f ca="1">ROUND(FIRE1122_raw!G16,0)</f>
        <v>0</v>
      </c>
      <c r="H16" s="22">
        <f ca="1">IF(FIRE1122_raw!H16="-","-",ROUND(FIRE1122_raw!H16,0))</f>
        <v>32</v>
      </c>
      <c r="I16" s="22"/>
      <c r="J16" s="22">
        <f ca="1">ROUND(FIRE1122_raw!J16,0)</f>
        <v>4</v>
      </c>
      <c r="K16" s="22">
        <f ca="1">ROUND(FIRE1122_raw!K16,0)</f>
        <v>8</v>
      </c>
      <c r="L16" s="22">
        <f ca="1">ROUND(FIRE1122_raw!L16,0)</f>
        <v>1</v>
      </c>
      <c r="M16" s="22">
        <f ca="1">ROUND(FIRE1122_raw!M16,0)</f>
        <v>0</v>
      </c>
      <c r="N16" s="22">
        <f ca="1">ROUND(FIRE1122_raw!N16,0)</f>
        <v>0</v>
      </c>
      <c r="O16" s="22">
        <f ca="1">ROUND(FIRE1122_raw!O16,0)</f>
        <v>0</v>
      </c>
      <c r="P16" s="22">
        <f ca="1">IF(FIRE1122_raw!P16="-","-",ROUND(FIRE1122_raw!P16,0))</f>
        <v>28</v>
      </c>
      <c r="Q16" s="22"/>
      <c r="R16" s="21">
        <f ca="1">ROUND(FIRE1122_raw!R16,0)</f>
        <v>9</v>
      </c>
      <c r="S16" s="21">
        <f ca="1">ROUND(FIRE1122_raw!S16,0)</f>
        <v>30</v>
      </c>
      <c r="T16" s="21">
        <f ca="1">ROUND(FIRE1122_raw!T16,0)</f>
        <v>8</v>
      </c>
      <c r="U16" s="21">
        <f ca="1">ROUND(FIRE1122_raw!U16,0)</f>
        <v>2</v>
      </c>
      <c r="V16" s="21">
        <f ca="1">ROUND(FIRE1122_raw!V16,0)</f>
        <v>0</v>
      </c>
      <c r="W16" s="21">
        <f ca="1">ROUND(FIRE1122_raw!W16,0)</f>
        <v>0</v>
      </c>
      <c r="X16" s="21">
        <f ca="1">IF(FIRE1122_raw!X16="-","-",ROUND(FIRE1122_raw!X16,0))</f>
        <v>31</v>
      </c>
      <c r="Y16" s="22"/>
      <c r="Z16" s="22">
        <f ca="1">ROUND(FIRE1122_raw!Z16,0)</f>
        <v>0</v>
      </c>
      <c r="AA16" s="22">
        <f ca="1">ROUND(FIRE1122_raw!AA16,0)</f>
        <v>0</v>
      </c>
      <c r="AB16" s="22">
        <f ca="1">ROUND(FIRE1122_raw!AB16,0)</f>
        <v>1</v>
      </c>
      <c r="AC16" s="22">
        <f ca="1">ROUND(FIRE1122_raw!AC16,0)</f>
        <v>1</v>
      </c>
      <c r="AD16" s="22">
        <f ca="1">ROUND(FIRE1122_raw!AD16,0)</f>
        <v>0</v>
      </c>
      <c r="AE16" s="22">
        <f ca="1">ROUND(FIRE1122_raw!AE16,0)</f>
        <v>0</v>
      </c>
      <c r="AF16" s="22">
        <f ca="1">IF(FIRE1122_raw!AF16="-","-",ROUND(FIRE1122_raw!AF16,0))</f>
        <v>46</v>
      </c>
      <c r="AG16" s="22"/>
      <c r="AH16" s="22">
        <f ca="1">ROUND(FIRE1122_raw!AH16,0)</f>
        <v>1</v>
      </c>
      <c r="AI16" s="22">
        <f ca="1">ROUND(FIRE1122_raw!AI16,0)</f>
        <v>2</v>
      </c>
      <c r="AJ16" s="22">
        <f ca="1">ROUND(FIRE1122_raw!AJ16,0)</f>
        <v>4</v>
      </c>
      <c r="AK16" s="22">
        <f ca="1">ROUND(FIRE1122_raw!AK16,0)</f>
        <v>4</v>
      </c>
      <c r="AL16" s="22">
        <f ca="1">ROUND(FIRE1122_raw!AL16,0)</f>
        <v>1</v>
      </c>
      <c r="AM16" s="22">
        <f ca="1">ROUND(FIRE1122_raw!AM16,0)</f>
        <v>0</v>
      </c>
      <c r="AN16" s="22">
        <f ca="1">IF(FIRE1122_raw!AN16="-","-",ROUND(FIRE1122_raw!AN16,0))</f>
        <v>42</v>
      </c>
      <c r="AO16" s="22"/>
      <c r="AP16" s="21">
        <f ca="1">ROUND(FIRE1122_raw!AP16,0)</f>
        <v>10</v>
      </c>
      <c r="AQ16" s="21">
        <f ca="1">ROUND(FIRE1122_raw!AQ16,0)</f>
        <v>32</v>
      </c>
      <c r="AR16" s="21">
        <f ca="1">ROUND(FIRE1122_raw!AR16,0)</f>
        <v>13</v>
      </c>
      <c r="AS16" s="21">
        <f ca="1">ROUND(FIRE1122_raw!AS16,0)</f>
        <v>7</v>
      </c>
      <c r="AT16" s="21">
        <f ca="1">ROUND(FIRE1122_raw!AT16,0)</f>
        <v>1</v>
      </c>
      <c r="AU16" s="21">
        <f ca="1">ROUND(FIRE1122_raw!AU16,0)</f>
        <v>0</v>
      </c>
      <c r="AV16" s="21">
        <f ca="1">IF(FIRE1122_raw!AV16="-","-",ROUND(FIRE1122_raw!AV16,0))</f>
        <v>33</v>
      </c>
      <c r="AW16" s="17"/>
      <c r="AX16" s="17"/>
      <c r="AY16" s="17"/>
      <c r="AZ16" s="17"/>
      <c r="BA16" s="17"/>
      <c r="BB16" s="17"/>
      <c r="BC16" s="17"/>
      <c r="BD16" s="17"/>
      <c r="BE16" s="17"/>
    </row>
    <row r="17" spans="1:57" s="7" customFormat="1" ht="15" customHeight="1" x14ac:dyDescent="0.35">
      <c r="A17" s="2" t="s">
        <v>22</v>
      </c>
      <c r="B17" s="22">
        <f ca="1">ROUND(FIRE1122_raw!B17,0)</f>
        <v>0</v>
      </c>
      <c r="C17" s="22">
        <f ca="1">ROUND(FIRE1122_raw!C17,0)</f>
        <v>5</v>
      </c>
      <c r="D17" s="22">
        <f ca="1">ROUND(FIRE1122_raw!D17,0)</f>
        <v>5</v>
      </c>
      <c r="E17" s="22">
        <f ca="1">ROUND(FIRE1122_raw!E17,0)</f>
        <v>2</v>
      </c>
      <c r="F17" s="22">
        <f ca="1">ROUND(FIRE1122_raw!F17,0)</f>
        <v>0</v>
      </c>
      <c r="G17" s="22">
        <f ca="1">ROUND(FIRE1122_raw!G17,0)</f>
        <v>0</v>
      </c>
      <c r="H17" s="22">
        <f ca="1">IF(FIRE1122_raw!H17="-","-",ROUND(FIRE1122_raw!H17,0))</f>
        <v>38</v>
      </c>
      <c r="I17" s="22"/>
      <c r="J17" s="22">
        <f ca="1">ROUND(FIRE1122_raw!J17,0)</f>
        <v>11</v>
      </c>
      <c r="K17" s="22">
        <f ca="1">ROUND(FIRE1122_raw!K17,0)</f>
        <v>18</v>
      </c>
      <c r="L17" s="22">
        <f ca="1">ROUND(FIRE1122_raw!L17,0)</f>
        <v>12</v>
      </c>
      <c r="M17" s="22">
        <f ca="1">ROUND(FIRE1122_raw!M17,0)</f>
        <v>15</v>
      </c>
      <c r="N17" s="22">
        <f ca="1">ROUND(FIRE1122_raw!N17,0)</f>
        <v>3</v>
      </c>
      <c r="O17" s="22">
        <f ca="1">ROUND(FIRE1122_raw!O17,0)</f>
        <v>0</v>
      </c>
      <c r="P17" s="22">
        <f ca="1">IF(FIRE1122_raw!P17="-","-",ROUND(FIRE1122_raw!P17,0))</f>
        <v>37</v>
      </c>
      <c r="Q17" s="22"/>
      <c r="R17" s="21">
        <f ca="1">ROUND(FIRE1122_raw!R17,0)</f>
        <v>11</v>
      </c>
      <c r="S17" s="21">
        <f ca="1">ROUND(FIRE1122_raw!S17,0)</f>
        <v>23</v>
      </c>
      <c r="T17" s="21">
        <f ca="1">ROUND(FIRE1122_raw!T17,0)</f>
        <v>17</v>
      </c>
      <c r="U17" s="21">
        <f ca="1">ROUND(FIRE1122_raw!U17,0)</f>
        <v>17</v>
      </c>
      <c r="V17" s="21">
        <f ca="1">ROUND(FIRE1122_raw!V17,0)</f>
        <v>3</v>
      </c>
      <c r="W17" s="21">
        <f ca="1">ROUND(FIRE1122_raw!W17,0)</f>
        <v>0</v>
      </c>
      <c r="X17" s="21">
        <f ca="1">IF(FIRE1122_raw!X17="-","-",ROUND(FIRE1122_raw!X17,0))</f>
        <v>37</v>
      </c>
      <c r="Y17" s="22"/>
      <c r="Z17" s="22">
        <f ca="1">ROUND(FIRE1122_raw!Z17,0)</f>
        <v>1</v>
      </c>
      <c r="AA17" s="22">
        <f ca="1">ROUND(FIRE1122_raw!AA17,0)</f>
        <v>0</v>
      </c>
      <c r="AB17" s="22">
        <f ca="1">ROUND(FIRE1122_raw!AB17,0)</f>
        <v>0</v>
      </c>
      <c r="AC17" s="22">
        <f ca="1">ROUND(FIRE1122_raw!AC17,0)</f>
        <v>2</v>
      </c>
      <c r="AD17" s="22">
        <f ca="1">ROUND(FIRE1122_raw!AD17,0)</f>
        <v>0</v>
      </c>
      <c r="AE17" s="22">
        <f ca="1">ROUND(FIRE1122_raw!AE17,0)</f>
        <v>0</v>
      </c>
      <c r="AF17" s="22">
        <f ca="1">IF(FIRE1122_raw!AF17="-","-",ROUND(FIRE1122_raw!AF17,0))</f>
        <v>40</v>
      </c>
      <c r="AG17" s="22"/>
      <c r="AH17" s="22">
        <f ca="1">ROUND(FIRE1122_raw!AH17,0)</f>
        <v>5</v>
      </c>
      <c r="AI17" s="22">
        <f ca="1">ROUND(FIRE1122_raw!AI17,0)</f>
        <v>10</v>
      </c>
      <c r="AJ17" s="22">
        <f ca="1">ROUND(FIRE1122_raw!AJ17,0)</f>
        <v>5</v>
      </c>
      <c r="AK17" s="22">
        <f ca="1">ROUND(FIRE1122_raw!AK17,0)</f>
        <v>2</v>
      </c>
      <c r="AL17" s="22">
        <f ca="1">ROUND(FIRE1122_raw!AL17,0)</f>
        <v>2</v>
      </c>
      <c r="AM17" s="22">
        <f ca="1">ROUND(FIRE1122_raw!AM17,0)</f>
        <v>0</v>
      </c>
      <c r="AN17" s="22">
        <f ca="1">IF(FIRE1122_raw!AN17="-","-",ROUND(FIRE1122_raw!AN17,0))</f>
        <v>34</v>
      </c>
      <c r="AO17" s="22"/>
      <c r="AP17" s="21">
        <f ca="1">ROUND(FIRE1122_raw!AP17,0)</f>
        <v>17</v>
      </c>
      <c r="AQ17" s="21">
        <f ca="1">ROUND(FIRE1122_raw!AQ17,0)</f>
        <v>33</v>
      </c>
      <c r="AR17" s="21">
        <f ca="1">ROUND(FIRE1122_raw!AR17,0)</f>
        <v>22</v>
      </c>
      <c r="AS17" s="21">
        <f ca="1">ROUND(FIRE1122_raw!AS17,0)</f>
        <v>21</v>
      </c>
      <c r="AT17" s="21">
        <f ca="1">ROUND(FIRE1122_raw!AT17,0)</f>
        <v>5</v>
      </c>
      <c r="AU17" s="21">
        <f ca="1">ROUND(FIRE1122_raw!AU17,0)</f>
        <v>0</v>
      </c>
      <c r="AV17" s="21">
        <f ca="1">IF(FIRE1122_raw!AV17="-","-",ROUND(FIRE1122_raw!AV17,0))</f>
        <v>36</v>
      </c>
      <c r="AW17" s="17"/>
      <c r="AX17" s="17"/>
      <c r="AY17" s="17"/>
      <c r="AZ17" s="17"/>
      <c r="BA17" s="17"/>
      <c r="BB17" s="17"/>
      <c r="BC17" s="17"/>
      <c r="BD17" s="17"/>
      <c r="BE17" s="17"/>
    </row>
    <row r="18" spans="1:57" s="7" customFormat="1" ht="15" customHeight="1" x14ac:dyDescent="0.35">
      <c r="A18" s="2" t="s">
        <v>23</v>
      </c>
      <c r="B18" s="22">
        <f ca="1">ROUND(FIRE1122_raw!B18,0)</f>
        <v>0</v>
      </c>
      <c r="C18" s="22">
        <f ca="1">ROUND(FIRE1122_raw!C18,0)</f>
        <v>5</v>
      </c>
      <c r="D18" s="22">
        <f ca="1">ROUND(FIRE1122_raw!D18,0)</f>
        <v>2</v>
      </c>
      <c r="E18" s="22">
        <f ca="1">ROUND(FIRE1122_raw!E18,0)</f>
        <v>1</v>
      </c>
      <c r="F18" s="22">
        <f ca="1">ROUND(FIRE1122_raw!F18,0)</f>
        <v>0</v>
      </c>
      <c r="G18" s="22">
        <f ca="1">ROUND(FIRE1122_raw!G18,0)</f>
        <v>0</v>
      </c>
      <c r="H18" s="22">
        <f ca="1">IF(FIRE1122_raw!H18="-","-",ROUND(FIRE1122_raw!H18,0))</f>
        <v>35</v>
      </c>
      <c r="I18" s="22"/>
      <c r="J18" s="22">
        <f ca="1">ROUND(FIRE1122_raw!J18,0)</f>
        <v>5</v>
      </c>
      <c r="K18" s="22">
        <f ca="1">ROUND(FIRE1122_raw!K18,0)</f>
        <v>5</v>
      </c>
      <c r="L18" s="22">
        <f ca="1">ROUND(FIRE1122_raw!L18,0)</f>
        <v>2</v>
      </c>
      <c r="M18" s="22">
        <f ca="1">ROUND(FIRE1122_raw!M18,0)</f>
        <v>4</v>
      </c>
      <c r="N18" s="22">
        <f ca="1">ROUND(FIRE1122_raw!N18,0)</f>
        <v>1</v>
      </c>
      <c r="O18" s="22">
        <f ca="1">ROUND(FIRE1122_raw!O18,0)</f>
        <v>0</v>
      </c>
      <c r="P18" s="22">
        <f ca="1">IF(FIRE1122_raw!P18="-","-",ROUND(FIRE1122_raw!P18,0))</f>
        <v>35</v>
      </c>
      <c r="Q18" s="22"/>
      <c r="R18" s="21">
        <f ca="1">ROUND(FIRE1122_raw!R18,0)</f>
        <v>5</v>
      </c>
      <c r="S18" s="21">
        <f ca="1">ROUND(FIRE1122_raw!S18,0)</f>
        <v>10</v>
      </c>
      <c r="T18" s="21">
        <f ca="1">ROUND(FIRE1122_raw!T18,0)</f>
        <v>4</v>
      </c>
      <c r="U18" s="21">
        <f ca="1">ROUND(FIRE1122_raw!U18,0)</f>
        <v>5</v>
      </c>
      <c r="V18" s="21">
        <f ca="1">ROUND(FIRE1122_raw!V18,0)</f>
        <v>1</v>
      </c>
      <c r="W18" s="21">
        <f ca="1">ROUND(FIRE1122_raw!W18,0)</f>
        <v>0</v>
      </c>
      <c r="X18" s="21">
        <f ca="1">IF(FIRE1122_raw!X18="-","-",ROUND(FIRE1122_raw!X18,0))</f>
        <v>35</v>
      </c>
      <c r="Y18" s="22"/>
      <c r="Z18" s="22">
        <f ca="1">ROUND(FIRE1122_raw!Z18,0)</f>
        <v>0</v>
      </c>
      <c r="AA18" s="22">
        <f ca="1">ROUND(FIRE1122_raw!AA18,0)</f>
        <v>0</v>
      </c>
      <c r="AB18" s="22">
        <f ca="1">ROUND(FIRE1122_raw!AB18,0)</f>
        <v>0</v>
      </c>
      <c r="AC18" s="22">
        <f ca="1">ROUND(FIRE1122_raw!AC18,0)</f>
        <v>0</v>
      </c>
      <c r="AD18" s="22">
        <f ca="1">ROUND(FIRE1122_raw!AD18,0)</f>
        <v>0</v>
      </c>
      <c r="AE18" s="22">
        <f ca="1">ROUND(FIRE1122_raw!AE18,0)</f>
        <v>0</v>
      </c>
      <c r="AF18" s="22" t="str">
        <f ca="1">IF(FIRE1122_raw!AF18="-","-",ROUND(FIRE1122_raw!AF18,0))</f>
        <v>-</v>
      </c>
      <c r="AG18" s="22"/>
      <c r="AH18" s="22">
        <f ca="1">ROUND(FIRE1122_raw!AH18,0)</f>
        <v>0</v>
      </c>
      <c r="AI18" s="22">
        <f ca="1">ROUND(FIRE1122_raw!AI18,0)</f>
        <v>2</v>
      </c>
      <c r="AJ18" s="22">
        <f ca="1">ROUND(FIRE1122_raw!AJ18,0)</f>
        <v>0</v>
      </c>
      <c r="AK18" s="22">
        <f ca="1">ROUND(FIRE1122_raw!AK18,0)</f>
        <v>1</v>
      </c>
      <c r="AL18" s="22">
        <f ca="1">ROUND(FIRE1122_raw!AL18,0)</f>
        <v>2</v>
      </c>
      <c r="AM18" s="22">
        <f ca="1">ROUND(FIRE1122_raw!AM18,0)</f>
        <v>0</v>
      </c>
      <c r="AN18" s="22">
        <f ca="1">IF(FIRE1122_raw!AN18="-","-",ROUND(FIRE1122_raw!AN18,0))</f>
        <v>45</v>
      </c>
      <c r="AO18" s="22"/>
      <c r="AP18" s="21">
        <f ca="1">ROUND(FIRE1122_raw!AP18,0)</f>
        <v>5</v>
      </c>
      <c r="AQ18" s="21">
        <f ca="1">ROUND(FIRE1122_raw!AQ18,0)</f>
        <v>12</v>
      </c>
      <c r="AR18" s="21">
        <f ca="1">ROUND(FIRE1122_raw!AR18,0)</f>
        <v>4</v>
      </c>
      <c r="AS18" s="21">
        <f ca="1">ROUND(FIRE1122_raw!AS18,0)</f>
        <v>6</v>
      </c>
      <c r="AT18" s="21">
        <f ca="1">ROUND(FIRE1122_raw!AT18,0)</f>
        <v>3</v>
      </c>
      <c r="AU18" s="21">
        <f ca="1">ROUND(FIRE1122_raw!AU18,0)</f>
        <v>0</v>
      </c>
      <c r="AV18" s="21">
        <f ca="1">IF(FIRE1122_raw!AV18="-","-",ROUND(FIRE1122_raw!AV18,0))</f>
        <v>36</v>
      </c>
      <c r="AW18" s="17"/>
      <c r="AX18" s="17"/>
      <c r="AY18" s="17"/>
      <c r="AZ18" s="17"/>
      <c r="BA18" s="17"/>
      <c r="BB18" s="17"/>
      <c r="BC18" s="17"/>
      <c r="BD18" s="17"/>
      <c r="BE18" s="17"/>
    </row>
    <row r="19" spans="1:57" s="7" customFormat="1" ht="15" customHeight="1" x14ac:dyDescent="0.35">
      <c r="A19" s="24" t="s">
        <v>24</v>
      </c>
      <c r="B19" s="22">
        <f ca="1">ROUND(FIRE1122_raw!B19,0)</f>
        <v>5</v>
      </c>
      <c r="C19" s="22">
        <f ca="1">ROUND(FIRE1122_raw!C19,0)</f>
        <v>24</v>
      </c>
      <c r="D19" s="22">
        <f ca="1">ROUND(FIRE1122_raw!D19,0)</f>
        <v>2</v>
      </c>
      <c r="E19" s="22">
        <f ca="1">ROUND(FIRE1122_raw!E19,0)</f>
        <v>0</v>
      </c>
      <c r="F19" s="22">
        <f ca="1">ROUND(FIRE1122_raw!F19,0)</f>
        <v>0</v>
      </c>
      <c r="G19" s="22">
        <f ca="1">ROUND(FIRE1122_raw!G19,0)</f>
        <v>0</v>
      </c>
      <c r="H19" s="22">
        <f ca="1">IF(FIRE1122_raw!H19="-","-",ROUND(FIRE1122_raw!H19,0))</f>
        <v>29</v>
      </c>
      <c r="I19" s="22"/>
      <c r="J19" s="22">
        <f ca="1">ROUND(FIRE1122_raw!J19,0)</f>
        <v>6</v>
      </c>
      <c r="K19" s="22">
        <f ca="1">ROUND(FIRE1122_raw!K19,0)</f>
        <v>17</v>
      </c>
      <c r="L19" s="22">
        <f ca="1">ROUND(FIRE1122_raw!L19,0)</f>
        <v>4</v>
      </c>
      <c r="M19" s="22">
        <f ca="1">ROUND(FIRE1122_raw!M19,0)</f>
        <v>2</v>
      </c>
      <c r="N19" s="22">
        <f ca="1">ROUND(FIRE1122_raw!N19,0)</f>
        <v>1</v>
      </c>
      <c r="O19" s="22">
        <f ca="1">ROUND(FIRE1122_raw!O19,0)</f>
        <v>0</v>
      </c>
      <c r="P19" s="22">
        <f ca="1">IF(FIRE1122_raw!P19="-","-",ROUND(FIRE1122_raw!P19,0))</f>
        <v>32</v>
      </c>
      <c r="Q19" s="22"/>
      <c r="R19" s="21">
        <f ca="1">ROUND(FIRE1122_raw!R19,0)</f>
        <v>11</v>
      </c>
      <c r="S19" s="21">
        <f ca="1">ROUND(FIRE1122_raw!S19,0)</f>
        <v>41</v>
      </c>
      <c r="T19" s="21">
        <f ca="1">ROUND(FIRE1122_raw!T19,0)</f>
        <v>6</v>
      </c>
      <c r="U19" s="21">
        <f ca="1">ROUND(FIRE1122_raw!U19,0)</f>
        <v>2</v>
      </c>
      <c r="V19" s="21">
        <f ca="1">ROUND(FIRE1122_raw!V19,0)</f>
        <v>1</v>
      </c>
      <c r="W19" s="21">
        <f ca="1">ROUND(FIRE1122_raw!W19,0)</f>
        <v>0</v>
      </c>
      <c r="X19" s="21">
        <f ca="1">IF(FIRE1122_raw!X19="-","-",ROUND(FIRE1122_raw!X19,0))</f>
        <v>30</v>
      </c>
      <c r="Y19" s="22"/>
      <c r="Z19" s="22">
        <f ca="1">ROUND(FIRE1122_raw!Z19,0)</f>
        <v>0</v>
      </c>
      <c r="AA19" s="22">
        <f ca="1">ROUND(FIRE1122_raw!AA19,0)</f>
        <v>0</v>
      </c>
      <c r="AB19" s="22">
        <f ca="1">ROUND(FIRE1122_raw!AB19,0)</f>
        <v>0</v>
      </c>
      <c r="AC19" s="22">
        <f ca="1">ROUND(FIRE1122_raw!AC19,0)</f>
        <v>0</v>
      </c>
      <c r="AD19" s="22">
        <f ca="1">ROUND(FIRE1122_raw!AD19,0)</f>
        <v>0</v>
      </c>
      <c r="AE19" s="22">
        <f ca="1">ROUND(FIRE1122_raw!AE19,0)</f>
        <v>0</v>
      </c>
      <c r="AF19" s="22" t="str">
        <f ca="1">IF(FIRE1122_raw!AF19="-","-",ROUND(FIRE1122_raw!AF19,0))</f>
        <v>-</v>
      </c>
      <c r="AG19" s="22"/>
      <c r="AH19" s="22">
        <f ca="1">ROUND(FIRE1122_raw!AH19,0)</f>
        <v>1</v>
      </c>
      <c r="AI19" s="22">
        <f ca="1">ROUND(FIRE1122_raw!AI19,0)</f>
        <v>8</v>
      </c>
      <c r="AJ19" s="22">
        <f ca="1">ROUND(FIRE1122_raw!AJ19,0)</f>
        <v>9</v>
      </c>
      <c r="AK19" s="22">
        <f ca="1">ROUND(FIRE1122_raw!AK19,0)</f>
        <v>11</v>
      </c>
      <c r="AL19" s="22">
        <f ca="1">ROUND(FIRE1122_raw!AL19,0)</f>
        <v>1</v>
      </c>
      <c r="AM19" s="22">
        <f ca="1">ROUND(FIRE1122_raw!AM19,0)</f>
        <v>0</v>
      </c>
      <c r="AN19" s="22">
        <f ca="1">IF(FIRE1122_raw!AN19="-","-",ROUND(FIRE1122_raw!AN19,0))</f>
        <v>41</v>
      </c>
      <c r="AO19" s="22"/>
      <c r="AP19" s="21">
        <f ca="1">ROUND(FIRE1122_raw!AP19,0)</f>
        <v>12</v>
      </c>
      <c r="AQ19" s="21">
        <f ca="1">ROUND(FIRE1122_raw!AQ19,0)</f>
        <v>49</v>
      </c>
      <c r="AR19" s="21">
        <f ca="1">ROUND(FIRE1122_raw!AR19,0)</f>
        <v>15</v>
      </c>
      <c r="AS19" s="21">
        <f ca="1">ROUND(FIRE1122_raw!AS19,0)</f>
        <v>13</v>
      </c>
      <c r="AT19" s="21">
        <f ca="1">ROUND(FIRE1122_raw!AT19,0)</f>
        <v>2</v>
      </c>
      <c r="AU19" s="21">
        <f ca="1">ROUND(FIRE1122_raw!AU19,0)</f>
        <v>0</v>
      </c>
      <c r="AV19" s="21">
        <f ca="1">IF(FIRE1122_raw!AV19="-","-",ROUND(FIRE1122_raw!AV19,0))</f>
        <v>34</v>
      </c>
      <c r="AW19" s="17"/>
      <c r="AX19" s="17"/>
      <c r="AY19" s="17"/>
      <c r="AZ19" s="17"/>
      <c r="BA19" s="17"/>
      <c r="BB19" s="17"/>
      <c r="BC19" s="17"/>
      <c r="BD19" s="17"/>
      <c r="BE19" s="17"/>
    </row>
    <row r="20" spans="1:57" s="7" customFormat="1" ht="15" customHeight="1" x14ac:dyDescent="0.35">
      <c r="A20" s="24" t="s">
        <v>25</v>
      </c>
      <c r="B20" s="22">
        <f ca="1">ROUND(FIRE1122_raw!B20,0)</f>
        <v>0</v>
      </c>
      <c r="C20" s="22">
        <f ca="1">ROUND(FIRE1122_raw!C20,0)</f>
        <v>2</v>
      </c>
      <c r="D20" s="22">
        <f ca="1">ROUND(FIRE1122_raw!D20,0)</f>
        <v>3</v>
      </c>
      <c r="E20" s="22">
        <f ca="1">ROUND(FIRE1122_raw!E20,0)</f>
        <v>2</v>
      </c>
      <c r="F20" s="22">
        <f ca="1">ROUND(FIRE1122_raw!F20,0)</f>
        <v>1</v>
      </c>
      <c r="G20" s="22">
        <f ca="1">ROUND(FIRE1122_raw!G20,0)</f>
        <v>0</v>
      </c>
      <c r="H20" s="22">
        <f ca="1">IF(FIRE1122_raw!H20="-","-",ROUND(FIRE1122_raw!H20,0))</f>
        <v>42</v>
      </c>
      <c r="I20" s="22"/>
      <c r="J20" s="22">
        <f ca="1">ROUND(FIRE1122_raw!J20,0)</f>
        <v>26</v>
      </c>
      <c r="K20" s="22">
        <f ca="1">ROUND(FIRE1122_raw!K20,0)</f>
        <v>57</v>
      </c>
      <c r="L20" s="22">
        <f ca="1">ROUND(FIRE1122_raw!L20,0)</f>
        <v>26</v>
      </c>
      <c r="M20" s="22">
        <f ca="1">ROUND(FIRE1122_raw!M20,0)</f>
        <v>14</v>
      </c>
      <c r="N20" s="22">
        <f ca="1">ROUND(FIRE1122_raw!N20,0)</f>
        <v>6</v>
      </c>
      <c r="O20" s="22">
        <f ca="1">ROUND(FIRE1122_raw!O20,0)</f>
        <v>0</v>
      </c>
      <c r="P20" s="22">
        <f ca="1">IF(FIRE1122_raw!P20="-","-",ROUND(FIRE1122_raw!P20,0))</f>
        <v>34</v>
      </c>
      <c r="Q20" s="22"/>
      <c r="R20" s="21">
        <f ca="1">ROUND(FIRE1122_raw!R20,0)</f>
        <v>26</v>
      </c>
      <c r="S20" s="21">
        <f ca="1">ROUND(FIRE1122_raw!S20,0)</f>
        <v>59</v>
      </c>
      <c r="T20" s="21">
        <f ca="1">ROUND(FIRE1122_raw!T20,0)</f>
        <v>29</v>
      </c>
      <c r="U20" s="21">
        <f ca="1">ROUND(FIRE1122_raw!U20,0)</f>
        <v>16</v>
      </c>
      <c r="V20" s="21">
        <f ca="1">ROUND(FIRE1122_raw!V20,0)</f>
        <v>7</v>
      </c>
      <c r="W20" s="21">
        <f ca="1">ROUND(FIRE1122_raw!W20,0)</f>
        <v>0</v>
      </c>
      <c r="X20" s="21">
        <f ca="1">IF(FIRE1122_raw!X20="-","-",ROUND(FIRE1122_raw!X20,0))</f>
        <v>34</v>
      </c>
      <c r="Y20" s="22"/>
      <c r="Z20" s="22">
        <f ca="1">ROUND(FIRE1122_raw!Z20,0)</f>
        <v>0</v>
      </c>
      <c r="AA20" s="22">
        <f ca="1">ROUND(FIRE1122_raw!AA20,0)</f>
        <v>0</v>
      </c>
      <c r="AB20" s="22">
        <f ca="1">ROUND(FIRE1122_raw!AB20,0)</f>
        <v>0</v>
      </c>
      <c r="AC20" s="22">
        <f ca="1">ROUND(FIRE1122_raw!AC20,0)</f>
        <v>0</v>
      </c>
      <c r="AD20" s="22">
        <f ca="1">ROUND(FIRE1122_raw!AD20,0)</f>
        <v>0</v>
      </c>
      <c r="AE20" s="22">
        <f ca="1">ROUND(FIRE1122_raw!AE20,0)</f>
        <v>0</v>
      </c>
      <c r="AF20" s="22" t="str">
        <f ca="1">IF(FIRE1122_raw!AF20="-","-",ROUND(FIRE1122_raw!AF20,0))</f>
        <v>-</v>
      </c>
      <c r="AG20" s="22"/>
      <c r="AH20" s="22">
        <f ca="1">ROUND(FIRE1122_raw!AH20,0)</f>
        <v>5</v>
      </c>
      <c r="AI20" s="22">
        <f ca="1">ROUND(FIRE1122_raw!AI20,0)</f>
        <v>6</v>
      </c>
      <c r="AJ20" s="22">
        <f ca="1">ROUND(FIRE1122_raw!AJ20,0)</f>
        <v>4</v>
      </c>
      <c r="AK20" s="22">
        <f ca="1">ROUND(FIRE1122_raw!AK20,0)</f>
        <v>10</v>
      </c>
      <c r="AL20" s="22">
        <f ca="1">ROUND(FIRE1122_raw!AL20,0)</f>
        <v>2</v>
      </c>
      <c r="AM20" s="22">
        <f ca="1">ROUND(FIRE1122_raw!AM20,0)</f>
        <v>0</v>
      </c>
      <c r="AN20" s="22">
        <f ca="1">IF(FIRE1122_raw!AN20="-","-",ROUND(FIRE1122_raw!AN20,0))</f>
        <v>39</v>
      </c>
      <c r="AO20" s="22"/>
      <c r="AP20" s="21">
        <f ca="1">ROUND(FIRE1122_raw!AP20,0)</f>
        <v>31</v>
      </c>
      <c r="AQ20" s="21">
        <f ca="1">ROUND(FIRE1122_raw!AQ20,0)</f>
        <v>65</v>
      </c>
      <c r="AR20" s="21">
        <f ca="1">ROUND(FIRE1122_raw!AR20,0)</f>
        <v>33</v>
      </c>
      <c r="AS20" s="21">
        <f ca="1">ROUND(FIRE1122_raw!AS20,0)</f>
        <v>26</v>
      </c>
      <c r="AT20" s="21">
        <f ca="1">ROUND(FIRE1122_raw!AT20,0)</f>
        <v>9</v>
      </c>
      <c r="AU20" s="21">
        <f ca="1">ROUND(FIRE1122_raw!AU20,0)</f>
        <v>0</v>
      </c>
      <c r="AV20" s="21">
        <f ca="1">IF(FIRE1122_raw!AV20="-","-",ROUND(FIRE1122_raw!AV20,0))</f>
        <v>35</v>
      </c>
      <c r="AW20" s="17"/>
      <c r="AX20" s="17"/>
      <c r="AY20" s="17"/>
      <c r="AZ20" s="17"/>
      <c r="BA20" s="17"/>
      <c r="BB20" s="17"/>
      <c r="BC20" s="17"/>
      <c r="BD20" s="17"/>
      <c r="BE20" s="17"/>
    </row>
    <row r="21" spans="1:57" s="7" customFormat="1" ht="15" customHeight="1" x14ac:dyDescent="0.35">
      <c r="A21" s="2" t="s">
        <v>26</v>
      </c>
      <c r="B21" s="22">
        <f ca="1">ROUND(FIRE1122_raw!B21,0)</f>
        <v>5</v>
      </c>
      <c r="C21" s="22">
        <f ca="1">ROUND(FIRE1122_raw!C21,0)</f>
        <v>15</v>
      </c>
      <c r="D21" s="22">
        <f ca="1">ROUND(FIRE1122_raw!D21,0)</f>
        <v>6</v>
      </c>
      <c r="E21" s="22">
        <f ca="1">ROUND(FIRE1122_raw!E21,0)</f>
        <v>6</v>
      </c>
      <c r="F21" s="22">
        <f ca="1">ROUND(FIRE1122_raw!F21,0)</f>
        <v>0</v>
      </c>
      <c r="G21" s="22">
        <f ca="1">ROUND(FIRE1122_raw!G21,0)</f>
        <v>0</v>
      </c>
      <c r="H21" s="22">
        <f ca="1">IF(FIRE1122_raw!H21="-","-",ROUND(FIRE1122_raw!H21,0))</f>
        <v>34</v>
      </c>
      <c r="I21" s="22"/>
      <c r="J21" s="22">
        <f ca="1">ROUND(FIRE1122_raw!J21,0)</f>
        <v>18</v>
      </c>
      <c r="K21" s="22">
        <f ca="1">ROUND(FIRE1122_raw!K21,0)</f>
        <v>39</v>
      </c>
      <c r="L21" s="22">
        <f ca="1">ROUND(FIRE1122_raw!L21,0)</f>
        <v>8</v>
      </c>
      <c r="M21" s="22">
        <f ca="1">ROUND(FIRE1122_raw!M21,0)</f>
        <v>2</v>
      </c>
      <c r="N21" s="22">
        <f ca="1">ROUND(FIRE1122_raw!N21,0)</f>
        <v>0</v>
      </c>
      <c r="O21" s="22">
        <f ca="1">ROUND(FIRE1122_raw!O21,0)</f>
        <v>0</v>
      </c>
      <c r="P21" s="22">
        <f ca="1">IF(FIRE1122_raw!P21="-","-",ROUND(FIRE1122_raw!P21,0))</f>
        <v>29</v>
      </c>
      <c r="Q21" s="22"/>
      <c r="R21" s="21">
        <f ca="1">ROUND(FIRE1122_raw!R21,0)</f>
        <v>23</v>
      </c>
      <c r="S21" s="21">
        <f ca="1">ROUND(FIRE1122_raw!S21,0)</f>
        <v>54</v>
      </c>
      <c r="T21" s="21">
        <f ca="1">ROUND(FIRE1122_raw!T21,0)</f>
        <v>14</v>
      </c>
      <c r="U21" s="21">
        <f ca="1">ROUND(FIRE1122_raw!U21,0)</f>
        <v>8</v>
      </c>
      <c r="V21" s="21">
        <f ca="1">ROUND(FIRE1122_raw!V21,0)</f>
        <v>0</v>
      </c>
      <c r="W21" s="21">
        <f ca="1">ROUND(FIRE1122_raw!W21,0)</f>
        <v>0</v>
      </c>
      <c r="X21" s="21">
        <f ca="1">IF(FIRE1122_raw!X21="-","-",ROUND(FIRE1122_raw!X21,0))</f>
        <v>31</v>
      </c>
      <c r="Y21" s="22"/>
      <c r="Z21" s="22">
        <f ca="1">ROUND(FIRE1122_raw!Z21,0)</f>
        <v>0</v>
      </c>
      <c r="AA21" s="22">
        <f ca="1">ROUND(FIRE1122_raw!AA21,0)</f>
        <v>0</v>
      </c>
      <c r="AB21" s="22">
        <f ca="1">ROUND(FIRE1122_raw!AB21,0)</f>
        <v>0</v>
      </c>
      <c r="AC21" s="22">
        <f ca="1">ROUND(FIRE1122_raw!AC21,0)</f>
        <v>0</v>
      </c>
      <c r="AD21" s="22">
        <f ca="1">ROUND(FIRE1122_raw!AD21,0)</f>
        <v>0</v>
      </c>
      <c r="AE21" s="22">
        <f ca="1">ROUND(FIRE1122_raw!AE21,0)</f>
        <v>0</v>
      </c>
      <c r="AF21" s="22" t="str">
        <f ca="1">IF(FIRE1122_raw!AF21="-","-",ROUND(FIRE1122_raw!AF21,0))</f>
        <v>-</v>
      </c>
      <c r="AG21" s="22"/>
      <c r="AH21" s="22">
        <f ca="1">ROUND(FIRE1122_raw!AH21,0)</f>
        <v>5</v>
      </c>
      <c r="AI21" s="22">
        <f ca="1">ROUND(FIRE1122_raw!AI21,0)</f>
        <v>16</v>
      </c>
      <c r="AJ21" s="22">
        <f ca="1">ROUND(FIRE1122_raw!AJ21,0)</f>
        <v>16</v>
      </c>
      <c r="AK21" s="22">
        <f ca="1">ROUND(FIRE1122_raw!AK21,0)</f>
        <v>14</v>
      </c>
      <c r="AL21" s="22">
        <f ca="1">ROUND(FIRE1122_raw!AL21,0)</f>
        <v>5</v>
      </c>
      <c r="AM21" s="22">
        <f ca="1">ROUND(FIRE1122_raw!AM21,0)</f>
        <v>0</v>
      </c>
      <c r="AN21" s="22">
        <f ca="1">IF(FIRE1122_raw!AN21="-","-",ROUND(FIRE1122_raw!AN21,0))</f>
        <v>40</v>
      </c>
      <c r="AO21" s="22"/>
      <c r="AP21" s="21">
        <f ca="1">ROUND(FIRE1122_raw!AP21,0)</f>
        <v>28</v>
      </c>
      <c r="AQ21" s="21">
        <f ca="1">ROUND(FIRE1122_raw!AQ21,0)</f>
        <v>70</v>
      </c>
      <c r="AR21" s="21">
        <f ca="1">ROUND(FIRE1122_raw!AR21,0)</f>
        <v>30</v>
      </c>
      <c r="AS21" s="21">
        <f ca="1">ROUND(FIRE1122_raw!AS21,0)</f>
        <v>22</v>
      </c>
      <c r="AT21" s="21">
        <f ca="1">ROUND(FIRE1122_raw!AT21,0)</f>
        <v>5</v>
      </c>
      <c r="AU21" s="21">
        <f ca="1">ROUND(FIRE1122_raw!AU21,0)</f>
        <v>0</v>
      </c>
      <c r="AV21" s="21">
        <f ca="1">IF(FIRE1122_raw!AV21="-","-",ROUND(FIRE1122_raw!AV21,0))</f>
        <v>34</v>
      </c>
      <c r="AW21" s="17"/>
      <c r="AX21" s="17"/>
      <c r="AY21" s="17"/>
      <c r="AZ21" s="17"/>
      <c r="BA21" s="17"/>
      <c r="BB21" s="17"/>
      <c r="BC21" s="17"/>
      <c r="BD21" s="17"/>
      <c r="BE21" s="17"/>
    </row>
    <row r="22" spans="1:57" s="7" customFormat="1" ht="15" customHeight="1" x14ac:dyDescent="0.35">
      <c r="A22" s="2" t="s">
        <v>27</v>
      </c>
      <c r="B22" s="22">
        <f ca="1">ROUND(FIRE1122_raw!B22,0)</f>
        <v>0</v>
      </c>
      <c r="C22" s="22">
        <f ca="1">ROUND(FIRE1122_raw!C22,0)</f>
        <v>0</v>
      </c>
      <c r="D22" s="22">
        <f ca="1">ROUND(FIRE1122_raw!D22,0)</f>
        <v>0</v>
      </c>
      <c r="E22" s="22">
        <f ca="1">ROUND(FIRE1122_raw!E22,0)</f>
        <v>0</v>
      </c>
      <c r="F22" s="22">
        <f ca="1">ROUND(FIRE1122_raw!F22,0)</f>
        <v>0</v>
      </c>
      <c r="G22" s="22">
        <f ca="1">ROUND(FIRE1122_raw!G22,0)</f>
        <v>0</v>
      </c>
      <c r="H22" s="22" t="str">
        <f ca="1">IF(FIRE1122_raw!H22="-","-",ROUND(FIRE1122_raw!H22,0))</f>
        <v>-</v>
      </c>
      <c r="I22" s="22"/>
      <c r="J22" s="22">
        <f ca="1">ROUND(FIRE1122_raw!J22,0)</f>
        <v>7</v>
      </c>
      <c r="K22" s="22">
        <f ca="1">ROUND(FIRE1122_raw!K22,0)</f>
        <v>11</v>
      </c>
      <c r="L22" s="22">
        <f ca="1">ROUND(FIRE1122_raw!L22,0)</f>
        <v>2</v>
      </c>
      <c r="M22" s="22">
        <f ca="1">ROUND(FIRE1122_raw!M22,0)</f>
        <v>1</v>
      </c>
      <c r="N22" s="22">
        <f ca="1">ROUND(FIRE1122_raw!N22,0)</f>
        <v>0</v>
      </c>
      <c r="O22" s="22">
        <f ca="1">ROUND(FIRE1122_raw!O22,0)</f>
        <v>1</v>
      </c>
      <c r="P22" s="22">
        <f ca="1">IF(FIRE1122_raw!P22="-","-",ROUND(FIRE1122_raw!P22,0))</f>
        <v>29</v>
      </c>
      <c r="Q22" s="22"/>
      <c r="R22" s="21">
        <f ca="1">ROUND(FIRE1122_raw!R22,0)</f>
        <v>7</v>
      </c>
      <c r="S22" s="21">
        <f ca="1">ROUND(FIRE1122_raw!S22,0)</f>
        <v>11</v>
      </c>
      <c r="T22" s="21">
        <f ca="1">ROUND(FIRE1122_raw!T22,0)</f>
        <v>2</v>
      </c>
      <c r="U22" s="21">
        <f ca="1">ROUND(FIRE1122_raw!U22,0)</f>
        <v>1</v>
      </c>
      <c r="V22" s="21">
        <f ca="1">ROUND(FIRE1122_raw!V22,0)</f>
        <v>0</v>
      </c>
      <c r="W22" s="21">
        <f ca="1">ROUND(FIRE1122_raw!W22,0)</f>
        <v>1</v>
      </c>
      <c r="X22" s="21">
        <f ca="1">IF(FIRE1122_raw!X22="-","-",ROUND(FIRE1122_raw!X22,0))</f>
        <v>29</v>
      </c>
      <c r="Y22" s="22"/>
      <c r="Z22" s="22">
        <f ca="1">ROUND(FIRE1122_raw!Z22,0)</f>
        <v>0</v>
      </c>
      <c r="AA22" s="22">
        <f ca="1">ROUND(FIRE1122_raw!AA22,0)</f>
        <v>0</v>
      </c>
      <c r="AB22" s="22">
        <f ca="1">ROUND(FIRE1122_raw!AB22,0)</f>
        <v>0</v>
      </c>
      <c r="AC22" s="22">
        <f ca="1">ROUND(FIRE1122_raw!AC22,0)</f>
        <v>0</v>
      </c>
      <c r="AD22" s="22">
        <f ca="1">ROUND(FIRE1122_raw!AD22,0)</f>
        <v>0</v>
      </c>
      <c r="AE22" s="22">
        <f ca="1">ROUND(FIRE1122_raw!AE22,0)</f>
        <v>0</v>
      </c>
      <c r="AF22" s="22" t="str">
        <f ca="1">IF(FIRE1122_raw!AF22="-","-",ROUND(FIRE1122_raw!AF22,0))</f>
        <v>-</v>
      </c>
      <c r="AG22" s="22"/>
      <c r="AH22" s="22">
        <f ca="1">ROUND(FIRE1122_raw!AH22,0)</f>
        <v>3</v>
      </c>
      <c r="AI22" s="22">
        <f ca="1">ROUND(FIRE1122_raw!AI22,0)</f>
        <v>5</v>
      </c>
      <c r="AJ22" s="22">
        <f ca="1">ROUND(FIRE1122_raw!AJ22,0)</f>
        <v>2</v>
      </c>
      <c r="AK22" s="22">
        <f ca="1">ROUND(FIRE1122_raw!AK22,0)</f>
        <v>1</v>
      </c>
      <c r="AL22" s="22">
        <f ca="1">ROUND(FIRE1122_raw!AL22,0)</f>
        <v>0</v>
      </c>
      <c r="AM22" s="22">
        <f ca="1">ROUND(FIRE1122_raw!AM22,0)</f>
        <v>0</v>
      </c>
      <c r="AN22" s="22">
        <f ca="1">IF(FIRE1122_raw!AN22="-","-",ROUND(FIRE1122_raw!AN22,0))</f>
        <v>31</v>
      </c>
      <c r="AO22" s="22"/>
      <c r="AP22" s="21">
        <f ca="1">ROUND(FIRE1122_raw!AP22,0)</f>
        <v>10</v>
      </c>
      <c r="AQ22" s="21">
        <f ca="1">ROUND(FIRE1122_raw!AQ22,0)</f>
        <v>16</v>
      </c>
      <c r="AR22" s="21">
        <f ca="1">ROUND(FIRE1122_raw!AR22,0)</f>
        <v>4</v>
      </c>
      <c r="AS22" s="21">
        <f ca="1">ROUND(FIRE1122_raw!AS22,0)</f>
        <v>2</v>
      </c>
      <c r="AT22" s="21">
        <f ca="1">ROUND(FIRE1122_raw!AT22,0)</f>
        <v>0</v>
      </c>
      <c r="AU22" s="21">
        <f ca="1">ROUND(FIRE1122_raw!AU22,0)</f>
        <v>1</v>
      </c>
      <c r="AV22" s="21">
        <f ca="1">IF(FIRE1122_raw!AV22="-","-",ROUND(FIRE1122_raw!AV22,0))</f>
        <v>29</v>
      </c>
      <c r="AW22" s="17"/>
      <c r="AX22" s="17"/>
      <c r="AY22" s="17"/>
      <c r="AZ22" s="17"/>
      <c r="BA22" s="17"/>
      <c r="BB22" s="17"/>
      <c r="BC22" s="17"/>
      <c r="BD22" s="17"/>
      <c r="BE22" s="17"/>
    </row>
    <row r="23" spans="1:57" s="7" customFormat="1" ht="15" customHeight="1" x14ac:dyDescent="0.35">
      <c r="A23" s="2" t="s">
        <v>28</v>
      </c>
      <c r="B23" s="22">
        <f ca="1">ROUND(FIRE1122_raw!B23,0)</f>
        <v>0</v>
      </c>
      <c r="C23" s="22">
        <f ca="1">ROUND(FIRE1122_raw!C23,0)</f>
        <v>1</v>
      </c>
      <c r="D23" s="22">
        <f ca="1">ROUND(FIRE1122_raw!D23,0)</f>
        <v>1</v>
      </c>
      <c r="E23" s="22">
        <f ca="1">ROUND(FIRE1122_raw!E23,0)</f>
        <v>0</v>
      </c>
      <c r="F23" s="22">
        <f ca="1">ROUND(FIRE1122_raw!F23,0)</f>
        <v>0</v>
      </c>
      <c r="G23" s="22">
        <f ca="1">ROUND(FIRE1122_raw!G23,0)</f>
        <v>0</v>
      </c>
      <c r="H23" s="22">
        <f ca="1">IF(FIRE1122_raw!H23="-","-",ROUND(FIRE1122_raw!H23,0))</f>
        <v>35</v>
      </c>
      <c r="I23" s="22"/>
      <c r="J23" s="22">
        <f ca="1">ROUND(FIRE1122_raw!J23,0)</f>
        <v>7</v>
      </c>
      <c r="K23" s="22">
        <f ca="1">ROUND(FIRE1122_raw!K23,0)</f>
        <v>12</v>
      </c>
      <c r="L23" s="22">
        <f ca="1">ROUND(FIRE1122_raw!L23,0)</f>
        <v>6</v>
      </c>
      <c r="M23" s="22">
        <f ca="1">ROUND(FIRE1122_raw!M23,0)</f>
        <v>2</v>
      </c>
      <c r="N23" s="22">
        <f ca="1">ROUND(FIRE1122_raw!N23,0)</f>
        <v>0</v>
      </c>
      <c r="O23" s="22">
        <f ca="1">ROUND(FIRE1122_raw!O23,0)</f>
        <v>0</v>
      </c>
      <c r="P23" s="22">
        <f ca="1">IF(FIRE1122_raw!P23="-","-",ROUND(FIRE1122_raw!P23,0))</f>
        <v>31</v>
      </c>
      <c r="Q23" s="22"/>
      <c r="R23" s="21">
        <f ca="1">ROUND(FIRE1122_raw!R23,0)</f>
        <v>7</v>
      </c>
      <c r="S23" s="21">
        <f ca="1">ROUND(FIRE1122_raw!S23,0)</f>
        <v>13</v>
      </c>
      <c r="T23" s="21">
        <f ca="1">ROUND(FIRE1122_raw!T23,0)</f>
        <v>7</v>
      </c>
      <c r="U23" s="21">
        <f ca="1">ROUND(FIRE1122_raw!U23,0)</f>
        <v>2</v>
      </c>
      <c r="V23" s="21">
        <f ca="1">ROUND(FIRE1122_raw!V23,0)</f>
        <v>0</v>
      </c>
      <c r="W23" s="21">
        <f ca="1">ROUND(FIRE1122_raw!W23,0)</f>
        <v>0</v>
      </c>
      <c r="X23" s="21">
        <f ca="1">IF(FIRE1122_raw!X23="-","-",ROUND(FIRE1122_raw!X23,0))</f>
        <v>32</v>
      </c>
      <c r="Y23" s="22"/>
      <c r="Z23" s="22">
        <f ca="1">ROUND(FIRE1122_raw!Z23,0)</f>
        <v>2</v>
      </c>
      <c r="AA23" s="22">
        <f ca="1">ROUND(FIRE1122_raw!AA23,0)</f>
        <v>0</v>
      </c>
      <c r="AB23" s="22">
        <f ca="1">ROUND(FIRE1122_raw!AB23,0)</f>
        <v>0</v>
      </c>
      <c r="AC23" s="22">
        <f ca="1">ROUND(FIRE1122_raw!AC23,0)</f>
        <v>0</v>
      </c>
      <c r="AD23" s="22">
        <f ca="1">ROUND(FIRE1122_raw!AD23,0)</f>
        <v>0</v>
      </c>
      <c r="AE23" s="22">
        <f ca="1">ROUND(FIRE1122_raw!AE23,0)</f>
        <v>0</v>
      </c>
      <c r="AF23" s="22">
        <f ca="1">IF(FIRE1122_raw!AF23="-","-",ROUND(FIRE1122_raw!AF23,0))</f>
        <v>20</v>
      </c>
      <c r="AG23" s="22"/>
      <c r="AH23" s="22">
        <f ca="1">ROUND(FIRE1122_raw!AH23,0)</f>
        <v>2</v>
      </c>
      <c r="AI23" s="22">
        <f ca="1">ROUND(FIRE1122_raw!AI23,0)</f>
        <v>5</v>
      </c>
      <c r="AJ23" s="22">
        <f ca="1">ROUND(FIRE1122_raw!AJ23,0)</f>
        <v>5</v>
      </c>
      <c r="AK23" s="22">
        <f ca="1">ROUND(FIRE1122_raw!AK23,0)</f>
        <v>12</v>
      </c>
      <c r="AL23" s="22">
        <f ca="1">ROUND(FIRE1122_raw!AL23,0)</f>
        <v>2</v>
      </c>
      <c r="AM23" s="22">
        <f ca="1">ROUND(FIRE1122_raw!AM23,0)</f>
        <v>0</v>
      </c>
      <c r="AN23" s="22">
        <f ca="1">IF(FIRE1122_raw!AN23="-","-",ROUND(FIRE1122_raw!AN23,0))</f>
        <v>43</v>
      </c>
      <c r="AO23" s="22"/>
      <c r="AP23" s="21">
        <f ca="1">ROUND(FIRE1122_raw!AP23,0)</f>
        <v>11</v>
      </c>
      <c r="AQ23" s="21">
        <f ca="1">ROUND(FIRE1122_raw!AQ23,0)</f>
        <v>18</v>
      </c>
      <c r="AR23" s="21">
        <f ca="1">ROUND(FIRE1122_raw!AR23,0)</f>
        <v>12</v>
      </c>
      <c r="AS23" s="21">
        <f ca="1">ROUND(FIRE1122_raw!AS23,0)</f>
        <v>14</v>
      </c>
      <c r="AT23" s="21">
        <f ca="1">ROUND(FIRE1122_raw!AT23,0)</f>
        <v>2</v>
      </c>
      <c r="AU23" s="21">
        <f ca="1">ROUND(FIRE1122_raw!AU23,0)</f>
        <v>0</v>
      </c>
      <c r="AV23" s="21">
        <f ca="1">IF(FIRE1122_raw!AV23="-","-",ROUND(FIRE1122_raw!AV23,0))</f>
        <v>36</v>
      </c>
      <c r="AW23" s="17"/>
      <c r="AX23" s="17"/>
      <c r="AY23" s="17"/>
      <c r="AZ23" s="17"/>
      <c r="BA23" s="17"/>
      <c r="BB23" s="17"/>
      <c r="BC23" s="17"/>
      <c r="BD23" s="17"/>
      <c r="BE23" s="17"/>
    </row>
    <row r="24" spans="1:57" s="7" customFormat="1" ht="15" customHeight="1" x14ac:dyDescent="0.35">
      <c r="A24" s="2" t="s">
        <v>29</v>
      </c>
      <c r="B24" s="22">
        <f ca="1">ROUND(FIRE1122_raw!B24,0)</f>
        <v>5</v>
      </c>
      <c r="C24" s="22">
        <f ca="1">ROUND(FIRE1122_raw!C24,0)</f>
        <v>36</v>
      </c>
      <c r="D24" s="22">
        <f ca="1">ROUND(FIRE1122_raw!D24,0)</f>
        <v>11</v>
      </c>
      <c r="E24" s="22">
        <f ca="1">ROUND(FIRE1122_raw!E24,0)</f>
        <v>5</v>
      </c>
      <c r="F24" s="22">
        <f ca="1">ROUND(FIRE1122_raw!F24,0)</f>
        <v>0</v>
      </c>
      <c r="G24" s="22">
        <f ca="1">ROUND(FIRE1122_raw!G24,0)</f>
        <v>0</v>
      </c>
      <c r="H24" s="22">
        <f ca="1">IF(FIRE1122_raw!H24="-","-",ROUND(FIRE1122_raw!H24,0))</f>
        <v>33</v>
      </c>
      <c r="I24" s="22"/>
      <c r="J24" s="22">
        <f ca="1">ROUND(FIRE1122_raw!J24,0)</f>
        <v>18</v>
      </c>
      <c r="K24" s="22">
        <f ca="1">ROUND(FIRE1122_raw!K24,0)</f>
        <v>29</v>
      </c>
      <c r="L24" s="22">
        <f ca="1">ROUND(FIRE1122_raw!L24,0)</f>
        <v>11</v>
      </c>
      <c r="M24" s="22">
        <f ca="1">ROUND(FIRE1122_raw!M24,0)</f>
        <v>3</v>
      </c>
      <c r="N24" s="22">
        <f ca="1">ROUND(FIRE1122_raw!N24,0)</f>
        <v>1</v>
      </c>
      <c r="O24" s="22">
        <f ca="1">ROUND(FIRE1122_raw!O24,0)</f>
        <v>0</v>
      </c>
      <c r="P24" s="22">
        <f ca="1">IF(FIRE1122_raw!P24="-","-",ROUND(FIRE1122_raw!P24,0))</f>
        <v>30</v>
      </c>
      <c r="Q24" s="22"/>
      <c r="R24" s="21">
        <f ca="1">ROUND(FIRE1122_raw!R24,0)</f>
        <v>23</v>
      </c>
      <c r="S24" s="21">
        <f ca="1">ROUND(FIRE1122_raw!S24,0)</f>
        <v>65</v>
      </c>
      <c r="T24" s="21">
        <f ca="1">ROUND(FIRE1122_raw!T24,0)</f>
        <v>22</v>
      </c>
      <c r="U24" s="21">
        <f ca="1">ROUND(FIRE1122_raw!U24,0)</f>
        <v>8</v>
      </c>
      <c r="V24" s="21">
        <f ca="1">ROUND(FIRE1122_raw!V24,0)</f>
        <v>1</v>
      </c>
      <c r="W24" s="21">
        <f ca="1">ROUND(FIRE1122_raw!W24,0)</f>
        <v>0</v>
      </c>
      <c r="X24" s="21">
        <f ca="1">IF(FIRE1122_raw!X24="-","-",ROUND(FIRE1122_raw!X24,0))</f>
        <v>32</v>
      </c>
      <c r="Y24" s="22"/>
      <c r="Z24" s="22">
        <f ca="1">ROUND(FIRE1122_raw!Z24,0)</f>
        <v>0</v>
      </c>
      <c r="AA24" s="22">
        <f ca="1">ROUND(FIRE1122_raw!AA24,0)</f>
        <v>1</v>
      </c>
      <c r="AB24" s="22">
        <f ca="1">ROUND(FIRE1122_raw!AB24,0)</f>
        <v>1</v>
      </c>
      <c r="AC24" s="22">
        <f ca="1">ROUND(FIRE1122_raw!AC24,0)</f>
        <v>1</v>
      </c>
      <c r="AD24" s="22">
        <f ca="1">ROUND(FIRE1122_raw!AD24,0)</f>
        <v>0</v>
      </c>
      <c r="AE24" s="22">
        <f ca="1">ROUND(FIRE1122_raw!AE24,0)</f>
        <v>0</v>
      </c>
      <c r="AF24" s="22">
        <f ca="1">IF(FIRE1122_raw!AF24="-","-",ROUND(FIRE1122_raw!AF24,0))</f>
        <v>40</v>
      </c>
      <c r="AG24" s="22"/>
      <c r="AH24" s="22">
        <f ca="1">ROUND(FIRE1122_raw!AH24,0)</f>
        <v>5</v>
      </c>
      <c r="AI24" s="22">
        <f ca="1">ROUND(FIRE1122_raw!AI24,0)</f>
        <v>9</v>
      </c>
      <c r="AJ24" s="22">
        <f ca="1">ROUND(FIRE1122_raw!AJ24,0)</f>
        <v>5</v>
      </c>
      <c r="AK24" s="22">
        <f ca="1">ROUND(FIRE1122_raw!AK24,0)</f>
        <v>10</v>
      </c>
      <c r="AL24" s="22">
        <f ca="1">ROUND(FIRE1122_raw!AL24,0)</f>
        <v>2</v>
      </c>
      <c r="AM24" s="22">
        <f ca="1">ROUND(FIRE1122_raw!AM24,0)</f>
        <v>0</v>
      </c>
      <c r="AN24" s="22">
        <f ca="1">IF(FIRE1122_raw!AN24="-","-",ROUND(FIRE1122_raw!AN24,0))</f>
        <v>38</v>
      </c>
      <c r="AO24" s="22"/>
      <c r="AP24" s="21">
        <f ca="1">ROUND(FIRE1122_raw!AP24,0)</f>
        <v>28</v>
      </c>
      <c r="AQ24" s="21">
        <f ca="1">ROUND(FIRE1122_raw!AQ24,0)</f>
        <v>75</v>
      </c>
      <c r="AR24" s="21">
        <f ca="1">ROUND(FIRE1122_raw!AR24,0)</f>
        <v>28</v>
      </c>
      <c r="AS24" s="21">
        <f ca="1">ROUND(FIRE1122_raw!AS24,0)</f>
        <v>19</v>
      </c>
      <c r="AT24" s="21">
        <f ca="1">ROUND(FIRE1122_raw!AT24,0)</f>
        <v>3</v>
      </c>
      <c r="AU24" s="21">
        <f ca="1">ROUND(FIRE1122_raw!AU24,0)</f>
        <v>0</v>
      </c>
      <c r="AV24" s="21">
        <f ca="1">IF(FIRE1122_raw!AV24="-","-",ROUND(FIRE1122_raw!AV24,0))</f>
        <v>33</v>
      </c>
      <c r="AW24" s="17"/>
      <c r="AX24" s="17"/>
      <c r="AY24" s="17"/>
      <c r="AZ24" s="17"/>
      <c r="BA24" s="17"/>
      <c r="BB24" s="17"/>
      <c r="BC24" s="17"/>
      <c r="BD24" s="17"/>
      <c r="BE24" s="17"/>
    </row>
    <row r="25" spans="1:57" s="7" customFormat="1" ht="15" customHeight="1" x14ac:dyDescent="0.35">
      <c r="A25" s="2" t="s">
        <v>30</v>
      </c>
      <c r="B25" s="22">
        <f ca="1">ROUND(FIRE1122_raw!B25,0)</f>
        <v>0</v>
      </c>
      <c r="C25" s="22">
        <f ca="1">ROUND(FIRE1122_raw!C25,0)</f>
        <v>2</v>
      </c>
      <c r="D25" s="22">
        <f ca="1">ROUND(FIRE1122_raw!D25,0)</f>
        <v>3</v>
      </c>
      <c r="E25" s="22">
        <f ca="1">ROUND(FIRE1122_raw!E25,0)</f>
        <v>2</v>
      </c>
      <c r="F25" s="22">
        <f ca="1">ROUND(FIRE1122_raw!F25,0)</f>
        <v>0</v>
      </c>
      <c r="G25" s="22">
        <f ca="1">ROUND(FIRE1122_raw!G25,0)</f>
        <v>0</v>
      </c>
      <c r="H25" s="22">
        <f ca="1">IF(FIRE1122_raw!H25="-","-",ROUND(FIRE1122_raw!H25,0))</f>
        <v>40</v>
      </c>
      <c r="I25" s="22"/>
      <c r="J25" s="22">
        <f ca="1">ROUND(FIRE1122_raw!J25,0)</f>
        <v>11</v>
      </c>
      <c r="K25" s="22">
        <f ca="1">ROUND(FIRE1122_raw!K25,0)</f>
        <v>19</v>
      </c>
      <c r="L25" s="22">
        <f ca="1">ROUND(FIRE1122_raw!L25,0)</f>
        <v>13</v>
      </c>
      <c r="M25" s="22">
        <f ca="1">ROUND(FIRE1122_raw!M25,0)</f>
        <v>6</v>
      </c>
      <c r="N25" s="22">
        <f ca="1">ROUND(FIRE1122_raw!N25,0)</f>
        <v>2</v>
      </c>
      <c r="O25" s="22">
        <f ca="1">ROUND(FIRE1122_raw!O25,0)</f>
        <v>0</v>
      </c>
      <c r="P25" s="22">
        <f ca="1">IF(FIRE1122_raw!P25="-","-",ROUND(FIRE1122_raw!P25,0))</f>
        <v>34</v>
      </c>
      <c r="Q25" s="22"/>
      <c r="R25" s="21">
        <f ca="1">ROUND(FIRE1122_raw!R25,0)</f>
        <v>11</v>
      </c>
      <c r="S25" s="21">
        <f ca="1">ROUND(FIRE1122_raw!S25,0)</f>
        <v>21</v>
      </c>
      <c r="T25" s="21">
        <f ca="1">ROUND(FIRE1122_raw!T25,0)</f>
        <v>16</v>
      </c>
      <c r="U25" s="21">
        <f ca="1">ROUND(FIRE1122_raw!U25,0)</f>
        <v>8</v>
      </c>
      <c r="V25" s="21">
        <f ca="1">ROUND(FIRE1122_raw!V25,0)</f>
        <v>2</v>
      </c>
      <c r="W25" s="21">
        <f ca="1">ROUND(FIRE1122_raw!W25,0)</f>
        <v>0</v>
      </c>
      <c r="X25" s="21">
        <f ca="1">IF(FIRE1122_raw!X25="-","-",ROUND(FIRE1122_raw!X25,0))</f>
        <v>35</v>
      </c>
      <c r="Y25" s="22"/>
      <c r="Z25" s="22">
        <f ca="1">ROUND(FIRE1122_raw!Z25,0)</f>
        <v>0</v>
      </c>
      <c r="AA25" s="22">
        <f ca="1">ROUND(FIRE1122_raw!AA25,0)</f>
        <v>0</v>
      </c>
      <c r="AB25" s="22">
        <f ca="1">ROUND(FIRE1122_raw!AB25,0)</f>
        <v>0</v>
      </c>
      <c r="AC25" s="22">
        <f ca="1">ROUND(FIRE1122_raw!AC25,0)</f>
        <v>0</v>
      </c>
      <c r="AD25" s="22">
        <f ca="1">ROUND(FIRE1122_raw!AD25,0)</f>
        <v>0</v>
      </c>
      <c r="AE25" s="22">
        <f ca="1">ROUND(FIRE1122_raw!AE25,0)</f>
        <v>0</v>
      </c>
      <c r="AF25" s="22" t="str">
        <f ca="1">IF(FIRE1122_raw!AF25="-","-",ROUND(FIRE1122_raw!AF25,0))</f>
        <v>-</v>
      </c>
      <c r="AG25" s="22"/>
      <c r="AH25" s="22">
        <f ca="1">ROUND(FIRE1122_raw!AH25,0)</f>
        <v>1</v>
      </c>
      <c r="AI25" s="22">
        <f ca="1">ROUND(FIRE1122_raw!AI25,0)</f>
        <v>0</v>
      </c>
      <c r="AJ25" s="22">
        <f ca="1">ROUND(FIRE1122_raw!AJ25,0)</f>
        <v>2</v>
      </c>
      <c r="AK25" s="22">
        <f ca="1">ROUND(FIRE1122_raw!AK25,0)</f>
        <v>1</v>
      </c>
      <c r="AL25" s="22">
        <f ca="1">ROUND(FIRE1122_raw!AL25,0)</f>
        <v>1</v>
      </c>
      <c r="AM25" s="22">
        <f ca="1">ROUND(FIRE1122_raw!AM25,0)</f>
        <v>0</v>
      </c>
      <c r="AN25" s="22">
        <f ca="1">IF(FIRE1122_raw!AN25="-","-",ROUND(FIRE1122_raw!AN25,0))</f>
        <v>42</v>
      </c>
      <c r="AO25" s="22"/>
      <c r="AP25" s="21">
        <f ca="1">ROUND(FIRE1122_raw!AP25,0)</f>
        <v>12</v>
      </c>
      <c r="AQ25" s="21">
        <f ca="1">ROUND(FIRE1122_raw!AQ25,0)</f>
        <v>21</v>
      </c>
      <c r="AR25" s="21">
        <f ca="1">ROUND(FIRE1122_raw!AR25,0)</f>
        <v>18</v>
      </c>
      <c r="AS25" s="21">
        <f ca="1">ROUND(FIRE1122_raw!AS25,0)</f>
        <v>9</v>
      </c>
      <c r="AT25" s="21">
        <f ca="1">ROUND(FIRE1122_raw!AT25,0)</f>
        <v>3</v>
      </c>
      <c r="AU25" s="21">
        <f ca="1">ROUND(FIRE1122_raw!AU25,0)</f>
        <v>0</v>
      </c>
      <c r="AV25" s="21">
        <f ca="1">IF(FIRE1122_raw!AV25="-","-",ROUND(FIRE1122_raw!AV25,0))</f>
        <v>35</v>
      </c>
      <c r="AW25" s="17"/>
      <c r="AX25" s="17"/>
      <c r="AY25" s="17"/>
      <c r="AZ25" s="17"/>
      <c r="BA25" s="17"/>
      <c r="BB25" s="17"/>
      <c r="BC25" s="17"/>
      <c r="BD25" s="17"/>
      <c r="BE25" s="17"/>
    </row>
    <row r="26" spans="1:57" s="7" customFormat="1" ht="15" customHeight="1" x14ac:dyDescent="0.35">
      <c r="A26" s="2" t="s">
        <v>31</v>
      </c>
      <c r="B26" s="22">
        <f ca="1">ROUND(FIRE1122_raw!B26,0)</f>
        <v>5</v>
      </c>
      <c r="C26" s="22">
        <f ca="1">ROUND(FIRE1122_raw!C26,0)</f>
        <v>19</v>
      </c>
      <c r="D26" s="22">
        <f ca="1">ROUND(FIRE1122_raw!D26,0)</f>
        <v>19</v>
      </c>
      <c r="E26" s="22">
        <f ca="1">ROUND(FIRE1122_raw!E26,0)</f>
        <v>14</v>
      </c>
      <c r="F26" s="22">
        <f ca="1">ROUND(FIRE1122_raw!F26,0)</f>
        <v>2</v>
      </c>
      <c r="G26" s="22">
        <f ca="1">ROUND(FIRE1122_raw!G26,0)</f>
        <v>0</v>
      </c>
      <c r="H26" s="22">
        <f ca="1">IF(FIRE1122_raw!H26="-","-",ROUND(FIRE1122_raw!H26,0))</f>
        <v>38</v>
      </c>
      <c r="I26" s="22"/>
      <c r="J26" s="22">
        <f ca="1">ROUND(FIRE1122_raw!J26,0)</f>
        <v>18</v>
      </c>
      <c r="K26" s="22">
        <f ca="1">ROUND(FIRE1122_raw!K26,0)</f>
        <v>39</v>
      </c>
      <c r="L26" s="22">
        <f ca="1">ROUND(FIRE1122_raw!L26,0)</f>
        <v>27</v>
      </c>
      <c r="M26" s="22">
        <f ca="1">ROUND(FIRE1122_raw!M26,0)</f>
        <v>23</v>
      </c>
      <c r="N26" s="22">
        <f ca="1">ROUND(FIRE1122_raw!N26,0)</f>
        <v>3</v>
      </c>
      <c r="O26" s="22">
        <f ca="1">ROUND(FIRE1122_raw!O26,0)</f>
        <v>0</v>
      </c>
      <c r="P26" s="22">
        <f ca="1">IF(FIRE1122_raw!P26="-","-",ROUND(FIRE1122_raw!P26,0))</f>
        <v>36</v>
      </c>
      <c r="Q26" s="22"/>
      <c r="R26" s="21">
        <f ca="1">ROUND(FIRE1122_raw!R26,0)</f>
        <v>23</v>
      </c>
      <c r="S26" s="21">
        <f ca="1">ROUND(FIRE1122_raw!S26,0)</f>
        <v>58</v>
      </c>
      <c r="T26" s="21">
        <f ca="1">ROUND(FIRE1122_raw!T26,0)</f>
        <v>46</v>
      </c>
      <c r="U26" s="21">
        <f ca="1">ROUND(FIRE1122_raw!U26,0)</f>
        <v>37</v>
      </c>
      <c r="V26" s="21">
        <f ca="1">ROUND(FIRE1122_raw!V26,0)</f>
        <v>5</v>
      </c>
      <c r="W26" s="21">
        <f ca="1">ROUND(FIRE1122_raw!W26,0)</f>
        <v>0</v>
      </c>
      <c r="X26" s="21">
        <f ca="1">IF(FIRE1122_raw!X26="-","-",ROUND(FIRE1122_raw!X26,0))</f>
        <v>37</v>
      </c>
      <c r="Y26" s="22"/>
      <c r="Z26" s="22">
        <f ca="1">ROUND(FIRE1122_raw!Z26,0)</f>
        <v>0</v>
      </c>
      <c r="AA26" s="22">
        <f ca="1">ROUND(FIRE1122_raw!AA26,0)</f>
        <v>3</v>
      </c>
      <c r="AB26" s="22">
        <f ca="1">ROUND(FIRE1122_raw!AB26,0)</f>
        <v>0</v>
      </c>
      <c r="AC26" s="22">
        <f ca="1">ROUND(FIRE1122_raw!AC26,0)</f>
        <v>0</v>
      </c>
      <c r="AD26" s="22">
        <f ca="1">ROUND(FIRE1122_raw!AD26,0)</f>
        <v>0</v>
      </c>
      <c r="AE26" s="22">
        <f ca="1">ROUND(FIRE1122_raw!AE26,0)</f>
        <v>0</v>
      </c>
      <c r="AF26" s="22">
        <f ca="1">IF(FIRE1122_raw!AF26="-","-",ROUND(FIRE1122_raw!AF26,0))</f>
        <v>30</v>
      </c>
      <c r="AG26" s="22"/>
      <c r="AH26" s="22">
        <f ca="1">ROUND(FIRE1122_raw!AH26,0)</f>
        <v>2</v>
      </c>
      <c r="AI26" s="22">
        <f ca="1">ROUND(FIRE1122_raw!AI26,0)</f>
        <v>13</v>
      </c>
      <c r="AJ26" s="22">
        <f ca="1">ROUND(FIRE1122_raw!AJ26,0)</f>
        <v>8</v>
      </c>
      <c r="AK26" s="22">
        <f ca="1">ROUND(FIRE1122_raw!AK26,0)</f>
        <v>4</v>
      </c>
      <c r="AL26" s="22">
        <f ca="1">ROUND(FIRE1122_raw!AL26,0)</f>
        <v>1</v>
      </c>
      <c r="AM26" s="22">
        <f ca="1">ROUND(FIRE1122_raw!AM26,0)</f>
        <v>0</v>
      </c>
      <c r="AN26" s="22">
        <f ca="1">IF(FIRE1122_raw!AN26="-","-",ROUND(FIRE1122_raw!AN26,0))</f>
        <v>36</v>
      </c>
      <c r="AO26" s="22"/>
      <c r="AP26" s="21">
        <f ca="1">ROUND(FIRE1122_raw!AP26,0)</f>
        <v>25</v>
      </c>
      <c r="AQ26" s="21">
        <f ca="1">ROUND(FIRE1122_raw!AQ26,0)</f>
        <v>74</v>
      </c>
      <c r="AR26" s="21">
        <f ca="1">ROUND(FIRE1122_raw!AR26,0)</f>
        <v>54</v>
      </c>
      <c r="AS26" s="21">
        <f ca="1">ROUND(FIRE1122_raw!AS26,0)</f>
        <v>41</v>
      </c>
      <c r="AT26" s="21">
        <f ca="1">ROUND(FIRE1122_raw!AT26,0)</f>
        <v>6</v>
      </c>
      <c r="AU26" s="21">
        <f ca="1">ROUND(FIRE1122_raw!AU26,0)</f>
        <v>0</v>
      </c>
      <c r="AV26" s="21">
        <f ca="1">IF(FIRE1122_raw!AV26="-","-",ROUND(FIRE1122_raw!AV26,0))</f>
        <v>37</v>
      </c>
      <c r="AW26" s="17"/>
      <c r="AX26" s="17"/>
      <c r="AY26" s="17"/>
      <c r="AZ26" s="17"/>
      <c r="BA26" s="17"/>
      <c r="BB26" s="17"/>
      <c r="BC26" s="17"/>
      <c r="BD26" s="17"/>
      <c r="BE26" s="17"/>
    </row>
    <row r="27" spans="1:57" s="7" customFormat="1" ht="15" customHeight="1" x14ac:dyDescent="0.35">
      <c r="A27" s="2" t="s">
        <v>32</v>
      </c>
      <c r="B27" s="22">
        <f ca="1">ROUND(FIRE1122_raw!B27,0)</f>
        <v>1</v>
      </c>
      <c r="C27" s="22">
        <f ca="1">ROUND(FIRE1122_raw!C27,0)</f>
        <v>17</v>
      </c>
      <c r="D27" s="22">
        <f ca="1">ROUND(FIRE1122_raw!D27,0)</f>
        <v>6</v>
      </c>
      <c r="E27" s="22">
        <f ca="1">ROUND(FIRE1122_raw!E27,0)</f>
        <v>1</v>
      </c>
      <c r="F27" s="22">
        <f ca="1">ROUND(FIRE1122_raw!F27,0)</f>
        <v>0</v>
      </c>
      <c r="G27" s="22">
        <f ca="1">ROUND(FIRE1122_raw!G27,0)</f>
        <v>0</v>
      </c>
      <c r="H27" s="22">
        <f ca="1">IF(FIRE1122_raw!H27="-","-",ROUND(FIRE1122_raw!H27,0))</f>
        <v>33</v>
      </c>
      <c r="I27" s="22"/>
      <c r="J27" s="22">
        <f ca="1">ROUND(FIRE1122_raw!J27,0)</f>
        <v>7</v>
      </c>
      <c r="K27" s="22">
        <f ca="1">ROUND(FIRE1122_raw!K27,0)</f>
        <v>33</v>
      </c>
      <c r="L27" s="22">
        <f ca="1">ROUND(FIRE1122_raw!L27,0)</f>
        <v>12</v>
      </c>
      <c r="M27" s="22">
        <f ca="1">ROUND(FIRE1122_raw!M27,0)</f>
        <v>9</v>
      </c>
      <c r="N27" s="22">
        <f ca="1">ROUND(FIRE1122_raw!N27,0)</f>
        <v>2</v>
      </c>
      <c r="O27" s="22">
        <f ca="1">ROUND(FIRE1122_raw!O27,0)</f>
        <v>0</v>
      </c>
      <c r="P27" s="22">
        <f ca="1">IF(FIRE1122_raw!P27="-","-",ROUND(FIRE1122_raw!P27,0))</f>
        <v>35</v>
      </c>
      <c r="Q27" s="22"/>
      <c r="R27" s="21">
        <f ca="1">ROUND(FIRE1122_raw!R27,0)</f>
        <v>8</v>
      </c>
      <c r="S27" s="21">
        <f ca="1">ROUND(FIRE1122_raw!S27,0)</f>
        <v>50</v>
      </c>
      <c r="T27" s="21">
        <f ca="1">ROUND(FIRE1122_raw!T27,0)</f>
        <v>18</v>
      </c>
      <c r="U27" s="21">
        <f ca="1">ROUND(FIRE1122_raw!U27,0)</f>
        <v>10</v>
      </c>
      <c r="V27" s="21">
        <f ca="1">ROUND(FIRE1122_raw!V27,0)</f>
        <v>2</v>
      </c>
      <c r="W27" s="21">
        <f ca="1">ROUND(FIRE1122_raw!W27,0)</f>
        <v>0</v>
      </c>
      <c r="X27" s="21">
        <f ca="1">IF(FIRE1122_raw!X27="-","-",ROUND(FIRE1122_raw!X27,0))</f>
        <v>34</v>
      </c>
      <c r="Y27" s="22"/>
      <c r="Z27" s="22">
        <f ca="1">ROUND(FIRE1122_raw!Z27,0)</f>
        <v>0</v>
      </c>
      <c r="AA27" s="22">
        <f ca="1">ROUND(FIRE1122_raw!AA27,0)</f>
        <v>2</v>
      </c>
      <c r="AB27" s="22">
        <f ca="1">ROUND(FIRE1122_raw!AB27,0)</f>
        <v>0</v>
      </c>
      <c r="AC27" s="22">
        <f ca="1">ROUND(FIRE1122_raw!AC27,0)</f>
        <v>0</v>
      </c>
      <c r="AD27" s="22">
        <f ca="1">ROUND(FIRE1122_raw!AD27,0)</f>
        <v>0</v>
      </c>
      <c r="AE27" s="22">
        <f ca="1">ROUND(FIRE1122_raw!AE27,0)</f>
        <v>0</v>
      </c>
      <c r="AF27" s="22">
        <f ca="1">IF(FIRE1122_raw!AF27="-","-",ROUND(FIRE1122_raw!AF27,0))</f>
        <v>30</v>
      </c>
      <c r="AG27" s="22"/>
      <c r="AH27" s="22">
        <f ca="1">ROUND(FIRE1122_raw!AH27,0)</f>
        <v>3</v>
      </c>
      <c r="AI27" s="22">
        <f ca="1">ROUND(FIRE1122_raw!AI27,0)</f>
        <v>4</v>
      </c>
      <c r="AJ27" s="22">
        <f ca="1">ROUND(FIRE1122_raw!AJ27,0)</f>
        <v>6</v>
      </c>
      <c r="AK27" s="22">
        <f ca="1">ROUND(FIRE1122_raw!AK27,0)</f>
        <v>7</v>
      </c>
      <c r="AL27" s="22">
        <f ca="1">ROUND(FIRE1122_raw!AL27,0)</f>
        <v>5</v>
      </c>
      <c r="AM27" s="22">
        <f ca="1">ROUND(FIRE1122_raw!AM27,0)</f>
        <v>0</v>
      </c>
      <c r="AN27" s="22">
        <f ca="1">IF(FIRE1122_raw!AN27="-","-",ROUND(FIRE1122_raw!AN27,0))</f>
        <v>42</v>
      </c>
      <c r="AO27" s="22"/>
      <c r="AP27" s="21">
        <f ca="1">ROUND(FIRE1122_raw!AP27,0)</f>
        <v>11</v>
      </c>
      <c r="AQ27" s="21">
        <f ca="1">ROUND(FIRE1122_raw!AQ27,0)</f>
        <v>56</v>
      </c>
      <c r="AR27" s="21">
        <f ca="1">ROUND(FIRE1122_raw!AR27,0)</f>
        <v>24</v>
      </c>
      <c r="AS27" s="21">
        <f ca="1">ROUND(FIRE1122_raw!AS27,0)</f>
        <v>17</v>
      </c>
      <c r="AT27" s="21">
        <f ca="1">ROUND(FIRE1122_raw!AT27,0)</f>
        <v>7</v>
      </c>
      <c r="AU27" s="21">
        <f ca="1">ROUND(FIRE1122_raw!AU27,0)</f>
        <v>0</v>
      </c>
      <c r="AV27" s="21">
        <f ca="1">IF(FIRE1122_raw!AV27="-","-",ROUND(FIRE1122_raw!AV27,0))</f>
        <v>36</v>
      </c>
      <c r="AW27" s="17"/>
      <c r="AX27" s="17"/>
      <c r="AY27" s="17"/>
      <c r="AZ27" s="17"/>
      <c r="BA27" s="17"/>
      <c r="BB27" s="17"/>
      <c r="BC27" s="17"/>
      <c r="BD27" s="17"/>
      <c r="BE27" s="17"/>
    </row>
    <row r="28" spans="1:57" s="7" customFormat="1" ht="15" customHeight="1" x14ac:dyDescent="0.35">
      <c r="A28" s="2" t="s">
        <v>33</v>
      </c>
      <c r="B28" s="22">
        <f ca="1">ROUND(FIRE1122_raw!B28,0)</f>
        <v>6</v>
      </c>
      <c r="C28" s="22">
        <f ca="1">ROUND(FIRE1122_raw!C28,0)</f>
        <v>12</v>
      </c>
      <c r="D28" s="22">
        <f ca="1">ROUND(FIRE1122_raw!D28,0)</f>
        <v>4</v>
      </c>
      <c r="E28" s="22">
        <f ca="1">ROUND(FIRE1122_raw!E28,0)</f>
        <v>4</v>
      </c>
      <c r="F28" s="22">
        <f ca="1">ROUND(FIRE1122_raw!F28,0)</f>
        <v>0</v>
      </c>
      <c r="G28" s="22">
        <f ca="1">ROUND(FIRE1122_raw!G28,0)</f>
        <v>0</v>
      </c>
      <c r="H28" s="22">
        <f ca="1">IF(FIRE1122_raw!H28="-","-",ROUND(FIRE1122_raw!H28,0))</f>
        <v>32</v>
      </c>
      <c r="I28" s="22"/>
      <c r="J28" s="22">
        <f ca="1">ROUND(FIRE1122_raw!J28,0)</f>
        <v>3</v>
      </c>
      <c r="K28" s="22">
        <f ca="1">ROUND(FIRE1122_raw!K28,0)</f>
        <v>10</v>
      </c>
      <c r="L28" s="22">
        <f ca="1">ROUND(FIRE1122_raw!L28,0)</f>
        <v>7</v>
      </c>
      <c r="M28" s="22">
        <f ca="1">ROUND(FIRE1122_raw!M28,0)</f>
        <v>1</v>
      </c>
      <c r="N28" s="22">
        <f ca="1">ROUND(FIRE1122_raw!N28,0)</f>
        <v>1</v>
      </c>
      <c r="O28" s="22">
        <f ca="1">ROUND(FIRE1122_raw!O28,0)</f>
        <v>0</v>
      </c>
      <c r="P28" s="22">
        <f ca="1">IF(FIRE1122_raw!P28="-","-",ROUND(FIRE1122_raw!P28,0))</f>
        <v>34</v>
      </c>
      <c r="Q28" s="22"/>
      <c r="R28" s="21">
        <f ca="1">ROUND(FIRE1122_raw!R28,0)</f>
        <v>9</v>
      </c>
      <c r="S28" s="21">
        <f ca="1">ROUND(FIRE1122_raw!S28,0)</f>
        <v>22</v>
      </c>
      <c r="T28" s="21">
        <f ca="1">ROUND(FIRE1122_raw!T28,0)</f>
        <v>11</v>
      </c>
      <c r="U28" s="21">
        <f ca="1">ROUND(FIRE1122_raw!U28,0)</f>
        <v>5</v>
      </c>
      <c r="V28" s="21">
        <f ca="1">ROUND(FIRE1122_raw!V28,0)</f>
        <v>1</v>
      </c>
      <c r="W28" s="21">
        <f ca="1">ROUND(FIRE1122_raw!W28,0)</f>
        <v>0</v>
      </c>
      <c r="X28" s="21">
        <f ca="1">IF(FIRE1122_raw!X28="-","-",ROUND(FIRE1122_raw!X28,0))</f>
        <v>33</v>
      </c>
      <c r="Y28" s="22"/>
      <c r="Z28" s="22">
        <f ca="1">ROUND(FIRE1122_raw!Z28,0)</f>
        <v>0</v>
      </c>
      <c r="AA28" s="22">
        <f ca="1">ROUND(FIRE1122_raw!AA28,0)</f>
        <v>0</v>
      </c>
      <c r="AB28" s="22">
        <f ca="1">ROUND(FIRE1122_raw!AB28,0)</f>
        <v>0</v>
      </c>
      <c r="AC28" s="22">
        <f ca="1">ROUND(FIRE1122_raw!AC28,0)</f>
        <v>0</v>
      </c>
      <c r="AD28" s="22">
        <f ca="1">ROUND(FIRE1122_raw!AD28,0)</f>
        <v>0</v>
      </c>
      <c r="AE28" s="22">
        <f ca="1">ROUND(FIRE1122_raw!AE28,0)</f>
        <v>0</v>
      </c>
      <c r="AF28" s="22" t="str">
        <f ca="1">IF(FIRE1122_raw!AF28="-","-",ROUND(FIRE1122_raw!AF28,0))</f>
        <v>-</v>
      </c>
      <c r="AG28" s="22"/>
      <c r="AH28" s="22">
        <f ca="1">ROUND(FIRE1122_raw!AH28,0)</f>
        <v>0</v>
      </c>
      <c r="AI28" s="22">
        <f ca="1">ROUND(FIRE1122_raw!AI28,0)</f>
        <v>0</v>
      </c>
      <c r="AJ28" s="22">
        <f ca="1">ROUND(FIRE1122_raw!AJ28,0)</f>
        <v>2</v>
      </c>
      <c r="AK28" s="22">
        <f ca="1">ROUND(FIRE1122_raw!AK28,0)</f>
        <v>8</v>
      </c>
      <c r="AL28" s="22">
        <f ca="1">ROUND(FIRE1122_raw!AL28,0)</f>
        <v>2</v>
      </c>
      <c r="AM28" s="22">
        <f ca="1">ROUND(FIRE1122_raw!AM28,0)</f>
        <v>0</v>
      </c>
      <c r="AN28" s="22">
        <f ca="1">IF(FIRE1122_raw!AN28="-","-",ROUND(FIRE1122_raw!AN28,0))</f>
        <v>50</v>
      </c>
      <c r="AO28" s="22"/>
      <c r="AP28" s="21">
        <f ca="1">ROUND(FIRE1122_raw!AP28,0)</f>
        <v>9</v>
      </c>
      <c r="AQ28" s="21">
        <f ca="1">ROUND(FIRE1122_raw!AQ28,0)</f>
        <v>22</v>
      </c>
      <c r="AR28" s="21">
        <f ca="1">ROUND(FIRE1122_raw!AR28,0)</f>
        <v>13</v>
      </c>
      <c r="AS28" s="21">
        <f ca="1">ROUND(FIRE1122_raw!AS28,0)</f>
        <v>13</v>
      </c>
      <c r="AT28" s="21">
        <f ca="1">ROUND(FIRE1122_raw!AT28,0)</f>
        <v>3</v>
      </c>
      <c r="AU28" s="21">
        <f ca="1">ROUND(FIRE1122_raw!AU28,0)</f>
        <v>0</v>
      </c>
      <c r="AV28" s="21">
        <f ca="1">IF(FIRE1122_raw!AV28="-","-",ROUND(FIRE1122_raw!AV28,0))</f>
        <v>37</v>
      </c>
      <c r="AW28" s="17"/>
      <c r="AX28" s="17"/>
      <c r="AY28" s="17"/>
      <c r="AZ28" s="17"/>
      <c r="BA28" s="17"/>
      <c r="BB28" s="17"/>
      <c r="BC28" s="17"/>
      <c r="BD28" s="17"/>
      <c r="BE28" s="17"/>
    </row>
    <row r="29" spans="1:57" s="7" customFormat="1" ht="15" customHeight="1" x14ac:dyDescent="0.35">
      <c r="A29" s="2" t="s">
        <v>34</v>
      </c>
      <c r="B29" s="22">
        <f ca="1">ROUND(FIRE1122_raw!B29,0)</f>
        <v>4</v>
      </c>
      <c r="C29" s="22">
        <f ca="1">ROUND(FIRE1122_raw!C29,0)</f>
        <v>15</v>
      </c>
      <c r="D29" s="22">
        <f ca="1">ROUND(FIRE1122_raw!D29,0)</f>
        <v>3</v>
      </c>
      <c r="E29" s="22">
        <f ca="1">ROUND(FIRE1122_raw!E29,0)</f>
        <v>0</v>
      </c>
      <c r="F29" s="22">
        <f ca="1">ROUND(FIRE1122_raw!F29,0)</f>
        <v>0</v>
      </c>
      <c r="G29" s="22">
        <f ca="1">ROUND(FIRE1122_raw!G29,0)</f>
        <v>0</v>
      </c>
      <c r="H29" s="22">
        <f ca="1">IF(FIRE1122_raw!H29="-","-",ROUND(FIRE1122_raw!H29,0))</f>
        <v>30</v>
      </c>
      <c r="I29" s="22"/>
      <c r="J29" s="22">
        <f ca="1">ROUND(FIRE1122_raw!J29,0)</f>
        <v>10</v>
      </c>
      <c r="K29" s="22">
        <f ca="1">ROUND(FIRE1122_raw!K29,0)</f>
        <v>16</v>
      </c>
      <c r="L29" s="22">
        <f ca="1">ROUND(FIRE1122_raw!L29,0)</f>
        <v>3</v>
      </c>
      <c r="M29" s="22">
        <f ca="1">ROUND(FIRE1122_raw!M29,0)</f>
        <v>2</v>
      </c>
      <c r="N29" s="22">
        <f ca="1">ROUND(FIRE1122_raw!N29,0)</f>
        <v>0</v>
      </c>
      <c r="O29" s="22">
        <f ca="1">ROUND(FIRE1122_raw!O29,0)</f>
        <v>0</v>
      </c>
      <c r="P29" s="22">
        <f ca="1">IF(FIRE1122_raw!P29="-","-",ROUND(FIRE1122_raw!P29,0))</f>
        <v>29</v>
      </c>
      <c r="Q29" s="22"/>
      <c r="R29" s="21">
        <f ca="1">ROUND(FIRE1122_raw!R29,0)</f>
        <v>14</v>
      </c>
      <c r="S29" s="21">
        <f ca="1">ROUND(FIRE1122_raw!S29,0)</f>
        <v>31</v>
      </c>
      <c r="T29" s="21">
        <f ca="1">ROUND(FIRE1122_raw!T29,0)</f>
        <v>6</v>
      </c>
      <c r="U29" s="21">
        <f ca="1">ROUND(FIRE1122_raw!U29,0)</f>
        <v>2</v>
      </c>
      <c r="V29" s="21">
        <f ca="1">ROUND(FIRE1122_raw!V29,0)</f>
        <v>0</v>
      </c>
      <c r="W29" s="21">
        <f ca="1">ROUND(FIRE1122_raw!W29,0)</f>
        <v>0</v>
      </c>
      <c r="X29" s="21">
        <f ca="1">IF(FIRE1122_raw!X29="-","-",ROUND(FIRE1122_raw!X29,0))</f>
        <v>29</v>
      </c>
      <c r="Y29" s="22"/>
      <c r="Z29" s="22">
        <f ca="1">ROUND(FIRE1122_raw!Z29,0)</f>
        <v>0</v>
      </c>
      <c r="AA29" s="22">
        <f ca="1">ROUND(FIRE1122_raw!AA29,0)</f>
        <v>1</v>
      </c>
      <c r="AB29" s="22">
        <f ca="1">ROUND(FIRE1122_raw!AB29,0)</f>
        <v>2</v>
      </c>
      <c r="AC29" s="22">
        <f ca="1">ROUND(FIRE1122_raw!AC29,0)</f>
        <v>1</v>
      </c>
      <c r="AD29" s="22">
        <f ca="1">ROUND(FIRE1122_raw!AD29,0)</f>
        <v>0</v>
      </c>
      <c r="AE29" s="22">
        <f ca="1">ROUND(FIRE1122_raw!AE29,0)</f>
        <v>0</v>
      </c>
      <c r="AF29" s="22">
        <f ca="1">IF(FIRE1122_raw!AF29="-","-",ROUND(FIRE1122_raw!AF29,0))</f>
        <v>40</v>
      </c>
      <c r="AG29" s="22"/>
      <c r="AH29" s="22">
        <f ca="1">ROUND(FIRE1122_raw!AH29,0)</f>
        <v>3</v>
      </c>
      <c r="AI29" s="22">
        <f ca="1">ROUND(FIRE1122_raw!AI29,0)</f>
        <v>7</v>
      </c>
      <c r="AJ29" s="22">
        <f ca="1">ROUND(FIRE1122_raw!AJ29,0)</f>
        <v>5</v>
      </c>
      <c r="AK29" s="22">
        <f ca="1">ROUND(FIRE1122_raw!AK29,0)</f>
        <v>2</v>
      </c>
      <c r="AL29" s="22">
        <f ca="1">ROUND(FIRE1122_raw!AL29,0)</f>
        <v>1</v>
      </c>
      <c r="AM29" s="22">
        <f ca="1">ROUND(FIRE1122_raw!AM29,0)</f>
        <v>0</v>
      </c>
      <c r="AN29" s="22">
        <f ca="1">IF(FIRE1122_raw!AN29="-","-",ROUND(FIRE1122_raw!AN29,0))</f>
        <v>35</v>
      </c>
      <c r="AO29" s="22"/>
      <c r="AP29" s="21">
        <f ca="1">ROUND(FIRE1122_raw!AP29,0)</f>
        <v>17</v>
      </c>
      <c r="AQ29" s="21">
        <f ca="1">ROUND(FIRE1122_raw!AQ29,0)</f>
        <v>39</v>
      </c>
      <c r="AR29" s="21">
        <f ca="1">ROUND(FIRE1122_raw!AR29,0)</f>
        <v>13</v>
      </c>
      <c r="AS29" s="21">
        <f ca="1">ROUND(FIRE1122_raw!AS29,0)</f>
        <v>5</v>
      </c>
      <c r="AT29" s="21">
        <f ca="1">ROUND(FIRE1122_raw!AT29,0)</f>
        <v>1</v>
      </c>
      <c r="AU29" s="21">
        <f ca="1">ROUND(FIRE1122_raw!AU29,0)</f>
        <v>0</v>
      </c>
      <c r="AV29" s="21">
        <f ca="1">IF(FIRE1122_raw!AV29="-","-",ROUND(FIRE1122_raw!AV29,0))</f>
        <v>31</v>
      </c>
      <c r="AW29" s="17"/>
      <c r="AX29" s="17"/>
      <c r="AY29" s="17"/>
      <c r="AZ29" s="17"/>
      <c r="BA29" s="17"/>
      <c r="BB29" s="17"/>
      <c r="BC29" s="17"/>
      <c r="BD29" s="17"/>
      <c r="BE29" s="17"/>
    </row>
    <row r="30" spans="1:57" s="7" customFormat="1" ht="15" customHeight="1" x14ac:dyDescent="0.35">
      <c r="A30" s="2" t="s">
        <v>35</v>
      </c>
      <c r="B30" s="22">
        <f ca="1">ROUND(FIRE1122_raw!B30,0)</f>
        <v>0</v>
      </c>
      <c r="C30" s="22">
        <f ca="1">ROUND(FIRE1122_raw!C30,0)</f>
        <v>0</v>
      </c>
      <c r="D30" s="22">
        <f ca="1">ROUND(FIRE1122_raw!D30,0)</f>
        <v>0</v>
      </c>
      <c r="E30" s="22">
        <f ca="1">ROUND(FIRE1122_raw!E30,0)</f>
        <v>0</v>
      </c>
      <c r="F30" s="22">
        <f ca="1">ROUND(FIRE1122_raw!F30,0)</f>
        <v>0</v>
      </c>
      <c r="G30" s="22">
        <f ca="1">ROUND(FIRE1122_raw!G30,0)</f>
        <v>0</v>
      </c>
      <c r="H30" s="22" t="str">
        <f ca="1">IF(FIRE1122_raw!H30="-","-",ROUND(FIRE1122_raw!H30,0))</f>
        <v>-</v>
      </c>
      <c r="I30" s="22"/>
      <c r="J30" s="22">
        <f ca="1">ROUND(FIRE1122_raw!J30,0)</f>
        <v>0</v>
      </c>
      <c r="K30" s="22">
        <f ca="1">ROUND(FIRE1122_raw!K30,0)</f>
        <v>5</v>
      </c>
      <c r="L30" s="22">
        <f ca="1">ROUND(FIRE1122_raw!L30,0)</f>
        <v>3</v>
      </c>
      <c r="M30" s="22">
        <f ca="1">ROUND(FIRE1122_raw!M30,0)</f>
        <v>1</v>
      </c>
      <c r="N30" s="22">
        <f ca="1">ROUND(FIRE1122_raw!N30,0)</f>
        <v>0</v>
      </c>
      <c r="O30" s="22">
        <f ca="1">ROUND(FIRE1122_raw!O30,0)</f>
        <v>0</v>
      </c>
      <c r="P30" s="22">
        <f ca="1">IF(FIRE1122_raw!P30="-","-",ROUND(FIRE1122_raw!P30,0))</f>
        <v>36</v>
      </c>
      <c r="Q30" s="22"/>
      <c r="R30" s="21">
        <f ca="1">ROUND(FIRE1122_raw!R30,0)</f>
        <v>0</v>
      </c>
      <c r="S30" s="21">
        <f ca="1">ROUND(FIRE1122_raw!S30,0)</f>
        <v>5</v>
      </c>
      <c r="T30" s="21">
        <f ca="1">ROUND(FIRE1122_raw!T30,0)</f>
        <v>3</v>
      </c>
      <c r="U30" s="21">
        <f ca="1">ROUND(FIRE1122_raw!U30,0)</f>
        <v>1</v>
      </c>
      <c r="V30" s="21">
        <f ca="1">ROUND(FIRE1122_raw!V30,0)</f>
        <v>0</v>
      </c>
      <c r="W30" s="21">
        <f ca="1">ROUND(FIRE1122_raw!W30,0)</f>
        <v>0</v>
      </c>
      <c r="X30" s="21">
        <f ca="1">IF(FIRE1122_raw!X30="-","-",ROUND(FIRE1122_raw!X30,0))</f>
        <v>36</v>
      </c>
      <c r="Y30" s="22"/>
      <c r="Z30" s="22">
        <f ca="1">ROUND(FIRE1122_raw!Z30,0)</f>
        <v>0</v>
      </c>
      <c r="AA30" s="22">
        <f ca="1">ROUND(FIRE1122_raw!AA30,0)</f>
        <v>0</v>
      </c>
      <c r="AB30" s="22">
        <f ca="1">ROUND(FIRE1122_raw!AB30,0)</f>
        <v>0</v>
      </c>
      <c r="AC30" s="22">
        <f ca="1">ROUND(FIRE1122_raw!AC30,0)</f>
        <v>0</v>
      </c>
      <c r="AD30" s="22">
        <f ca="1">ROUND(FIRE1122_raw!AD30,0)</f>
        <v>0</v>
      </c>
      <c r="AE30" s="22">
        <f ca="1">ROUND(FIRE1122_raw!AE30,0)</f>
        <v>0</v>
      </c>
      <c r="AF30" s="22" t="str">
        <f ca="1">IF(FIRE1122_raw!AF30="-","-",ROUND(FIRE1122_raw!AF30,0))</f>
        <v>-</v>
      </c>
      <c r="AG30" s="22"/>
      <c r="AH30" s="22">
        <f ca="1">ROUND(FIRE1122_raw!AH30,0)</f>
        <v>0</v>
      </c>
      <c r="AI30" s="22">
        <f ca="1">ROUND(FIRE1122_raw!AI30,0)</f>
        <v>0</v>
      </c>
      <c r="AJ30" s="22">
        <f ca="1">ROUND(FIRE1122_raw!AJ30,0)</f>
        <v>0</v>
      </c>
      <c r="AK30" s="22">
        <f ca="1">ROUND(FIRE1122_raw!AK30,0)</f>
        <v>2</v>
      </c>
      <c r="AL30" s="22">
        <f ca="1">ROUND(FIRE1122_raw!AL30,0)</f>
        <v>0</v>
      </c>
      <c r="AM30" s="22">
        <f ca="1">ROUND(FIRE1122_raw!AM30,0)</f>
        <v>0</v>
      </c>
      <c r="AN30" s="22">
        <f ca="1">IF(FIRE1122_raw!AN30="-","-",ROUND(FIRE1122_raw!AN30,0))</f>
        <v>51</v>
      </c>
      <c r="AO30" s="22"/>
      <c r="AP30" s="21">
        <f ca="1">ROUND(FIRE1122_raw!AP30,0)</f>
        <v>0</v>
      </c>
      <c r="AQ30" s="21">
        <f ca="1">ROUND(FIRE1122_raw!AQ30,0)</f>
        <v>5</v>
      </c>
      <c r="AR30" s="21">
        <f ca="1">ROUND(FIRE1122_raw!AR30,0)</f>
        <v>3</v>
      </c>
      <c r="AS30" s="21">
        <f ca="1">ROUND(FIRE1122_raw!AS30,0)</f>
        <v>3</v>
      </c>
      <c r="AT30" s="21">
        <f ca="1">ROUND(FIRE1122_raw!AT30,0)</f>
        <v>0</v>
      </c>
      <c r="AU30" s="21">
        <f ca="1">ROUND(FIRE1122_raw!AU30,0)</f>
        <v>0</v>
      </c>
      <c r="AV30" s="21">
        <f ca="1">IF(FIRE1122_raw!AV30="-","-",ROUND(FIRE1122_raw!AV30,0))</f>
        <v>38</v>
      </c>
      <c r="AW30" s="17"/>
      <c r="AX30" s="17"/>
      <c r="AY30" s="17"/>
      <c r="AZ30" s="17"/>
      <c r="BA30" s="17"/>
      <c r="BB30" s="17"/>
      <c r="BC30" s="17"/>
      <c r="BD30" s="17"/>
      <c r="BE30" s="17"/>
    </row>
    <row r="31" spans="1:57" s="7" customFormat="1" ht="15" customHeight="1" x14ac:dyDescent="0.35">
      <c r="A31" s="3" t="s">
        <v>36</v>
      </c>
      <c r="B31" s="22">
        <f ca="1">ROUND(FIRE1122_raw!B31,0)</f>
        <v>3</v>
      </c>
      <c r="C31" s="22">
        <f ca="1">ROUND(FIRE1122_raw!C31,0)</f>
        <v>20</v>
      </c>
      <c r="D31" s="22">
        <f ca="1">ROUND(FIRE1122_raw!D31,0)</f>
        <v>6</v>
      </c>
      <c r="E31" s="22">
        <f ca="1">ROUND(FIRE1122_raw!E31,0)</f>
        <v>4</v>
      </c>
      <c r="F31" s="22">
        <f ca="1">ROUND(FIRE1122_raw!F31,0)</f>
        <v>0</v>
      </c>
      <c r="G31" s="22">
        <f ca="1">ROUND(FIRE1122_raw!G31,0)</f>
        <v>0</v>
      </c>
      <c r="H31" s="22">
        <f ca="1">IF(FIRE1122_raw!H31="-","-",ROUND(FIRE1122_raw!H31,0))</f>
        <v>33</v>
      </c>
      <c r="I31" s="22"/>
      <c r="J31" s="22">
        <f ca="1">ROUND(FIRE1122_raw!J31,0)</f>
        <v>19</v>
      </c>
      <c r="K31" s="22">
        <f ca="1">ROUND(FIRE1122_raw!K31,0)</f>
        <v>50</v>
      </c>
      <c r="L31" s="22">
        <f ca="1">ROUND(FIRE1122_raw!L31,0)</f>
        <v>20</v>
      </c>
      <c r="M31" s="22">
        <f ca="1">ROUND(FIRE1122_raw!M31,0)</f>
        <v>11</v>
      </c>
      <c r="N31" s="22">
        <f ca="1">ROUND(FIRE1122_raw!N31,0)</f>
        <v>2</v>
      </c>
      <c r="O31" s="22">
        <f ca="1">ROUND(FIRE1122_raw!O31,0)</f>
        <v>0</v>
      </c>
      <c r="P31" s="22">
        <f ca="1">IF(FIRE1122_raw!P31="-","-",ROUND(FIRE1122_raw!P31,0))</f>
        <v>33</v>
      </c>
      <c r="Q31" s="22"/>
      <c r="R31" s="21">
        <f ca="1">ROUND(FIRE1122_raw!R31,0)</f>
        <v>22</v>
      </c>
      <c r="S31" s="21">
        <f ca="1">ROUND(FIRE1122_raw!S31,0)</f>
        <v>70</v>
      </c>
      <c r="T31" s="21">
        <f ca="1">ROUND(FIRE1122_raw!T31,0)</f>
        <v>26</v>
      </c>
      <c r="U31" s="21">
        <f ca="1">ROUND(FIRE1122_raw!U31,0)</f>
        <v>15</v>
      </c>
      <c r="V31" s="21">
        <f ca="1">ROUND(FIRE1122_raw!V31,0)</f>
        <v>2</v>
      </c>
      <c r="W31" s="21">
        <f ca="1">ROUND(FIRE1122_raw!W31,0)</f>
        <v>0</v>
      </c>
      <c r="X31" s="21">
        <f ca="1">IF(FIRE1122_raw!X31="-","-",ROUND(FIRE1122_raw!X31,0))</f>
        <v>33</v>
      </c>
      <c r="Y31" s="22"/>
      <c r="Z31" s="22">
        <f ca="1">ROUND(FIRE1122_raw!Z31,0)</f>
        <v>0</v>
      </c>
      <c r="AA31" s="22">
        <f ca="1">ROUND(FIRE1122_raw!AA31,0)</f>
        <v>0</v>
      </c>
      <c r="AB31" s="22">
        <f ca="1">ROUND(FIRE1122_raw!AB31,0)</f>
        <v>0</v>
      </c>
      <c r="AC31" s="22">
        <f ca="1">ROUND(FIRE1122_raw!AC31,0)</f>
        <v>1</v>
      </c>
      <c r="AD31" s="22">
        <f ca="1">ROUND(FIRE1122_raw!AD31,0)</f>
        <v>0</v>
      </c>
      <c r="AE31" s="22">
        <f ca="1">ROUND(FIRE1122_raw!AE31,0)</f>
        <v>0</v>
      </c>
      <c r="AF31" s="22">
        <f ca="1">IF(FIRE1122_raw!AF31="-","-",ROUND(FIRE1122_raw!AF31,0))</f>
        <v>51</v>
      </c>
      <c r="AG31" s="22"/>
      <c r="AH31" s="22">
        <f ca="1">ROUND(FIRE1122_raw!AH31,0)</f>
        <v>2</v>
      </c>
      <c r="AI31" s="22">
        <f ca="1">ROUND(FIRE1122_raw!AI31,0)</f>
        <v>10</v>
      </c>
      <c r="AJ31" s="22">
        <f ca="1">ROUND(FIRE1122_raw!AJ31,0)</f>
        <v>10</v>
      </c>
      <c r="AK31" s="22">
        <f ca="1">ROUND(FIRE1122_raw!AK31,0)</f>
        <v>9</v>
      </c>
      <c r="AL31" s="22">
        <f ca="1">ROUND(FIRE1122_raw!AL31,0)</f>
        <v>9</v>
      </c>
      <c r="AM31" s="22">
        <f ca="1">ROUND(FIRE1122_raw!AM31,0)</f>
        <v>0</v>
      </c>
      <c r="AN31" s="22">
        <f ca="1">IF(FIRE1122_raw!AN31="-","-",ROUND(FIRE1122_raw!AN31,0))</f>
        <v>43</v>
      </c>
      <c r="AO31" s="22"/>
      <c r="AP31" s="21">
        <f ca="1">ROUND(FIRE1122_raw!AP31,0)</f>
        <v>24</v>
      </c>
      <c r="AQ31" s="21">
        <f ca="1">ROUND(FIRE1122_raw!AQ31,0)</f>
        <v>80</v>
      </c>
      <c r="AR31" s="21">
        <f ca="1">ROUND(FIRE1122_raw!AR31,0)</f>
        <v>36</v>
      </c>
      <c r="AS31" s="21">
        <f ca="1">ROUND(FIRE1122_raw!AS31,0)</f>
        <v>25</v>
      </c>
      <c r="AT31" s="21">
        <f ca="1">ROUND(FIRE1122_raw!AT31,0)</f>
        <v>11</v>
      </c>
      <c r="AU31" s="21">
        <f ca="1">ROUND(FIRE1122_raw!AU31,0)</f>
        <v>0</v>
      </c>
      <c r="AV31" s="21">
        <f ca="1">IF(FIRE1122_raw!AV31="-","-",ROUND(FIRE1122_raw!AV31,0))</f>
        <v>35</v>
      </c>
      <c r="AW31" s="17"/>
      <c r="AX31" s="17"/>
      <c r="AY31" s="17"/>
      <c r="AZ31" s="17"/>
      <c r="BA31" s="17"/>
      <c r="BB31" s="17"/>
      <c r="BC31" s="17"/>
      <c r="BD31" s="17"/>
      <c r="BE31" s="17"/>
    </row>
    <row r="32" spans="1:57" s="7" customFormat="1" ht="15" customHeight="1" x14ac:dyDescent="0.35">
      <c r="A32" s="3" t="s">
        <v>37</v>
      </c>
      <c r="B32" s="22">
        <f ca="1">ROUND(FIRE1122_raw!B32,0)</f>
        <v>6</v>
      </c>
      <c r="C32" s="22">
        <f ca="1">ROUND(FIRE1122_raw!C32,0)</f>
        <v>29</v>
      </c>
      <c r="D32" s="22">
        <f ca="1">ROUND(FIRE1122_raw!D32,0)</f>
        <v>17</v>
      </c>
      <c r="E32" s="22">
        <f ca="1">ROUND(FIRE1122_raw!E32,0)</f>
        <v>3</v>
      </c>
      <c r="F32" s="22">
        <f ca="1">ROUND(FIRE1122_raw!F32,0)</f>
        <v>0</v>
      </c>
      <c r="G32" s="22">
        <f ca="1">ROUND(FIRE1122_raw!G32,0)</f>
        <v>0</v>
      </c>
      <c r="H32" s="22">
        <f ca="1">IF(FIRE1122_raw!H32="-","-",ROUND(FIRE1122_raw!H32,0))</f>
        <v>33</v>
      </c>
      <c r="I32" s="22"/>
      <c r="J32" s="22">
        <f ca="1">ROUND(FIRE1122_raw!J32,0)</f>
        <v>19</v>
      </c>
      <c r="K32" s="22">
        <f ca="1">ROUND(FIRE1122_raw!K32,0)</f>
        <v>32</v>
      </c>
      <c r="L32" s="22">
        <f ca="1">ROUND(FIRE1122_raw!L32,0)</f>
        <v>18</v>
      </c>
      <c r="M32" s="22">
        <f ca="1">ROUND(FIRE1122_raw!M32,0)</f>
        <v>3</v>
      </c>
      <c r="N32" s="22">
        <f ca="1">ROUND(FIRE1122_raw!N32,0)</f>
        <v>0</v>
      </c>
      <c r="O32" s="22">
        <f ca="1">ROUND(FIRE1122_raw!O32,0)</f>
        <v>0</v>
      </c>
      <c r="P32" s="22">
        <f ca="1">IF(FIRE1122_raw!P32="-","-",ROUND(FIRE1122_raw!P32,0))</f>
        <v>31</v>
      </c>
      <c r="Q32" s="22"/>
      <c r="R32" s="21">
        <f ca="1">ROUND(FIRE1122_raw!R32,0)</f>
        <v>25</v>
      </c>
      <c r="S32" s="21">
        <f ca="1">ROUND(FIRE1122_raw!S32,0)</f>
        <v>61</v>
      </c>
      <c r="T32" s="21">
        <f ca="1">ROUND(FIRE1122_raw!T32,0)</f>
        <v>35</v>
      </c>
      <c r="U32" s="21">
        <f ca="1">ROUND(FIRE1122_raw!U32,0)</f>
        <v>6</v>
      </c>
      <c r="V32" s="21">
        <f ca="1">ROUND(FIRE1122_raw!V32,0)</f>
        <v>0</v>
      </c>
      <c r="W32" s="21">
        <f ca="1">ROUND(FIRE1122_raw!W32,0)</f>
        <v>0</v>
      </c>
      <c r="X32" s="21">
        <f ca="1">IF(FIRE1122_raw!X32="-","-",ROUND(FIRE1122_raw!X32,0))</f>
        <v>32</v>
      </c>
      <c r="Y32" s="22"/>
      <c r="Z32" s="22">
        <f ca="1">ROUND(FIRE1122_raw!Z32,0)</f>
        <v>0</v>
      </c>
      <c r="AA32" s="22">
        <f ca="1">ROUND(FIRE1122_raw!AA32,0)</f>
        <v>0</v>
      </c>
      <c r="AB32" s="22">
        <f ca="1">ROUND(FIRE1122_raw!AB32,0)</f>
        <v>0</v>
      </c>
      <c r="AC32" s="22">
        <f ca="1">ROUND(FIRE1122_raw!AC32,0)</f>
        <v>0</v>
      </c>
      <c r="AD32" s="22">
        <f ca="1">ROUND(FIRE1122_raw!AD32,0)</f>
        <v>0</v>
      </c>
      <c r="AE32" s="22">
        <f ca="1">ROUND(FIRE1122_raw!AE32,0)</f>
        <v>0</v>
      </c>
      <c r="AF32" s="22" t="str">
        <f ca="1">IF(FIRE1122_raw!AF32="-","-",ROUND(FIRE1122_raw!AF32,0))</f>
        <v>-</v>
      </c>
      <c r="AG32" s="22"/>
      <c r="AH32" s="22">
        <f ca="1">ROUND(FIRE1122_raw!AH32,0)</f>
        <v>4</v>
      </c>
      <c r="AI32" s="22">
        <f ca="1">ROUND(FIRE1122_raw!AI32,0)</f>
        <v>6</v>
      </c>
      <c r="AJ32" s="22">
        <f ca="1">ROUND(FIRE1122_raw!AJ32,0)</f>
        <v>7</v>
      </c>
      <c r="AK32" s="22">
        <f ca="1">ROUND(FIRE1122_raw!AK32,0)</f>
        <v>4</v>
      </c>
      <c r="AL32" s="22">
        <f ca="1">ROUND(FIRE1122_raw!AL32,0)</f>
        <v>1</v>
      </c>
      <c r="AM32" s="22">
        <f ca="1">ROUND(FIRE1122_raw!AM32,0)</f>
        <v>0</v>
      </c>
      <c r="AN32" s="22">
        <f ca="1">IF(FIRE1122_raw!AN32="-","-",ROUND(FIRE1122_raw!AN32,0))</f>
        <v>36</v>
      </c>
      <c r="AO32" s="22"/>
      <c r="AP32" s="21">
        <f ca="1">ROUND(FIRE1122_raw!AP32,0)</f>
        <v>29</v>
      </c>
      <c r="AQ32" s="21">
        <f ca="1">ROUND(FIRE1122_raw!AQ32,0)</f>
        <v>67</v>
      </c>
      <c r="AR32" s="21">
        <f ca="1">ROUND(FIRE1122_raw!AR32,0)</f>
        <v>42</v>
      </c>
      <c r="AS32" s="21">
        <f ca="1">ROUND(FIRE1122_raw!AS32,0)</f>
        <v>10</v>
      </c>
      <c r="AT32" s="21">
        <f ca="1">ROUND(FIRE1122_raw!AT32,0)</f>
        <v>1</v>
      </c>
      <c r="AU32" s="21">
        <f ca="1">ROUND(FIRE1122_raw!AU32,0)</f>
        <v>0</v>
      </c>
      <c r="AV32" s="21">
        <f ca="1">IF(FIRE1122_raw!AV32="-","-",ROUND(FIRE1122_raw!AV32,0))</f>
        <v>33</v>
      </c>
      <c r="AW32" s="17"/>
      <c r="AX32" s="17"/>
      <c r="AY32" s="17"/>
      <c r="AZ32" s="17"/>
      <c r="BA32" s="17"/>
      <c r="BB32" s="17"/>
      <c r="BC32" s="17"/>
      <c r="BD32" s="17"/>
      <c r="BE32" s="17"/>
    </row>
    <row r="33" spans="1:57" s="7" customFormat="1" ht="15" customHeight="1" x14ac:dyDescent="0.35">
      <c r="A33" s="2" t="s">
        <v>38</v>
      </c>
      <c r="B33" s="22">
        <f ca="1">ROUND(FIRE1122_raw!B33,0)</f>
        <v>2</v>
      </c>
      <c r="C33" s="22">
        <f ca="1">ROUND(FIRE1122_raw!C33,0)</f>
        <v>0</v>
      </c>
      <c r="D33" s="22">
        <f ca="1">ROUND(FIRE1122_raw!D33,0)</f>
        <v>6</v>
      </c>
      <c r="E33" s="22">
        <f ca="1">ROUND(FIRE1122_raw!E33,0)</f>
        <v>0</v>
      </c>
      <c r="F33" s="22">
        <f ca="1">ROUND(FIRE1122_raw!F33,0)</f>
        <v>0</v>
      </c>
      <c r="G33" s="22">
        <f ca="1">ROUND(FIRE1122_raw!G33,0)</f>
        <v>0</v>
      </c>
      <c r="H33" s="22">
        <f ca="1">IF(FIRE1122_raw!H33="-","-",ROUND(FIRE1122_raw!H33,0))</f>
        <v>35</v>
      </c>
      <c r="I33" s="22"/>
      <c r="J33" s="22">
        <f ca="1">ROUND(FIRE1122_raw!J33,0)</f>
        <v>7</v>
      </c>
      <c r="K33" s="22">
        <f ca="1">ROUND(FIRE1122_raw!K33,0)</f>
        <v>10</v>
      </c>
      <c r="L33" s="22">
        <f ca="1">ROUND(FIRE1122_raw!L33,0)</f>
        <v>14</v>
      </c>
      <c r="M33" s="22">
        <f ca="1">ROUND(FIRE1122_raw!M33,0)</f>
        <v>2</v>
      </c>
      <c r="N33" s="22">
        <f ca="1">ROUND(FIRE1122_raw!N33,0)</f>
        <v>0</v>
      </c>
      <c r="O33" s="22">
        <f ca="1">ROUND(FIRE1122_raw!O33,0)</f>
        <v>0</v>
      </c>
      <c r="P33" s="22">
        <f ca="1">IF(FIRE1122_raw!P33="-","-",ROUND(FIRE1122_raw!P33,0))</f>
        <v>34</v>
      </c>
      <c r="Q33" s="22"/>
      <c r="R33" s="21">
        <f ca="1">ROUND(FIRE1122_raw!R33,0)</f>
        <v>9</v>
      </c>
      <c r="S33" s="21">
        <f ca="1">ROUND(FIRE1122_raw!S33,0)</f>
        <v>10</v>
      </c>
      <c r="T33" s="21">
        <f ca="1">ROUND(FIRE1122_raw!T33,0)</f>
        <v>20</v>
      </c>
      <c r="U33" s="21">
        <f ca="1">ROUND(FIRE1122_raw!U33,0)</f>
        <v>2</v>
      </c>
      <c r="V33" s="21">
        <f ca="1">ROUND(FIRE1122_raw!V33,0)</f>
        <v>0</v>
      </c>
      <c r="W33" s="21">
        <f ca="1">ROUND(FIRE1122_raw!W33,0)</f>
        <v>0</v>
      </c>
      <c r="X33" s="21">
        <f ca="1">IF(FIRE1122_raw!X33="-","-",ROUND(FIRE1122_raw!X33,0))</f>
        <v>34</v>
      </c>
      <c r="Y33" s="22"/>
      <c r="Z33" s="22">
        <f ca="1">ROUND(FIRE1122_raw!Z33,0)</f>
        <v>0</v>
      </c>
      <c r="AA33" s="22">
        <f ca="1">ROUND(FIRE1122_raw!AA33,0)</f>
        <v>0</v>
      </c>
      <c r="AB33" s="22">
        <f ca="1">ROUND(FIRE1122_raw!AB33,0)</f>
        <v>0</v>
      </c>
      <c r="AC33" s="22">
        <f ca="1">ROUND(FIRE1122_raw!AC33,0)</f>
        <v>0</v>
      </c>
      <c r="AD33" s="22">
        <f ca="1">ROUND(FIRE1122_raw!AD33,0)</f>
        <v>0</v>
      </c>
      <c r="AE33" s="22">
        <f ca="1">ROUND(FIRE1122_raw!AE33,0)</f>
        <v>0</v>
      </c>
      <c r="AF33" s="22" t="str">
        <f ca="1">IF(FIRE1122_raw!AF33="-","-",ROUND(FIRE1122_raw!AF33,0))</f>
        <v>-</v>
      </c>
      <c r="AG33" s="22"/>
      <c r="AH33" s="22">
        <f ca="1">ROUND(FIRE1122_raw!AH33,0)</f>
        <v>0</v>
      </c>
      <c r="AI33" s="22">
        <f ca="1">ROUND(FIRE1122_raw!AI33,0)</f>
        <v>5</v>
      </c>
      <c r="AJ33" s="22">
        <f ca="1">ROUND(FIRE1122_raw!AJ33,0)</f>
        <v>1</v>
      </c>
      <c r="AK33" s="22">
        <f ca="1">ROUND(FIRE1122_raw!AK33,0)</f>
        <v>2</v>
      </c>
      <c r="AL33" s="22">
        <f ca="1">ROUND(FIRE1122_raw!AL33,0)</f>
        <v>1</v>
      </c>
      <c r="AM33" s="22">
        <f ca="1">ROUND(FIRE1122_raw!AM33,0)</f>
        <v>0</v>
      </c>
      <c r="AN33" s="22">
        <f ca="1">IF(FIRE1122_raw!AN33="-","-",ROUND(FIRE1122_raw!AN33,0))</f>
        <v>39</v>
      </c>
      <c r="AO33" s="22"/>
      <c r="AP33" s="21">
        <f ca="1">ROUND(FIRE1122_raw!AP33,0)</f>
        <v>9</v>
      </c>
      <c r="AQ33" s="21">
        <f ca="1">ROUND(FIRE1122_raw!AQ33,0)</f>
        <v>15</v>
      </c>
      <c r="AR33" s="21">
        <f ca="1">ROUND(FIRE1122_raw!AR33,0)</f>
        <v>21</v>
      </c>
      <c r="AS33" s="21">
        <f ca="1">ROUND(FIRE1122_raw!AS33,0)</f>
        <v>4</v>
      </c>
      <c r="AT33" s="21">
        <f ca="1">ROUND(FIRE1122_raw!AT33,0)</f>
        <v>1</v>
      </c>
      <c r="AU33" s="21">
        <f ca="1">ROUND(FIRE1122_raw!AU33,0)</f>
        <v>0</v>
      </c>
      <c r="AV33" s="21">
        <f ca="1">IF(FIRE1122_raw!AV33="-","-",ROUND(FIRE1122_raw!AV33,0))</f>
        <v>35</v>
      </c>
      <c r="AW33" s="17"/>
      <c r="AX33" s="17"/>
      <c r="AY33" s="17"/>
      <c r="AZ33" s="17"/>
      <c r="BA33" s="17"/>
      <c r="BB33" s="17"/>
      <c r="BC33" s="17"/>
      <c r="BD33" s="17"/>
      <c r="BE33" s="17"/>
    </row>
    <row r="34" spans="1:57" s="7" customFormat="1" ht="15" customHeight="1" x14ac:dyDescent="0.35">
      <c r="A34" s="3" t="s">
        <v>39</v>
      </c>
      <c r="B34" s="22">
        <f ca="1">ROUND(FIRE1122_raw!B34,0)</f>
        <v>1</v>
      </c>
      <c r="C34" s="22">
        <f ca="1">ROUND(FIRE1122_raw!C34,0)</f>
        <v>12</v>
      </c>
      <c r="D34" s="22">
        <f ca="1">ROUND(FIRE1122_raw!D34,0)</f>
        <v>0</v>
      </c>
      <c r="E34" s="22">
        <f ca="1">ROUND(FIRE1122_raw!E34,0)</f>
        <v>0</v>
      </c>
      <c r="F34" s="22">
        <f ca="1">ROUND(FIRE1122_raw!F34,0)</f>
        <v>0</v>
      </c>
      <c r="G34" s="22">
        <f ca="1">ROUND(FIRE1122_raw!G34,0)</f>
        <v>0</v>
      </c>
      <c r="H34" s="22">
        <f ca="1">IF(FIRE1122_raw!H34="-","-",ROUND(FIRE1122_raw!H34,0))</f>
        <v>29</v>
      </c>
      <c r="I34" s="22"/>
      <c r="J34" s="22">
        <f ca="1">ROUND(FIRE1122_raw!J34,0)</f>
        <v>17</v>
      </c>
      <c r="K34" s="22">
        <f ca="1">ROUND(FIRE1122_raw!K34,0)</f>
        <v>21</v>
      </c>
      <c r="L34" s="22">
        <f ca="1">ROUND(FIRE1122_raw!L34,0)</f>
        <v>10</v>
      </c>
      <c r="M34" s="22">
        <f ca="1">ROUND(FIRE1122_raw!M34,0)</f>
        <v>4</v>
      </c>
      <c r="N34" s="22">
        <f ca="1">ROUND(FIRE1122_raw!N34,0)</f>
        <v>1</v>
      </c>
      <c r="O34" s="22">
        <f ca="1">ROUND(FIRE1122_raw!O34,0)</f>
        <v>0</v>
      </c>
      <c r="P34" s="22">
        <f ca="1">IF(FIRE1122_raw!P34="-","-",ROUND(FIRE1122_raw!P34,0))</f>
        <v>31</v>
      </c>
      <c r="Q34" s="22"/>
      <c r="R34" s="21">
        <f ca="1">ROUND(FIRE1122_raw!R34,0)</f>
        <v>18</v>
      </c>
      <c r="S34" s="21">
        <f ca="1">ROUND(FIRE1122_raw!S34,0)</f>
        <v>33</v>
      </c>
      <c r="T34" s="21">
        <f ca="1">ROUND(FIRE1122_raw!T34,0)</f>
        <v>10</v>
      </c>
      <c r="U34" s="21">
        <f ca="1">ROUND(FIRE1122_raw!U34,0)</f>
        <v>4</v>
      </c>
      <c r="V34" s="21">
        <f ca="1">ROUND(FIRE1122_raw!V34,0)</f>
        <v>1</v>
      </c>
      <c r="W34" s="21">
        <f ca="1">ROUND(FIRE1122_raw!W34,0)</f>
        <v>0</v>
      </c>
      <c r="X34" s="21">
        <f ca="1">IF(FIRE1122_raw!X34="-","-",ROUND(FIRE1122_raw!X34,0))</f>
        <v>31</v>
      </c>
      <c r="Y34" s="22"/>
      <c r="Z34" s="22">
        <f ca="1">ROUND(FIRE1122_raw!Z34,0)</f>
        <v>0</v>
      </c>
      <c r="AA34" s="22">
        <f ca="1">ROUND(FIRE1122_raw!AA34,0)</f>
        <v>4</v>
      </c>
      <c r="AB34" s="22">
        <f ca="1">ROUND(FIRE1122_raw!AB34,0)</f>
        <v>0</v>
      </c>
      <c r="AC34" s="22">
        <f ca="1">ROUND(FIRE1122_raw!AC34,0)</f>
        <v>0</v>
      </c>
      <c r="AD34" s="22">
        <f ca="1">ROUND(FIRE1122_raw!AD34,0)</f>
        <v>0</v>
      </c>
      <c r="AE34" s="22">
        <f ca="1">ROUND(FIRE1122_raw!AE34,0)</f>
        <v>0</v>
      </c>
      <c r="AF34" s="22">
        <f ca="1">IF(FIRE1122_raw!AF34="-","-",ROUND(FIRE1122_raw!AF34,0))</f>
        <v>30</v>
      </c>
      <c r="AG34" s="22"/>
      <c r="AH34" s="22">
        <f ca="1">ROUND(FIRE1122_raw!AH34,0)</f>
        <v>3</v>
      </c>
      <c r="AI34" s="22">
        <f ca="1">ROUND(FIRE1122_raw!AI34,0)</f>
        <v>2</v>
      </c>
      <c r="AJ34" s="22">
        <f ca="1">ROUND(FIRE1122_raw!AJ34,0)</f>
        <v>1</v>
      </c>
      <c r="AK34" s="22">
        <f ca="1">ROUND(FIRE1122_raw!AK34,0)</f>
        <v>2</v>
      </c>
      <c r="AL34" s="22">
        <f ca="1">ROUND(FIRE1122_raw!AL34,0)</f>
        <v>2</v>
      </c>
      <c r="AM34" s="22">
        <f ca="1">ROUND(FIRE1122_raw!AM34,0)</f>
        <v>0</v>
      </c>
      <c r="AN34" s="22">
        <f ca="1">IF(FIRE1122_raw!AN34="-","-",ROUND(FIRE1122_raw!AN34,0))</f>
        <v>37</v>
      </c>
      <c r="AO34" s="22"/>
      <c r="AP34" s="21">
        <f ca="1">ROUND(FIRE1122_raw!AP34,0)</f>
        <v>21</v>
      </c>
      <c r="AQ34" s="21">
        <f ca="1">ROUND(FIRE1122_raw!AQ34,0)</f>
        <v>39</v>
      </c>
      <c r="AR34" s="21">
        <f ca="1">ROUND(FIRE1122_raw!AR34,0)</f>
        <v>11</v>
      </c>
      <c r="AS34" s="21">
        <f ca="1">ROUND(FIRE1122_raw!AS34,0)</f>
        <v>6</v>
      </c>
      <c r="AT34" s="21">
        <f ca="1">ROUND(FIRE1122_raw!AT34,0)</f>
        <v>3</v>
      </c>
      <c r="AU34" s="21">
        <f ca="1">ROUND(FIRE1122_raw!AU34,0)</f>
        <v>0</v>
      </c>
      <c r="AV34" s="21">
        <f ca="1">IF(FIRE1122_raw!AV34="-","-",ROUND(FIRE1122_raw!AV34,0))</f>
        <v>31</v>
      </c>
      <c r="AW34" s="17"/>
      <c r="AX34" s="17"/>
      <c r="AY34" s="17"/>
      <c r="AZ34" s="17"/>
      <c r="BA34" s="17"/>
      <c r="BB34" s="17"/>
      <c r="BC34" s="17"/>
      <c r="BD34" s="17"/>
      <c r="BE34" s="17"/>
    </row>
    <row r="35" spans="1:57" s="7" customFormat="1" ht="15" customHeight="1" x14ac:dyDescent="0.35">
      <c r="A35" s="3" t="s">
        <v>40</v>
      </c>
      <c r="B35" s="22">
        <f ca="1">ROUND(FIRE1122_raw!B35,0)</f>
        <v>5</v>
      </c>
      <c r="C35" s="22">
        <f ca="1">ROUND(FIRE1122_raw!C35,0)</f>
        <v>12</v>
      </c>
      <c r="D35" s="22">
        <f ca="1">ROUND(FIRE1122_raw!D35,0)</f>
        <v>10</v>
      </c>
      <c r="E35" s="22">
        <f ca="1">ROUND(FIRE1122_raw!E35,0)</f>
        <v>3</v>
      </c>
      <c r="F35" s="22">
        <f ca="1">ROUND(FIRE1122_raw!F35,0)</f>
        <v>0</v>
      </c>
      <c r="G35" s="22">
        <f ca="1">ROUND(FIRE1122_raw!G35,0)</f>
        <v>0</v>
      </c>
      <c r="H35" s="22">
        <f ca="1">IF(FIRE1122_raw!H35="-","-",ROUND(FIRE1122_raw!H35,0))</f>
        <v>34</v>
      </c>
      <c r="I35" s="22"/>
      <c r="J35" s="22">
        <f ca="1">ROUND(FIRE1122_raw!J35,0)</f>
        <v>7</v>
      </c>
      <c r="K35" s="22">
        <f ca="1">ROUND(FIRE1122_raw!K35,0)</f>
        <v>17</v>
      </c>
      <c r="L35" s="22">
        <f ca="1">ROUND(FIRE1122_raw!L35,0)</f>
        <v>11</v>
      </c>
      <c r="M35" s="22">
        <f ca="1">ROUND(FIRE1122_raw!M35,0)</f>
        <v>3</v>
      </c>
      <c r="N35" s="22">
        <f ca="1">ROUND(FIRE1122_raw!N35,0)</f>
        <v>0</v>
      </c>
      <c r="O35" s="22">
        <f ca="1">ROUND(FIRE1122_raw!O35,0)</f>
        <v>0</v>
      </c>
      <c r="P35" s="22">
        <f ca="1">IF(FIRE1122_raw!P35="-","-",ROUND(FIRE1122_raw!P35,0))</f>
        <v>33</v>
      </c>
      <c r="Q35" s="22"/>
      <c r="R35" s="21">
        <f ca="1">ROUND(FIRE1122_raw!R35,0)</f>
        <v>12</v>
      </c>
      <c r="S35" s="21">
        <f ca="1">ROUND(FIRE1122_raw!S35,0)</f>
        <v>29</v>
      </c>
      <c r="T35" s="21">
        <f ca="1">ROUND(FIRE1122_raw!T35,0)</f>
        <v>21</v>
      </c>
      <c r="U35" s="21">
        <f ca="1">ROUND(FIRE1122_raw!U35,0)</f>
        <v>6</v>
      </c>
      <c r="V35" s="21">
        <f ca="1">ROUND(FIRE1122_raw!V35,0)</f>
        <v>0</v>
      </c>
      <c r="W35" s="21">
        <f ca="1">ROUND(FIRE1122_raw!W35,0)</f>
        <v>0</v>
      </c>
      <c r="X35" s="21">
        <f ca="1">IF(FIRE1122_raw!X35="-","-",ROUND(FIRE1122_raw!X35,0))</f>
        <v>33</v>
      </c>
      <c r="Y35" s="22"/>
      <c r="Z35" s="22">
        <f ca="1">ROUND(FIRE1122_raw!Z35,0)</f>
        <v>0</v>
      </c>
      <c r="AA35" s="22">
        <f ca="1">ROUND(FIRE1122_raw!AA35,0)</f>
        <v>2</v>
      </c>
      <c r="AB35" s="22">
        <f ca="1">ROUND(FIRE1122_raw!AB35,0)</f>
        <v>0</v>
      </c>
      <c r="AC35" s="22">
        <f ca="1">ROUND(FIRE1122_raw!AC35,0)</f>
        <v>0</v>
      </c>
      <c r="AD35" s="22">
        <f ca="1">ROUND(FIRE1122_raw!AD35,0)</f>
        <v>0</v>
      </c>
      <c r="AE35" s="22">
        <f ca="1">ROUND(FIRE1122_raw!AE35,0)</f>
        <v>0</v>
      </c>
      <c r="AF35" s="22">
        <f ca="1">IF(FIRE1122_raw!AF35="-","-",ROUND(FIRE1122_raw!AF35,0))</f>
        <v>30</v>
      </c>
      <c r="AG35" s="22"/>
      <c r="AH35" s="22">
        <f ca="1">ROUND(FIRE1122_raw!AH35,0)</f>
        <v>2</v>
      </c>
      <c r="AI35" s="22">
        <f ca="1">ROUND(FIRE1122_raw!AI35,0)</f>
        <v>2</v>
      </c>
      <c r="AJ35" s="22">
        <f ca="1">ROUND(FIRE1122_raw!AJ35,0)</f>
        <v>2</v>
      </c>
      <c r="AK35" s="22">
        <f ca="1">ROUND(FIRE1122_raw!AK35,0)</f>
        <v>2</v>
      </c>
      <c r="AL35" s="22">
        <f ca="1">ROUND(FIRE1122_raw!AL35,0)</f>
        <v>2</v>
      </c>
      <c r="AM35" s="22">
        <f ca="1">ROUND(FIRE1122_raw!AM35,0)</f>
        <v>0</v>
      </c>
      <c r="AN35" s="22">
        <f ca="1">IF(FIRE1122_raw!AN35="-","-",ROUND(FIRE1122_raw!AN35,0))</f>
        <v>39</v>
      </c>
      <c r="AO35" s="22"/>
      <c r="AP35" s="21">
        <f ca="1">ROUND(FIRE1122_raw!AP35,0)</f>
        <v>14</v>
      </c>
      <c r="AQ35" s="21">
        <f ca="1">ROUND(FIRE1122_raw!AQ35,0)</f>
        <v>33</v>
      </c>
      <c r="AR35" s="21">
        <f ca="1">ROUND(FIRE1122_raw!AR35,0)</f>
        <v>23</v>
      </c>
      <c r="AS35" s="21">
        <f ca="1">ROUND(FIRE1122_raw!AS35,0)</f>
        <v>8</v>
      </c>
      <c r="AT35" s="21">
        <f ca="1">ROUND(FIRE1122_raw!AT35,0)</f>
        <v>2</v>
      </c>
      <c r="AU35" s="21">
        <f ca="1">ROUND(FIRE1122_raw!AU35,0)</f>
        <v>0</v>
      </c>
      <c r="AV35" s="21">
        <f ca="1">IF(FIRE1122_raw!AV35="-","-",ROUND(FIRE1122_raw!AV35,0))</f>
        <v>34</v>
      </c>
      <c r="AW35" s="17"/>
      <c r="AX35" s="17"/>
      <c r="AY35" s="17"/>
      <c r="AZ35" s="17"/>
      <c r="BA35" s="17"/>
      <c r="BB35" s="17"/>
      <c r="BC35" s="17"/>
      <c r="BD35" s="17"/>
      <c r="BE35" s="17"/>
    </row>
    <row r="36" spans="1:57" s="7" customFormat="1" ht="15" customHeight="1" x14ac:dyDescent="0.35">
      <c r="A36" s="2" t="s">
        <v>41</v>
      </c>
      <c r="B36" s="22">
        <f ca="1">ROUND(FIRE1122_raw!B36,0)</f>
        <v>0</v>
      </c>
      <c r="C36" s="22">
        <f ca="1">ROUND(FIRE1122_raw!C36,0)</f>
        <v>0</v>
      </c>
      <c r="D36" s="22">
        <f ca="1">ROUND(FIRE1122_raw!D36,0)</f>
        <v>0</v>
      </c>
      <c r="E36" s="22">
        <f ca="1">ROUND(FIRE1122_raw!E36,0)</f>
        <v>0</v>
      </c>
      <c r="F36" s="22">
        <f ca="1">ROUND(FIRE1122_raw!F36,0)</f>
        <v>0</v>
      </c>
      <c r="G36" s="22">
        <f ca="1">ROUND(FIRE1122_raw!G36,0)</f>
        <v>0</v>
      </c>
      <c r="H36" s="22" t="str">
        <f ca="1">IF(FIRE1122_raw!H36="-","-",ROUND(FIRE1122_raw!H36,0))</f>
        <v>-</v>
      </c>
      <c r="I36" s="22"/>
      <c r="J36" s="22">
        <f ca="1">ROUND(FIRE1122_raw!J36,0)</f>
        <v>0</v>
      </c>
      <c r="K36" s="22">
        <f ca="1">ROUND(FIRE1122_raw!K36,0)</f>
        <v>0</v>
      </c>
      <c r="L36" s="22">
        <f ca="1">ROUND(FIRE1122_raw!L36,0)</f>
        <v>0</v>
      </c>
      <c r="M36" s="22">
        <f ca="1">ROUND(FIRE1122_raw!M36,0)</f>
        <v>0</v>
      </c>
      <c r="N36" s="22">
        <f ca="1">ROUND(FIRE1122_raw!N36,0)</f>
        <v>0</v>
      </c>
      <c r="O36" s="22">
        <f ca="1">ROUND(FIRE1122_raw!O36,0)</f>
        <v>0</v>
      </c>
      <c r="P36" s="22" t="str">
        <f ca="1">IF(FIRE1122_raw!P36="-","-",ROUND(FIRE1122_raw!P36,0))</f>
        <v>-</v>
      </c>
      <c r="Q36" s="22"/>
      <c r="R36" s="21">
        <f ca="1">ROUND(FIRE1122_raw!R36,0)</f>
        <v>0</v>
      </c>
      <c r="S36" s="21">
        <f ca="1">ROUND(FIRE1122_raw!S36,0)</f>
        <v>0</v>
      </c>
      <c r="T36" s="21">
        <f ca="1">ROUND(FIRE1122_raw!T36,0)</f>
        <v>0</v>
      </c>
      <c r="U36" s="21">
        <f ca="1">ROUND(FIRE1122_raw!U36,0)</f>
        <v>0</v>
      </c>
      <c r="V36" s="21">
        <f ca="1">ROUND(FIRE1122_raw!V36,0)</f>
        <v>0</v>
      </c>
      <c r="W36" s="21">
        <f ca="1">ROUND(FIRE1122_raw!W36,0)</f>
        <v>0</v>
      </c>
      <c r="X36" s="21" t="str">
        <f ca="1">IF(FIRE1122_raw!X36="-","-",ROUND(FIRE1122_raw!X36,0))</f>
        <v>-</v>
      </c>
      <c r="Y36" s="22"/>
      <c r="Z36" s="22">
        <f ca="1">ROUND(FIRE1122_raw!Z36,0)</f>
        <v>2</v>
      </c>
      <c r="AA36" s="22">
        <f ca="1">ROUND(FIRE1122_raw!AA36,0)</f>
        <v>3</v>
      </c>
      <c r="AB36" s="22">
        <f ca="1">ROUND(FIRE1122_raw!AB36,0)</f>
        <v>2</v>
      </c>
      <c r="AC36" s="22">
        <f ca="1">ROUND(FIRE1122_raw!AC36,0)</f>
        <v>0</v>
      </c>
      <c r="AD36" s="22">
        <f ca="1">ROUND(FIRE1122_raw!AD36,0)</f>
        <v>0</v>
      </c>
      <c r="AE36" s="22">
        <f ca="1">ROUND(FIRE1122_raw!AE36,0)</f>
        <v>0</v>
      </c>
      <c r="AF36" s="22">
        <f ca="1">IF(FIRE1122_raw!AF36="-","-",ROUND(FIRE1122_raw!AF36,0))</f>
        <v>30</v>
      </c>
      <c r="AG36" s="22"/>
      <c r="AH36" s="22">
        <f ca="1">ROUND(FIRE1122_raw!AH36,0)</f>
        <v>0</v>
      </c>
      <c r="AI36" s="22">
        <f ca="1">ROUND(FIRE1122_raw!AI36,0)</f>
        <v>0</v>
      </c>
      <c r="AJ36" s="22">
        <f ca="1">ROUND(FIRE1122_raw!AJ36,0)</f>
        <v>0</v>
      </c>
      <c r="AK36" s="22">
        <f ca="1">ROUND(FIRE1122_raw!AK36,0)</f>
        <v>1</v>
      </c>
      <c r="AL36" s="22">
        <f ca="1">ROUND(FIRE1122_raw!AL36,0)</f>
        <v>0</v>
      </c>
      <c r="AM36" s="22">
        <f ca="1">ROUND(FIRE1122_raw!AM36,0)</f>
        <v>0</v>
      </c>
      <c r="AN36" s="22">
        <f ca="1">IF(FIRE1122_raw!AN36="-","-",ROUND(FIRE1122_raw!AN36,0))</f>
        <v>51</v>
      </c>
      <c r="AO36" s="22"/>
      <c r="AP36" s="21">
        <f ca="1">ROUND(FIRE1122_raw!AP36,0)</f>
        <v>2</v>
      </c>
      <c r="AQ36" s="21">
        <f ca="1">ROUND(FIRE1122_raw!AQ36,0)</f>
        <v>3</v>
      </c>
      <c r="AR36" s="21">
        <f ca="1">ROUND(FIRE1122_raw!AR36,0)</f>
        <v>2</v>
      </c>
      <c r="AS36" s="21">
        <f ca="1">ROUND(FIRE1122_raw!AS36,0)</f>
        <v>1</v>
      </c>
      <c r="AT36" s="21">
        <f ca="1">ROUND(FIRE1122_raw!AT36,0)</f>
        <v>0</v>
      </c>
      <c r="AU36" s="21">
        <f ca="1">ROUND(FIRE1122_raw!AU36,0)</f>
        <v>0</v>
      </c>
      <c r="AV36" s="21">
        <f ca="1">IF(FIRE1122_raw!AV36="-","-",ROUND(FIRE1122_raw!AV36,0))</f>
        <v>33</v>
      </c>
      <c r="AW36" s="17"/>
      <c r="AX36" s="17"/>
      <c r="AY36" s="17"/>
      <c r="AZ36" s="17"/>
      <c r="BA36" s="17"/>
      <c r="BB36" s="17"/>
      <c r="BC36" s="17"/>
      <c r="BD36" s="17"/>
      <c r="BE36" s="17"/>
    </row>
    <row r="37" spans="1:57" s="7" customFormat="1" ht="15" customHeight="1" x14ac:dyDescent="0.35">
      <c r="A37" s="3" t="s">
        <v>42</v>
      </c>
      <c r="B37" s="22">
        <f ca="1">ROUND(FIRE1122_raw!B37,0)</f>
        <v>2</v>
      </c>
      <c r="C37" s="22">
        <f ca="1">ROUND(FIRE1122_raw!C37,0)</f>
        <v>15</v>
      </c>
      <c r="D37" s="22">
        <f ca="1">ROUND(FIRE1122_raw!D37,0)</f>
        <v>11</v>
      </c>
      <c r="E37" s="22">
        <f ca="1">ROUND(FIRE1122_raw!E37,0)</f>
        <v>2</v>
      </c>
      <c r="F37" s="22">
        <f ca="1">ROUND(FIRE1122_raw!F37,0)</f>
        <v>0</v>
      </c>
      <c r="G37" s="22">
        <f ca="1">ROUND(FIRE1122_raw!G37,0)</f>
        <v>0</v>
      </c>
      <c r="H37" s="22">
        <f ca="1">IF(FIRE1122_raw!H37="-","-",ROUND(FIRE1122_raw!H37,0))</f>
        <v>35</v>
      </c>
      <c r="I37" s="22"/>
      <c r="J37" s="22">
        <f ca="1">ROUND(FIRE1122_raw!J37,0)</f>
        <v>11</v>
      </c>
      <c r="K37" s="22">
        <f ca="1">ROUND(FIRE1122_raw!K37,0)</f>
        <v>15</v>
      </c>
      <c r="L37" s="22">
        <f ca="1">ROUND(FIRE1122_raw!L37,0)</f>
        <v>10</v>
      </c>
      <c r="M37" s="22">
        <f ca="1">ROUND(FIRE1122_raw!M37,0)</f>
        <v>5</v>
      </c>
      <c r="N37" s="22">
        <f ca="1">ROUND(FIRE1122_raw!N37,0)</f>
        <v>0</v>
      </c>
      <c r="O37" s="22">
        <f ca="1">ROUND(FIRE1122_raw!O37,0)</f>
        <v>0</v>
      </c>
      <c r="P37" s="22">
        <f ca="1">IF(FIRE1122_raw!P37="-","-",ROUND(FIRE1122_raw!P37,0))</f>
        <v>32</v>
      </c>
      <c r="Q37" s="22"/>
      <c r="R37" s="21">
        <f ca="1">ROUND(FIRE1122_raw!R37,0)</f>
        <v>13</v>
      </c>
      <c r="S37" s="21">
        <f ca="1">ROUND(FIRE1122_raw!S37,0)</f>
        <v>30</v>
      </c>
      <c r="T37" s="21">
        <f ca="1">ROUND(FIRE1122_raw!T37,0)</f>
        <v>21</v>
      </c>
      <c r="U37" s="21">
        <f ca="1">ROUND(FIRE1122_raw!U37,0)</f>
        <v>7</v>
      </c>
      <c r="V37" s="21">
        <f ca="1">ROUND(FIRE1122_raw!V37,0)</f>
        <v>0</v>
      </c>
      <c r="W37" s="21">
        <f ca="1">ROUND(FIRE1122_raw!W37,0)</f>
        <v>0</v>
      </c>
      <c r="X37" s="21">
        <f ca="1">IF(FIRE1122_raw!X37="-","-",ROUND(FIRE1122_raw!X37,0))</f>
        <v>33</v>
      </c>
      <c r="Y37" s="22"/>
      <c r="Z37" s="22">
        <f ca="1">ROUND(FIRE1122_raw!Z37,0)</f>
        <v>1</v>
      </c>
      <c r="AA37" s="22">
        <f ca="1">ROUND(FIRE1122_raw!AA37,0)</f>
        <v>3</v>
      </c>
      <c r="AB37" s="22">
        <f ca="1">ROUND(FIRE1122_raw!AB37,0)</f>
        <v>0</v>
      </c>
      <c r="AC37" s="22">
        <f ca="1">ROUND(FIRE1122_raw!AC37,0)</f>
        <v>0</v>
      </c>
      <c r="AD37" s="22">
        <f ca="1">ROUND(FIRE1122_raw!AD37,0)</f>
        <v>0</v>
      </c>
      <c r="AE37" s="22">
        <f ca="1">ROUND(FIRE1122_raw!AE37,0)</f>
        <v>0</v>
      </c>
      <c r="AF37" s="22">
        <f ca="1">IF(FIRE1122_raw!AF37="-","-",ROUND(FIRE1122_raw!AF37,0))</f>
        <v>28</v>
      </c>
      <c r="AG37" s="22"/>
      <c r="AH37" s="22">
        <f ca="1">ROUND(FIRE1122_raw!AH37,0)</f>
        <v>0</v>
      </c>
      <c r="AI37" s="22">
        <f ca="1">ROUND(FIRE1122_raw!AI37,0)</f>
        <v>6</v>
      </c>
      <c r="AJ37" s="22">
        <f ca="1">ROUND(FIRE1122_raw!AJ37,0)</f>
        <v>2</v>
      </c>
      <c r="AK37" s="22">
        <f ca="1">ROUND(FIRE1122_raw!AK37,0)</f>
        <v>0</v>
      </c>
      <c r="AL37" s="22">
        <f ca="1">ROUND(FIRE1122_raw!AL37,0)</f>
        <v>0</v>
      </c>
      <c r="AM37" s="22">
        <f ca="1">ROUND(FIRE1122_raw!AM37,0)</f>
        <v>10</v>
      </c>
      <c r="AN37" s="22">
        <f ca="1">IF(FIRE1122_raw!AN37="-","-",ROUND(FIRE1122_raw!AN37,0))</f>
        <v>33</v>
      </c>
      <c r="AO37" s="22"/>
      <c r="AP37" s="21">
        <f ca="1">ROUND(FIRE1122_raw!AP37,0)</f>
        <v>14</v>
      </c>
      <c r="AQ37" s="21">
        <f ca="1">ROUND(FIRE1122_raw!AQ37,0)</f>
        <v>39</v>
      </c>
      <c r="AR37" s="21">
        <f ca="1">ROUND(FIRE1122_raw!AR37,0)</f>
        <v>23</v>
      </c>
      <c r="AS37" s="21">
        <f ca="1">ROUND(FIRE1122_raw!AS37,0)</f>
        <v>7</v>
      </c>
      <c r="AT37" s="21">
        <f ca="1">ROUND(FIRE1122_raw!AT37,0)</f>
        <v>0</v>
      </c>
      <c r="AU37" s="21">
        <f ca="1">ROUND(FIRE1122_raw!AU37,0)</f>
        <v>10</v>
      </c>
      <c r="AV37" s="21">
        <f ca="1">IF(FIRE1122_raw!AV37="-","-",ROUND(FIRE1122_raw!AV37,0))</f>
        <v>33</v>
      </c>
      <c r="AW37" s="17"/>
      <c r="AX37" s="17"/>
      <c r="AY37" s="17"/>
      <c r="AZ37" s="17"/>
      <c r="BA37" s="17"/>
      <c r="BB37" s="17"/>
      <c r="BC37" s="17"/>
      <c r="BD37" s="17"/>
      <c r="BE37" s="17"/>
    </row>
    <row r="38" spans="1:57" s="7" customFormat="1" ht="15" customHeight="1" x14ac:dyDescent="0.35">
      <c r="A38" s="3" t="s">
        <v>43</v>
      </c>
      <c r="B38" s="22">
        <f ca="1">ROUND(FIRE1122_raw!B38,0)</f>
        <v>1</v>
      </c>
      <c r="C38" s="22">
        <f ca="1">ROUND(FIRE1122_raw!C38,0)</f>
        <v>7</v>
      </c>
      <c r="D38" s="22">
        <f ca="1">ROUND(FIRE1122_raw!D38,0)</f>
        <v>1</v>
      </c>
      <c r="E38" s="22">
        <f ca="1">ROUND(FIRE1122_raw!E38,0)</f>
        <v>0</v>
      </c>
      <c r="F38" s="22">
        <f ca="1">ROUND(FIRE1122_raw!F38,0)</f>
        <v>0</v>
      </c>
      <c r="G38" s="22">
        <f ca="1">ROUND(FIRE1122_raw!G38,0)</f>
        <v>0</v>
      </c>
      <c r="H38" s="22">
        <f ca="1">IF(FIRE1122_raw!H38="-","-",ROUND(FIRE1122_raw!H38,0))</f>
        <v>30</v>
      </c>
      <c r="I38" s="22"/>
      <c r="J38" s="22">
        <f ca="1">ROUND(FIRE1122_raw!J38,0)</f>
        <v>14</v>
      </c>
      <c r="K38" s="22">
        <f ca="1">ROUND(FIRE1122_raw!K38,0)</f>
        <v>26</v>
      </c>
      <c r="L38" s="22">
        <f ca="1">ROUND(FIRE1122_raw!L38,0)</f>
        <v>4</v>
      </c>
      <c r="M38" s="22">
        <f ca="1">ROUND(FIRE1122_raw!M38,0)</f>
        <v>3</v>
      </c>
      <c r="N38" s="22">
        <f ca="1">ROUND(FIRE1122_raw!N38,0)</f>
        <v>1</v>
      </c>
      <c r="O38" s="22">
        <f ca="1">ROUND(FIRE1122_raw!O38,0)</f>
        <v>0</v>
      </c>
      <c r="P38" s="22">
        <f ca="1">IF(FIRE1122_raw!P38="-","-",ROUND(FIRE1122_raw!P38,0))</f>
        <v>30</v>
      </c>
      <c r="Q38" s="22"/>
      <c r="R38" s="21">
        <f ca="1">ROUND(FIRE1122_raw!R38,0)</f>
        <v>15</v>
      </c>
      <c r="S38" s="21">
        <f ca="1">ROUND(FIRE1122_raw!S38,0)</f>
        <v>33</v>
      </c>
      <c r="T38" s="21">
        <f ca="1">ROUND(FIRE1122_raw!T38,0)</f>
        <v>5</v>
      </c>
      <c r="U38" s="21">
        <f ca="1">ROUND(FIRE1122_raw!U38,0)</f>
        <v>3</v>
      </c>
      <c r="V38" s="21">
        <f ca="1">ROUND(FIRE1122_raw!V38,0)</f>
        <v>1</v>
      </c>
      <c r="W38" s="21">
        <f ca="1">ROUND(FIRE1122_raw!W38,0)</f>
        <v>0</v>
      </c>
      <c r="X38" s="21">
        <f ca="1">IF(FIRE1122_raw!X38="-","-",ROUND(FIRE1122_raw!X38,0))</f>
        <v>30</v>
      </c>
      <c r="Y38" s="22"/>
      <c r="Z38" s="22">
        <f ca="1">ROUND(FIRE1122_raw!Z38,0)</f>
        <v>0</v>
      </c>
      <c r="AA38" s="22">
        <f ca="1">ROUND(FIRE1122_raw!AA38,0)</f>
        <v>2</v>
      </c>
      <c r="AB38" s="22">
        <f ca="1">ROUND(FIRE1122_raw!AB38,0)</f>
        <v>2</v>
      </c>
      <c r="AC38" s="22">
        <f ca="1">ROUND(FIRE1122_raw!AC38,0)</f>
        <v>0</v>
      </c>
      <c r="AD38" s="22">
        <f ca="1">ROUND(FIRE1122_raw!AD38,0)</f>
        <v>0</v>
      </c>
      <c r="AE38" s="22">
        <f ca="1">ROUND(FIRE1122_raw!AE38,0)</f>
        <v>0</v>
      </c>
      <c r="AF38" s="22">
        <f ca="1">IF(FIRE1122_raw!AF38="-","-",ROUND(FIRE1122_raw!AF38,0))</f>
        <v>35</v>
      </c>
      <c r="AG38" s="22"/>
      <c r="AH38" s="22">
        <f ca="1">ROUND(FIRE1122_raw!AH38,0)</f>
        <v>0</v>
      </c>
      <c r="AI38" s="22">
        <f ca="1">ROUND(FIRE1122_raw!AI38,0)</f>
        <v>2</v>
      </c>
      <c r="AJ38" s="22">
        <f ca="1">ROUND(FIRE1122_raw!AJ38,0)</f>
        <v>3</v>
      </c>
      <c r="AK38" s="22">
        <f ca="1">ROUND(FIRE1122_raw!AK38,0)</f>
        <v>3</v>
      </c>
      <c r="AL38" s="22">
        <f ca="1">ROUND(FIRE1122_raw!AL38,0)</f>
        <v>1</v>
      </c>
      <c r="AM38" s="22">
        <f ca="1">ROUND(FIRE1122_raw!AM38,0)</f>
        <v>0</v>
      </c>
      <c r="AN38" s="22">
        <f ca="1">IF(FIRE1122_raw!AN38="-","-",ROUND(FIRE1122_raw!AN38,0))</f>
        <v>43</v>
      </c>
      <c r="AO38" s="22"/>
      <c r="AP38" s="21">
        <f ca="1">ROUND(FIRE1122_raw!AP38,0)</f>
        <v>15</v>
      </c>
      <c r="AQ38" s="21">
        <f ca="1">ROUND(FIRE1122_raw!AQ38,0)</f>
        <v>37</v>
      </c>
      <c r="AR38" s="21">
        <f ca="1">ROUND(FIRE1122_raw!AR38,0)</f>
        <v>10</v>
      </c>
      <c r="AS38" s="21">
        <f ca="1">ROUND(FIRE1122_raw!AS38,0)</f>
        <v>6</v>
      </c>
      <c r="AT38" s="21">
        <f ca="1">ROUND(FIRE1122_raw!AT38,0)</f>
        <v>2</v>
      </c>
      <c r="AU38" s="21">
        <f ca="1">ROUND(FIRE1122_raw!AU38,0)</f>
        <v>0</v>
      </c>
      <c r="AV38" s="21">
        <f ca="1">IF(FIRE1122_raw!AV38="-","-",ROUND(FIRE1122_raw!AV38,0))</f>
        <v>32</v>
      </c>
      <c r="AW38" s="17"/>
      <c r="AX38" s="17"/>
      <c r="AY38" s="17"/>
      <c r="AZ38" s="17"/>
      <c r="BA38" s="17"/>
      <c r="BB38" s="17"/>
      <c r="BC38" s="17"/>
      <c r="BD38" s="17"/>
      <c r="BE38" s="17"/>
    </row>
    <row r="39" spans="1:57" s="7" customFormat="1" ht="15" customHeight="1" x14ac:dyDescent="0.35">
      <c r="A39" s="3" t="s">
        <v>44</v>
      </c>
      <c r="B39" s="22">
        <f ca="1">ROUND(FIRE1122_raw!B39,0)</f>
        <v>0</v>
      </c>
      <c r="C39" s="22">
        <f ca="1">ROUND(FIRE1122_raw!C39,0)</f>
        <v>3</v>
      </c>
      <c r="D39" s="22">
        <f ca="1">ROUND(FIRE1122_raw!D39,0)</f>
        <v>5</v>
      </c>
      <c r="E39" s="22">
        <f ca="1">ROUND(FIRE1122_raw!E39,0)</f>
        <v>1</v>
      </c>
      <c r="F39" s="22">
        <f ca="1">ROUND(FIRE1122_raw!F39,0)</f>
        <v>0</v>
      </c>
      <c r="G39" s="22">
        <f ca="1">ROUND(FIRE1122_raw!G39,0)</f>
        <v>0</v>
      </c>
      <c r="H39" s="22">
        <f ca="1">IF(FIRE1122_raw!H39="-","-",ROUND(FIRE1122_raw!H39,0))</f>
        <v>38</v>
      </c>
      <c r="I39" s="22"/>
      <c r="J39" s="22">
        <f ca="1">ROUND(FIRE1122_raw!J39,0)</f>
        <v>9</v>
      </c>
      <c r="K39" s="22">
        <f ca="1">ROUND(FIRE1122_raw!K39,0)</f>
        <v>5</v>
      </c>
      <c r="L39" s="22">
        <f ca="1">ROUND(FIRE1122_raw!L39,0)</f>
        <v>4</v>
      </c>
      <c r="M39" s="22">
        <f ca="1">ROUND(FIRE1122_raw!M39,0)</f>
        <v>1</v>
      </c>
      <c r="N39" s="22">
        <f ca="1">ROUND(FIRE1122_raw!N39,0)</f>
        <v>0</v>
      </c>
      <c r="O39" s="22">
        <f ca="1">ROUND(FIRE1122_raw!O39,0)</f>
        <v>0</v>
      </c>
      <c r="P39" s="22">
        <f ca="1">IF(FIRE1122_raw!P39="-","-",ROUND(FIRE1122_raw!P39,0))</f>
        <v>29</v>
      </c>
      <c r="Q39" s="22"/>
      <c r="R39" s="21">
        <f ca="1">ROUND(FIRE1122_raw!R39,0)</f>
        <v>9</v>
      </c>
      <c r="S39" s="21">
        <f ca="1">ROUND(FIRE1122_raw!S39,0)</f>
        <v>8</v>
      </c>
      <c r="T39" s="21">
        <f ca="1">ROUND(FIRE1122_raw!T39,0)</f>
        <v>9</v>
      </c>
      <c r="U39" s="21">
        <f ca="1">ROUND(FIRE1122_raw!U39,0)</f>
        <v>2</v>
      </c>
      <c r="V39" s="21">
        <f ca="1">ROUND(FIRE1122_raw!V39,0)</f>
        <v>0</v>
      </c>
      <c r="W39" s="21">
        <f ca="1">ROUND(FIRE1122_raw!W39,0)</f>
        <v>0</v>
      </c>
      <c r="X39" s="21">
        <f ca="1">IF(FIRE1122_raw!X39="-","-",ROUND(FIRE1122_raw!X39,0))</f>
        <v>32</v>
      </c>
      <c r="Y39" s="22"/>
      <c r="Z39" s="22">
        <f ca="1">ROUND(FIRE1122_raw!Z39,0)</f>
        <v>0</v>
      </c>
      <c r="AA39" s="22">
        <f ca="1">ROUND(FIRE1122_raw!AA39,0)</f>
        <v>0</v>
      </c>
      <c r="AB39" s="22">
        <f ca="1">ROUND(FIRE1122_raw!AB39,0)</f>
        <v>0</v>
      </c>
      <c r="AC39" s="22">
        <f ca="1">ROUND(FIRE1122_raw!AC39,0)</f>
        <v>0</v>
      </c>
      <c r="AD39" s="22">
        <f ca="1">ROUND(FIRE1122_raw!AD39,0)</f>
        <v>0</v>
      </c>
      <c r="AE39" s="22">
        <f ca="1">ROUND(FIRE1122_raw!AE39,0)</f>
        <v>0</v>
      </c>
      <c r="AF39" s="22" t="str">
        <f ca="1">IF(FIRE1122_raw!AF39="-","-",ROUND(FIRE1122_raw!AF39,0))</f>
        <v>-</v>
      </c>
      <c r="AG39" s="22"/>
      <c r="AH39" s="22">
        <f ca="1">ROUND(FIRE1122_raw!AH39,0)</f>
        <v>1</v>
      </c>
      <c r="AI39" s="22">
        <f ca="1">ROUND(FIRE1122_raw!AI39,0)</f>
        <v>0</v>
      </c>
      <c r="AJ39" s="22">
        <f ca="1">ROUND(FIRE1122_raw!AJ39,0)</f>
        <v>0</v>
      </c>
      <c r="AK39" s="22">
        <f ca="1">ROUND(FIRE1122_raw!AK39,0)</f>
        <v>0</v>
      </c>
      <c r="AL39" s="22">
        <f ca="1">ROUND(FIRE1122_raw!AL39,0)</f>
        <v>0</v>
      </c>
      <c r="AM39" s="22">
        <f ca="1">ROUND(FIRE1122_raw!AM39,0)</f>
        <v>0</v>
      </c>
      <c r="AN39" s="22">
        <f ca="1">IF(FIRE1122_raw!AN39="-","-",ROUND(FIRE1122_raw!AN39,0))</f>
        <v>20</v>
      </c>
      <c r="AO39" s="22"/>
      <c r="AP39" s="21">
        <f ca="1">ROUND(FIRE1122_raw!AP39,0)</f>
        <v>10</v>
      </c>
      <c r="AQ39" s="21">
        <f ca="1">ROUND(FIRE1122_raw!AQ39,0)</f>
        <v>8</v>
      </c>
      <c r="AR39" s="21">
        <f ca="1">ROUND(FIRE1122_raw!AR39,0)</f>
        <v>9</v>
      </c>
      <c r="AS39" s="21">
        <f ca="1">ROUND(FIRE1122_raw!AS39,0)</f>
        <v>2</v>
      </c>
      <c r="AT39" s="21">
        <f ca="1">ROUND(FIRE1122_raw!AT39,0)</f>
        <v>0</v>
      </c>
      <c r="AU39" s="21">
        <f ca="1">ROUND(FIRE1122_raw!AU39,0)</f>
        <v>0</v>
      </c>
      <c r="AV39" s="21">
        <f ca="1">IF(FIRE1122_raw!AV39="-","-",ROUND(FIRE1122_raw!AV39,0))</f>
        <v>31</v>
      </c>
      <c r="AW39" s="17"/>
      <c r="AX39" s="17"/>
      <c r="AY39" s="17"/>
      <c r="AZ39" s="17"/>
      <c r="BA39" s="17"/>
      <c r="BB39" s="17"/>
      <c r="BC39" s="17"/>
      <c r="BD39" s="17"/>
      <c r="BE39" s="17"/>
    </row>
    <row r="40" spans="1:57" s="7" customFormat="1" ht="15" customHeight="1" x14ac:dyDescent="0.35">
      <c r="A40" s="2" t="s">
        <v>45</v>
      </c>
      <c r="B40" s="22">
        <f ca="1">ROUND(FIRE1122_raw!B40,0)</f>
        <v>1</v>
      </c>
      <c r="C40" s="22">
        <f ca="1">ROUND(FIRE1122_raw!C40,0)</f>
        <v>20</v>
      </c>
      <c r="D40" s="22">
        <f ca="1">ROUND(FIRE1122_raw!D40,0)</f>
        <v>9</v>
      </c>
      <c r="E40" s="22">
        <f ca="1">ROUND(FIRE1122_raw!E40,0)</f>
        <v>0</v>
      </c>
      <c r="F40" s="22">
        <f ca="1">ROUND(FIRE1122_raw!F40,0)</f>
        <v>0</v>
      </c>
      <c r="G40" s="22">
        <f ca="1">ROUND(FIRE1122_raw!G40,0)</f>
        <v>0</v>
      </c>
      <c r="H40" s="22">
        <f ca="1">IF(FIRE1122_raw!H40="-","-",ROUND(FIRE1122_raw!H40,0))</f>
        <v>33</v>
      </c>
      <c r="I40" s="22"/>
      <c r="J40" s="22">
        <f ca="1">ROUND(FIRE1122_raw!J40,0)</f>
        <v>8</v>
      </c>
      <c r="K40" s="22">
        <f ca="1">ROUND(FIRE1122_raw!K40,0)</f>
        <v>8</v>
      </c>
      <c r="L40" s="22">
        <f ca="1">ROUND(FIRE1122_raw!L40,0)</f>
        <v>6</v>
      </c>
      <c r="M40" s="22">
        <f ca="1">ROUND(FIRE1122_raw!M40,0)</f>
        <v>3</v>
      </c>
      <c r="N40" s="22">
        <f ca="1">ROUND(FIRE1122_raw!N40,0)</f>
        <v>0</v>
      </c>
      <c r="O40" s="22">
        <f ca="1">ROUND(FIRE1122_raw!O40,0)</f>
        <v>0</v>
      </c>
      <c r="P40" s="22">
        <f ca="1">IF(FIRE1122_raw!P40="-","-",ROUND(FIRE1122_raw!P40,0))</f>
        <v>32</v>
      </c>
      <c r="Q40" s="22"/>
      <c r="R40" s="21">
        <f ca="1">ROUND(FIRE1122_raw!R40,0)</f>
        <v>9</v>
      </c>
      <c r="S40" s="21">
        <f ca="1">ROUND(FIRE1122_raw!S40,0)</f>
        <v>28</v>
      </c>
      <c r="T40" s="21">
        <f ca="1">ROUND(FIRE1122_raw!T40,0)</f>
        <v>15</v>
      </c>
      <c r="U40" s="21">
        <f ca="1">ROUND(FIRE1122_raw!U40,0)</f>
        <v>3</v>
      </c>
      <c r="V40" s="21">
        <f ca="1">ROUND(FIRE1122_raw!V40,0)</f>
        <v>0</v>
      </c>
      <c r="W40" s="21">
        <f ca="1">ROUND(FIRE1122_raw!W40,0)</f>
        <v>0</v>
      </c>
      <c r="X40" s="21">
        <f ca="1">IF(FIRE1122_raw!X40="-","-",ROUND(FIRE1122_raw!X40,0))</f>
        <v>32</v>
      </c>
      <c r="Y40" s="22"/>
      <c r="Z40" s="22">
        <f ca="1">ROUND(FIRE1122_raw!Z40,0)</f>
        <v>0</v>
      </c>
      <c r="AA40" s="22">
        <f ca="1">ROUND(FIRE1122_raw!AA40,0)</f>
        <v>0</v>
      </c>
      <c r="AB40" s="22">
        <f ca="1">ROUND(FIRE1122_raw!AB40,0)</f>
        <v>0</v>
      </c>
      <c r="AC40" s="22">
        <f ca="1">ROUND(FIRE1122_raw!AC40,0)</f>
        <v>0</v>
      </c>
      <c r="AD40" s="22">
        <f ca="1">ROUND(FIRE1122_raw!AD40,0)</f>
        <v>0</v>
      </c>
      <c r="AE40" s="22">
        <f ca="1">ROUND(FIRE1122_raw!AE40,0)</f>
        <v>0</v>
      </c>
      <c r="AF40" s="22" t="str">
        <f ca="1">IF(FIRE1122_raw!AF40="-","-",ROUND(FIRE1122_raw!AF40,0))</f>
        <v>-</v>
      </c>
      <c r="AG40" s="22"/>
      <c r="AH40" s="22">
        <f ca="1">ROUND(FIRE1122_raw!AH40,0)</f>
        <v>1</v>
      </c>
      <c r="AI40" s="22">
        <f ca="1">ROUND(FIRE1122_raw!AI40,0)</f>
        <v>3</v>
      </c>
      <c r="AJ40" s="22">
        <f ca="1">ROUND(FIRE1122_raw!AJ40,0)</f>
        <v>1</v>
      </c>
      <c r="AK40" s="22">
        <f ca="1">ROUND(FIRE1122_raw!AK40,0)</f>
        <v>3</v>
      </c>
      <c r="AL40" s="22">
        <f ca="1">ROUND(FIRE1122_raw!AL40,0)</f>
        <v>1</v>
      </c>
      <c r="AM40" s="22">
        <f ca="1">ROUND(FIRE1122_raw!AM40,0)</f>
        <v>0</v>
      </c>
      <c r="AN40" s="22">
        <f ca="1">IF(FIRE1122_raw!AN40="-","-",ROUND(FIRE1122_raw!AN40,0))</f>
        <v>40</v>
      </c>
      <c r="AO40" s="22"/>
      <c r="AP40" s="21">
        <f ca="1">ROUND(FIRE1122_raw!AP40,0)</f>
        <v>10</v>
      </c>
      <c r="AQ40" s="21">
        <f ca="1">ROUND(FIRE1122_raw!AQ40,0)</f>
        <v>31</v>
      </c>
      <c r="AR40" s="21">
        <f ca="1">ROUND(FIRE1122_raw!AR40,0)</f>
        <v>16</v>
      </c>
      <c r="AS40" s="21">
        <f ca="1">ROUND(FIRE1122_raw!AS40,0)</f>
        <v>6</v>
      </c>
      <c r="AT40" s="21">
        <f ca="1">ROUND(FIRE1122_raw!AT40,0)</f>
        <v>1</v>
      </c>
      <c r="AU40" s="21">
        <f ca="1">ROUND(FIRE1122_raw!AU40,0)</f>
        <v>0</v>
      </c>
      <c r="AV40" s="21">
        <f ca="1">IF(FIRE1122_raw!AV40="-","-",ROUND(FIRE1122_raw!AV40,0))</f>
        <v>33</v>
      </c>
      <c r="AW40" s="17"/>
      <c r="AX40" s="17"/>
      <c r="AY40" s="17"/>
      <c r="AZ40" s="17"/>
      <c r="BA40" s="17"/>
      <c r="BB40" s="17"/>
      <c r="BC40" s="17"/>
      <c r="BD40" s="17"/>
      <c r="BE40" s="17"/>
    </row>
    <row r="41" spans="1:57" s="7" customFormat="1" ht="15" customHeight="1" x14ac:dyDescent="0.35">
      <c r="A41" s="2" t="s">
        <v>46</v>
      </c>
      <c r="B41" s="22">
        <f ca="1">ROUND(FIRE1122_raw!B41,0)</f>
        <v>0</v>
      </c>
      <c r="C41" s="22">
        <f ca="1">ROUND(FIRE1122_raw!C41,0)</f>
        <v>6</v>
      </c>
      <c r="D41" s="22">
        <f ca="1">ROUND(FIRE1122_raw!D41,0)</f>
        <v>2</v>
      </c>
      <c r="E41" s="22">
        <f ca="1">ROUND(FIRE1122_raw!E41,0)</f>
        <v>0</v>
      </c>
      <c r="F41" s="22">
        <f ca="1">ROUND(FIRE1122_raw!F41,0)</f>
        <v>0</v>
      </c>
      <c r="G41" s="22">
        <f ca="1">ROUND(FIRE1122_raw!G41,0)</f>
        <v>0</v>
      </c>
      <c r="H41" s="22">
        <f ca="1">IF(FIRE1122_raw!H41="-","-",ROUND(FIRE1122_raw!H41,0))</f>
        <v>33</v>
      </c>
      <c r="I41" s="22"/>
      <c r="J41" s="22">
        <f ca="1">ROUND(FIRE1122_raw!J41,0)</f>
        <v>8</v>
      </c>
      <c r="K41" s="22">
        <f ca="1">ROUND(FIRE1122_raw!K41,0)</f>
        <v>29</v>
      </c>
      <c r="L41" s="22">
        <f ca="1">ROUND(FIRE1122_raw!L41,0)</f>
        <v>12</v>
      </c>
      <c r="M41" s="22">
        <f ca="1">ROUND(FIRE1122_raw!M41,0)</f>
        <v>6</v>
      </c>
      <c r="N41" s="22">
        <f ca="1">ROUND(FIRE1122_raw!N41,0)</f>
        <v>1</v>
      </c>
      <c r="O41" s="22">
        <f ca="1">ROUND(FIRE1122_raw!O41,0)</f>
        <v>0</v>
      </c>
      <c r="P41" s="22">
        <f ca="1">IF(FIRE1122_raw!P41="-","-",ROUND(FIRE1122_raw!P41,0))</f>
        <v>33</v>
      </c>
      <c r="Q41" s="22"/>
      <c r="R41" s="21">
        <f ca="1">ROUND(FIRE1122_raw!R41,0)</f>
        <v>8</v>
      </c>
      <c r="S41" s="21">
        <f ca="1">ROUND(FIRE1122_raw!S41,0)</f>
        <v>35</v>
      </c>
      <c r="T41" s="21">
        <f ca="1">ROUND(FIRE1122_raw!T41,0)</f>
        <v>14</v>
      </c>
      <c r="U41" s="21">
        <f ca="1">ROUND(FIRE1122_raw!U41,0)</f>
        <v>6</v>
      </c>
      <c r="V41" s="21">
        <f ca="1">ROUND(FIRE1122_raw!V41,0)</f>
        <v>1</v>
      </c>
      <c r="W41" s="21">
        <f ca="1">ROUND(FIRE1122_raw!W41,0)</f>
        <v>0</v>
      </c>
      <c r="X41" s="21">
        <f ca="1">IF(FIRE1122_raw!X41="-","-",ROUND(FIRE1122_raw!X41,0))</f>
        <v>33</v>
      </c>
      <c r="Y41" s="22"/>
      <c r="Z41" s="22">
        <f ca="1">ROUND(FIRE1122_raw!Z41,0)</f>
        <v>0</v>
      </c>
      <c r="AA41" s="22">
        <f ca="1">ROUND(FIRE1122_raw!AA41,0)</f>
        <v>0</v>
      </c>
      <c r="AB41" s="22">
        <f ca="1">ROUND(FIRE1122_raw!AB41,0)</f>
        <v>0</v>
      </c>
      <c r="AC41" s="22">
        <f ca="1">ROUND(FIRE1122_raw!AC41,0)</f>
        <v>0</v>
      </c>
      <c r="AD41" s="22">
        <f ca="1">ROUND(FIRE1122_raw!AD41,0)</f>
        <v>0</v>
      </c>
      <c r="AE41" s="22">
        <f ca="1">ROUND(FIRE1122_raw!AE41,0)</f>
        <v>0</v>
      </c>
      <c r="AF41" s="22" t="str">
        <f ca="1">IF(FIRE1122_raw!AF41="-","-",ROUND(FIRE1122_raw!AF41,0))</f>
        <v>-</v>
      </c>
      <c r="AG41" s="22"/>
      <c r="AH41" s="22">
        <f ca="1">ROUND(FIRE1122_raw!AH41,0)</f>
        <v>0</v>
      </c>
      <c r="AI41" s="22">
        <f ca="1">ROUND(FIRE1122_raw!AI41,0)</f>
        <v>3</v>
      </c>
      <c r="AJ41" s="22">
        <f ca="1">ROUND(FIRE1122_raw!AJ41,0)</f>
        <v>2</v>
      </c>
      <c r="AK41" s="22">
        <f ca="1">ROUND(FIRE1122_raw!AK41,0)</f>
        <v>2</v>
      </c>
      <c r="AL41" s="22">
        <f ca="1">ROUND(FIRE1122_raw!AL41,0)</f>
        <v>2</v>
      </c>
      <c r="AM41" s="22">
        <f ca="1">ROUND(FIRE1122_raw!AM41,0)</f>
        <v>0</v>
      </c>
      <c r="AN41" s="22">
        <f ca="1">IF(FIRE1122_raw!AN41="-","-",ROUND(FIRE1122_raw!AN41,0))</f>
        <v>43</v>
      </c>
      <c r="AO41" s="22"/>
      <c r="AP41" s="21">
        <f ca="1">ROUND(FIRE1122_raw!AP41,0)</f>
        <v>8</v>
      </c>
      <c r="AQ41" s="21">
        <f ca="1">ROUND(FIRE1122_raw!AQ41,0)</f>
        <v>38</v>
      </c>
      <c r="AR41" s="21">
        <f ca="1">ROUND(FIRE1122_raw!AR41,0)</f>
        <v>16</v>
      </c>
      <c r="AS41" s="21">
        <f ca="1">ROUND(FIRE1122_raw!AS41,0)</f>
        <v>8</v>
      </c>
      <c r="AT41" s="21">
        <f ca="1">ROUND(FIRE1122_raw!AT41,0)</f>
        <v>3</v>
      </c>
      <c r="AU41" s="21">
        <f ca="1">ROUND(FIRE1122_raw!AU41,0)</f>
        <v>0</v>
      </c>
      <c r="AV41" s="21">
        <f ca="1">IF(FIRE1122_raw!AV41="-","-",ROUND(FIRE1122_raw!AV41,0))</f>
        <v>35</v>
      </c>
      <c r="AW41" s="17"/>
      <c r="AX41" s="17"/>
      <c r="AY41" s="17"/>
      <c r="AZ41" s="17"/>
      <c r="BA41" s="17"/>
      <c r="BB41" s="17"/>
      <c r="BC41" s="17"/>
      <c r="BD41" s="17"/>
      <c r="BE41" s="17"/>
    </row>
    <row r="42" spans="1:57" s="7" customFormat="1" ht="15" customHeight="1" x14ac:dyDescent="0.35">
      <c r="A42" s="2" t="s">
        <v>47</v>
      </c>
      <c r="B42" s="22">
        <f ca="1">ROUND(FIRE1122_raw!B42,0)</f>
        <v>2</v>
      </c>
      <c r="C42" s="22">
        <f ca="1">ROUND(FIRE1122_raw!C42,0)</f>
        <v>5</v>
      </c>
      <c r="D42" s="22">
        <f ca="1">ROUND(FIRE1122_raw!D42,0)</f>
        <v>5</v>
      </c>
      <c r="E42" s="22">
        <f ca="1">ROUND(FIRE1122_raw!E42,0)</f>
        <v>0</v>
      </c>
      <c r="F42" s="22">
        <f ca="1">ROUND(FIRE1122_raw!F42,0)</f>
        <v>0</v>
      </c>
      <c r="G42" s="22">
        <f ca="1">ROUND(FIRE1122_raw!G42,0)</f>
        <v>0</v>
      </c>
      <c r="H42" s="22">
        <f ca="1">IF(FIRE1122_raw!H42="-","-",ROUND(FIRE1122_raw!H42,0))</f>
        <v>33</v>
      </c>
      <c r="I42" s="22"/>
      <c r="J42" s="22">
        <f ca="1">ROUND(FIRE1122_raw!J42,0)</f>
        <v>8</v>
      </c>
      <c r="K42" s="22">
        <f ca="1">ROUND(FIRE1122_raw!K42,0)</f>
        <v>13</v>
      </c>
      <c r="L42" s="22">
        <f ca="1">ROUND(FIRE1122_raw!L42,0)</f>
        <v>6</v>
      </c>
      <c r="M42" s="22">
        <f ca="1">ROUND(FIRE1122_raw!M42,0)</f>
        <v>1</v>
      </c>
      <c r="N42" s="22">
        <f ca="1">ROUND(FIRE1122_raw!N42,0)</f>
        <v>0</v>
      </c>
      <c r="O42" s="22">
        <f ca="1">ROUND(FIRE1122_raw!O42,0)</f>
        <v>0</v>
      </c>
      <c r="P42" s="22">
        <f ca="1">IF(FIRE1122_raw!P42="-","-",ROUND(FIRE1122_raw!P42,0))</f>
        <v>30</v>
      </c>
      <c r="Q42" s="22"/>
      <c r="R42" s="21">
        <f ca="1">ROUND(FIRE1122_raw!R42,0)</f>
        <v>10</v>
      </c>
      <c r="S42" s="21">
        <f ca="1">ROUND(FIRE1122_raw!S42,0)</f>
        <v>18</v>
      </c>
      <c r="T42" s="21">
        <f ca="1">ROUND(FIRE1122_raw!T42,0)</f>
        <v>11</v>
      </c>
      <c r="U42" s="21">
        <f ca="1">ROUND(FIRE1122_raw!U42,0)</f>
        <v>1</v>
      </c>
      <c r="V42" s="21">
        <f ca="1">ROUND(FIRE1122_raw!V42,0)</f>
        <v>0</v>
      </c>
      <c r="W42" s="21">
        <f ca="1">ROUND(FIRE1122_raw!W42,0)</f>
        <v>0</v>
      </c>
      <c r="X42" s="21">
        <f ca="1">IF(FIRE1122_raw!X42="-","-",ROUND(FIRE1122_raw!X42,0))</f>
        <v>31</v>
      </c>
      <c r="Y42" s="22"/>
      <c r="Z42" s="22">
        <f ca="1">ROUND(FIRE1122_raw!Z42,0)</f>
        <v>0</v>
      </c>
      <c r="AA42" s="22">
        <f ca="1">ROUND(FIRE1122_raw!AA42,0)</f>
        <v>2</v>
      </c>
      <c r="AB42" s="22">
        <f ca="1">ROUND(FIRE1122_raw!AB42,0)</f>
        <v>0</v>
      </c>
      <c r="AC42" s="22">
        <f ca="1">ROUND(FIRE1122_raw!AC42,0)</f>
        <v>0</v>
      </c>
      <c r="AD42" s="22">
        <f ca="1">ROUND(FIRE1122_raw!AD42,0)</f>
        <v>0</v>
      </c>
      <c r="AE42" s="22">
        <f ca="1">ROUND(FIRE1122_raw!AE42,0)</f>
        <v>0</v>
      </c>
      <c r="AF42" s="22">
        <f ca="1">IF(FIRE1122_raw!AF42="-","-",ROUND(FIRE1122_raw!AF42,0))</f>
        <v>30</v>
      </c>
      <c r="AG42" s="22"/>
      <c r="AH42" s="22">
        <f ca="1">ROUND(FIRE1122_raw!AH42,0)</f>
        <v>2</v>
      </c>
      <c r="AI42" s="22">
        <f ca="1">ROUND(FIRE1122_raw!AI42,0)</f>
        <v>0</v>
      </c>
      <c r="AJ42" s="22">
        <f ca="1">ROUND(FIRE1122_raw!AJ42,0)</f>
        <v>2</v>
      </c>
      <c r="AK42" s="22">
        <f ca="1">ROUND(FIRE1122_raw!AK42,0)</f>
        <v>3</v>
      </c>
      <c r="AL42" s="22">
        <f ca="1">ROUND(FIRE1122_raw!AL42,0)</f>
        <v>1</v>
      </c>
      <c r="AM42" s="22">
        <f ca="1">ROUND(FIRE1122_raw!AM42,0)</f>
        <v>0</v>
      </c>
      <c r="AN42" s="22">
        <f ca="1">IF(FIRE1122_raw!AN42="-","-",ROUND(FIRE1122_raw!AN42,0))</f>
        <v>41</v>
      </c>
      <c r="AO42" s="22"/>
      <c r="AP42" s="21">
        <f ca="1">ROUND(FIRE1122_raw!AP42,0)</f>
        <v>12</v>
      </c>
      <c r="AQ42" s="21">
        <f ca="1">ROUND(FIRE1122_raw!AQ42,0)</f>
        <v>20</v>
      </c>
      <c r="AR42" s="21">
        <f ca="1">ROUND(FIRE1122_raw!AR42,0)</f>
        <v>13</v>
      </c>
      <c r="AS42" s="21">
        <f ca="1">ROUND(FIRE1122_raw!AS42,0)</f>
        <v>4</v>
      </c>
      <c r="AT42" s="21">
        <f ca="1">ROUND(FIRE1122_raw!AT42,0)</f>
        <v>1</v>
      </c>
      <c r="AU42" s="21">
        <f ca="1">ROUND(FIRE1122_raw!AU42,0)</f>
        <v>0</v>
      </c>
      <c r="AV42" s="21">
        <f ca="1">IF(FIRE1122_raw!AV42="-","-",ROUND(FIRE1122_raw!AV42,0))</f>
        <v>32</v>
      </c>
      <c r="AW42" s="17"/>
      <c r="AX42" s="17"/>
      <c r="AY42" s="17"/>
      <c r="AZ42" s="17"/>
      <c r="BA42" s="17"/>
      <c r="BB42" s="17"/>
      <c r="BC42" s="17"/>
      <c r="BD42" s="17"/>
      <c r="BE42" s="17"/>
    </row>
    <row r="43" spans="1:57" s="7" customFormat="1" ht="15" customHeight="1" x14ac:dyDescent="0.35">
      <c r="A43" s="2" t="s">
        <v>48</v>
      </c>
      <c r="B43" s="22">
        <f ca="1">ROUND(FIRE1122_raw!B43,0)</f>
        <v>1</v>
      </c>
      <c r="C43" s="22">
        <f ca="1">ROUND(FIRE1122_raw!C43,0)</f>
        <v>7</v>
      </c>
      <c r="D43" s="22">
        <f ca="1">ROUND(FIRE1122_raw!D43,0)</f>
        <v>5</v>
      </c>
      <c r="E43" s="22">
        <f ca="1">ROUND(FIRE1122_raw!E43,0)</f>
        <v>0</v>
      </c>
      <c r="F43" s="22">
        <f ca="1">ROUND(FIRE1122_raw!F43,0)</f>
        <v>0</v>
      </c>
      <c r="G43" s="22">
        <f ca="1">ROUND(FIRE1122_raw!G43,0)</f>
        <v>0</v>
      </c>
      <c r="H43" s="22">
        <f ca="1">IF(FIRE1122_raw!H43="-","-",ROUND(FIRE1122_raw!H43,0))</f>
        <v>33</v>
      </c>
      <c r="I43" s="22"/>
      <c r="J43" s="22">
        <f ca="1">ROUND(FIRE1122_raw!J43,0)</f>
        <v>12</v>
      </c>
      <c r="K43" s="22">
        <f ca="1">ROUND(FIRE1122_raw!K43,0)</f>
        <v>17</v>
      </c>
      <c r="L43" s="22">
        <f ca="1">ROUND(FIRE1122_raw!L43,0)</f>
        <v>11</v>
      </c>
      <c r="M43" s="22">
        <f ca="1">ROUND(FIRE1122_raw!M43,0)</f>
        <v>3</v>
      </c>
      <c r="N43" s="22">
        <f ca="1">ROUND(FIRE1122_raw!N43,0)</f>
        <v>1</v>
      </c>
      <c r="O43" s="22">
        <f ca="1">ROUND(FIRE1122_raw!O43,0)</f>
        <v>0</v>
      </c>
      <c r="P43" s="22">
        <f ca="1">IF(FIRE1122_raw!P43="-","-",ROUND(FIRE1122_raw!P43,0))</f>
        <v>32</v>
      </c>
      <c r="Q43" s="22"/>
      <c r="R43" s="21">
        <f ca="1">ROUND(FIRE1122_raw!R43,0)</f>
        <v>13</v>
      </c>
      <c r="S43" s="21">
        <f ca="1">ROUND(FIRE1122_raw!S43,0)</f>
        <v>24</v>
      </c>
      <c r="T43" s="21">
        <f ca="1">ROUND(FIRE1122_raw!T43,0)</f>
        <v>16</v>
      </c>
      <c r="U43" s="21">
        <f ca="1">ROUND(FIRE1122_raw!U43,0)</f>
        <v>3</v>
      </c>
      <c r="V43" s="21">
        <f ca="1">ROUND(FIRE1122_raw!V43,0)</f>
        <v>1</v>
      </c>
      <c r="W43" s="21">
        <f ca="1">ROUND(FIRE1122_raw!W43,0)</f>
        <v>0</v>
      </c>
      <c r="X43" s="21">
        <f ca="1">IF(FIRE1122_raw!X43="-","-",ROUND(FIRE1122_raw!X43,0))</f>
        <v>32</v>
      </c>
      <c r="Y43" s="22"/>
      <c r="Z43" s="22">
        <f ca="1">ROUND(FIRE1122_raw!Z43,0)</f>
        <v>0</v>
      </c>
      <c r="AA43" s="22">
        <f ca="1">ROUND(FIRE1122_raw!AA43,0)</f>
        <v>0</v>
      </c>
      <c r="AB43" s="22">
        <f ca="1">ROUND(FIRE1122_raw!AB43,0)</f>
        <v>0</v>
      </c>
      <c r="AC43" s="22">
        <f ca="1">ROUND(FIRE1122_raw!AC43,0)</f>
        <v>0</v>
      </c>
      <c r="AD43" s="22">
        <f ca="1">ROUND(FIRE1122_raw!AD43,0)</f>
        <v>0</v>
      </c>
      <c r="AE43" s="22">
        <f ca="1">ROUND(FIRE1122_raw!AE43,0)</f>
        <v>0</v>
      </c>
      <c r="AF43" s="22" t="str">
        <f ca="1">IF(FIRE1122_raw!AF43="-","-",ROUND(FIRE1122_raw!AF43,0))</f>
        <v>-</v>
      </c>
      <c r="AG43" s="22"/>
      <c r="AH43" s="22">
        <f ca="1">ROUND(FIRE1122_raw!AH43,0)</f>
        <v>4</v>
      </c>
      <c r="AI43" s="22">
        <f ca="1">ROUND(FIRE1122_raw!AI43,0)</f>
        <v>6</v>
      </c>
      <c r="AJ43" s="22">
        <f ca="1">ROUND(FIRE1122_raw!AJ43,0)</f>
        <v>4</v>
      </c>
      <c r="AK43" s="22">
        <f ca="1">ROUND(FIRE1122_raw!AK43,0)</f>
        <v>5</v>
      </c>
      <c r="AL43" s="22">
        <f ca="1">ROUND(FIRE1122_raw!AL43,0)</f>
        <v>5</v>
      </c>
      <c r="AM43" s="22">
        <f ca="1">ROUND(FIRE1122_raw!AM43,0)</f>
        <v>0</v>
      </c>
      <c r="AN43" s="22">
        <f ca="1">IF(FIRE1122_raw!AN43="-","-",ROUND(FIRE1122_raw!AN43,0))</f>
        <v>40</v>
      </c>
      <c r="AO43" s="22"/>
      <c r="AP43" s="21">
        <f ca="1">ROUND(FIRE1122_raw!AP43,0)</f>
        <v>17</v>
      </c>
      <c r="AQ43" s="21">
        <f ca="1">ROUND(FIRE1122_raw!AQ43,0)</f>
        <v>30</v>
      </c>
      <c r="AR43" s="21">
        <f ca="1">ROUND(FIRE1122_raw!AR43,0)</f>
        <v>20</v>
      </c>
      <c r="AS43" s="21">
        <f ca="1">ROUND(FIRE1122_raw!AS43,0)</f>
        <v>8</v>
      </c>
      <c r="AT43" s="21">
        <f ca="1">ROUND(FIRE1122_raw!AT43,0)</f>
        <v>6</v>
      </c>
      <c r="AU43" s="21">
        <f ca="1">ROUND(FIRE1122_raw!AU43,0)</f>
        <v>0</v>
      </c>
      <c r="AV43" s="21">
        <f ca="1">IF(FIRE1122_raw!AV43="-","-",ROUND(FIRE1122_raw!AV43,0))</f>
        <v>34</v>
      </c>
      <c r="AW43" s="17"/>
      <c r="AX43" s="17"/>
      <c r="AY43" s="17"/>
      <c r="AZ43" s="17"/>
      <c r="BA43" s="17"/>
      <c r="BB43" s="17"/>
      <c r="BC43" s="17"/>
      <c r="BD43" s="17"/>
      <c r="BE43" s="17"/>
    </row>
    <row r="44" spans="1:57" s="7" customFormat="1" ht="15" customHeight="1" x14ac:dyDescent="0.35">
      <c r="A44" s="2" t="s">
        <v>49</v>
      </c>
      <c r="B44" s="22">
        <f ca="1">ROUND(FIRE1122_raw!B44,0)</f>
        <v>1</v>
      </c>
      <c r="C44" s="22">
        <f ca="1">ROUND(FIRE1122_raw!C44,0)</f>
        <v>7</v>
      </c>
      <c r="D44" s="22">
        <f ca="1">ROUND(FIRE1122_raw!D44,0)</f>
        <v>0</v>
      </c>
      <c r="E44" s="22">
        <f ca="1">ROUND(FIRE1122_raw!E44,0)</f>
        <v>0</v>
      </c>
      <c r="F44" s="22">
        <f ca="1">ROUND(FIRE1122_raw!F44,0)</f>
        <v>0</v>
      </c>
      <c r="G44" s="22">
        <f ca="1">ROUND(FIRE1122_raw!G44,0)</f>
        <v>0</v>
      </c>
      <c r="H44" s="22">
        <f ca="1">IF(FIRE1122_raw!H44="-","-",ROUND(FIRE1122_raw!H44,0))</f>
        <v>29</v>
      </c>
      <c r="I44" s="22"/>
      <c r="J44" s="22">
        <f ca="1">ROUND(FIRE1122_raw!J44,0)</f>
        <v>8</v>
      </c>
      <c r="K44" s="22">
        <f ca="1">ROUND(FIRE1122_raw!K44,0)</f>
        <v>22</v>
      </c>
      <c r="L44" s="22">
        <f ca="1">ROUND(FIRE1122_raw!L44,0)</f>
        <v>11</v>
      </c>
      <c r="M44" s="22">
        <f ca="1">ROUND(FIRE1122_raw!M44,0)</f>
        <v>4</v>
      </c>
      <c r="N44" s="22">
        <f ca="1">ROUND(FIRE1122_raw!N44,0)</f>
        <v>1</v>
      </c>
      <c r="O44" s="22">
        <f ca="1">ROUND(FIRE1122_raw!O44,0)</f>
        <v>0</v>
      </c>
      <c r="P44" s="22">
        <f ca="1">IF(FIRE1122_raw!P44="-","-",ROUND(FIRE1122_raw!P44,0))</f>
        <v>33</v>
      </c>
      <c r="Q44" s="22"/>
      <c r="R44" s="21">
        <f ca="1">ROUND(FIRE1122_raw!R44,0)</f>
        <v>9</v>
      </c>
      <c r="S44" s="21">
        <f ca="1">ROUND(FIRE1122_raw!S44,0)</f>
        <v>29</v>
      </c>
      <c r="T44" s="21">
        <f ca="1">ROUND(FIRE1122_raw!T44,0)</f>
        <v>11</v>
      </c>
      <c r="U44" s="21">
        <f ca="1">ROUND(FIRE1122_raw!U44,0)</f>
        <v>4</v>
      </c>
      <c r="V44" s="21">
        <f ca="1">ROUND(FIRE1122_raw!V44,0)</f>
        <v>1</v>
      </c>
      <c r="W44" s="21">
        <f ca="1">ROUND(FIRE1122_raw!W44,0)</f>
        <v>0</v>
      </c>
      <c r="X44" s="21">
        <f ca="1">IF(FIRE1122_raw!X44="-","-",ROUND(FIRE1122_raw!X44,0))</f>
        <v>32</v>
      </c>
      <c r="Y44" s="22"/>
      <c r="Z44" s="22">
        <f ca="1">ROUND(FIRE1122_raw!Z44,0)</f>
        <v>0</v>
      </c>
      <c r="AA44" s="22">
        <f ca="1">ROUND(FIRE1122_raw!AA44,0)</f>
        <v>0</v>
      </c>
      <c r="AB44" s="22">
        <f ca="1">ROUND(FIRE1122_raw!AB44,0)</f>
        <v>0</v>
      </c>
      <c r="AC44" s="22">
        <f ca="1">ROUND(FIRE1122_raw!AC44,0)</f>
        <v>0</v>
      </c>
      <c r="AD44" s="22">
        <f ca="1">ROUND(FIRE1122_raw!AD44,0)</f>
        <v>0</v>
      </c>
      <c r="AE44" s="22">
        <f ca="1">ROUND(FIRE1122_raw!AE44,0)</f>
        <v>0</v>
      </c>
      <c r="AF44" s="22" t="str">
        <f ca="1">IF(FIRE1122_raw!AF44="-","-",ROUND(FIRE1122_raw!AF44,0))</f>
        <v>-</v>
      </c>
      <c r="AG44" s="22"/>
      <c r="AH44" s="22">
        <f ca="1">ROUND(FIRE1122_raw!AH44,0)</f>
        <v>2</v>
      </c>
      <c r="AI44" s="22">
        <f ca="1">ROUND(FIRE1122_raw!AI44,0)</f>
        <v>0</v>
      </c>
      <c r="AJ44" s="22">
        <f ca="1">ROUND(FIRE1122_raw!AJ44,0)</f>
        <v>2</v>
      </c>
      <c r="AK44" s="22">
        <f ca="1">ROUND(FIRE1122_raw!AK44,0)</f>
        <v>0</v>
      </c>
      <c r="AL44" s="22">
        <f ca="1">ROUND(FIRE1122_raw!AL44,0)</f>
        <v>2</v>
      </c>
      <c r="AM44" s="22">
        <f ca="1">ROUND(FIRE1122_raw!AM44,0)</f>
        <v>0</v>
      </c>
      <c r="AN44" s="22">
        <f ca="1">IF(FIRE1122_raw!AN44="-","-",ROUND(FIRE1122_raw!AN44,0))</f>
        <v>39</v>
      </c>
      <c r="AO44" s="22"/>
      <c r="AP44" s="21">
        <f ca="1">ROUND(FIRE1122_raw!AP44,0)</f>
        <v>11</v>
      </c>
      <c r="AQ44" s="21">
        <f ca="1">ROUND(FIRE1122_raw!AQ44,0)</f>
        <v>29</v>
      </c>
      <c r="AR44" s="21">
        <f ca="1">ROUND(FIRE1122_raw!AR44,0)</f>
        <v>13</v>
      </c>
      <c r="AS44" s="21">
        <f ca="1">ROUND(FIRE1122_raw!AS44,0)</f>
        <v>4</v>
      </c>
      <c r="AT44" s="21">
        <f ca="1">ROUND(FIRE1122_raw!AT44,0)</f>
        <v>3</v>
      </c>
      <c r="AU44" s="21">
        <f ca="1">ROUND(FIRE1122_raw!AU44,0)</f>
        <v>0</v>
      </c>
      <c r="AV44" s="21">
        <f ca="1">IF(FIRE1122_raw!AV44="-","-",ROUND(FIRE1122_raw!AV44,0))</f>
        <v>33</v>
      </c>
      <c r="AW44" s="17"/>
      <c r="AX44" s="17"/>
      <c r="AY44" s="17"/>
      <c r="AZ44" s="17"/>
      <c r="BA44" s="17"/>
      <c r="BB44" s="17"/>
      <c r="BC44" s="17"/>
      <c r="BD44" s="17"/>
      <c r="BE44" s="17"/>
    </row>
    <row r="45" spans="1:57" s="7" customFormat="1" ht="15" customHeight="1" x14ac:dyDescent="0.35">
      <c r="A45" s="2" t="s">
        <v>50</v>
      </c>
      <c r="B45" s="22">
        <f ca="1">ROUND(FIRE1122_raw!B45,0)</f>
        <v>5</v>
      </c>
      <c r="C45" s="22">
        <f ca="1">ROUND(FIRE1122_raw!C45,0)</f>
        <v>17</v>
      </c>
      <c r="D45" s="22">
        <f ca="1">ROUND(FIRE1122_raw!D45,0)</f>
        <v>5</v>
      </c>
      <c r="E45" s="22">
        <f ca="1">ROUND(FIRE1122_raw!E45,0)</f>
        <v>3</v>
      </c>
      <c r="F45" s="22">
        <f ca="1">ROUND(FIRE1122_raw!F45,0)</f>
        <v>0</v>
      </c>
      <c r="G45" s="22">
        <f ca="1">ROUND(FIRE1122_raw!G45,0)</f>
        <v>0</v>
      </c>
      <c r="H45" s="22">
        <f ca="1">IF(FIRE1122_raw!H45="-","-",ROUND(FIRE1122_raw!H45,0))</f>
        <v>32</v>
      </c>
      <c r="I45" s="22"/>
      <c r="J45" s="22">
        <f ca="1">ROUND(FIRE1122_raw!J45,0)</f>
        <v>0</v>
      </c>
      <c r="K45" s="22">
        <f ca="1">ROUND(FIRE1122_raw!K45,0)</f>
        <v>7</v>
      </c>
      <c r="L45" s="22">
        <f ca="1">ROUND(FIRE1122_raw!L45,0)</f>
        <v>0</v>
      </c>
      <c r="M45" s="22">
        <f ca="1">ROUND(FIRE1122_raw!M45,0)</f>
        <v>0</v>
      </c>
      <c r="N45" s="22">
        <f ca="1">ROUND(FIRE1122_raw!N45,0)</f>
        <v>0</v>
      </c>
      <c r="O45" s="22">
        <f ca="1">ROUND(FIRE1122_raw!O45,0)</f>
        <v>0</v>
      </c>
      <c r="P45" s="22">
        <f ca="1">IF(FIRE1122_raw!P45="-","-",ROUND(FIRE1122_raw!P45,0))</f>
        <v>30</v>
      </c>
      <c r="Q45" s="22"/>
      <c r="R45" s="21">
        <f ca="1">ROUND(FIRE1122_raw!R45,0)</f>
        <v>5</v>
      </c>
      <c r="S45" s="21">
        <f ca="1">ROUND(FIRE1122_raw!S45,0)</f>
        <v>24</v>
      </c>
      <c r="T45" s="21">
        <f ca="1">ROUND(FIRE1122_raw!T45,0)</f>
        <v>5</v>
      </c>
      <c r="U45" s="21">
        <f ca="1">ROUND(FIRE1122_raw!U45,0)</f>
        <v>3</v>
      </c>
      <c r="V45" s="21">
        <f ca="1">ROUND(FIRE1122_raw!V45,0)</f>
        <v>0</v>
      </c>
      <c r="W45" s="21">
        <f ca="1">ROUND(FIRE1122_raw!W45,0)</f>
        <v>0</v>
      </c>
      <c r="X45" s="21">
        <f ca="1">IF(FIRE1122_raw!X45="-","-",ROUND(FIRE1122_raw!X45,0))</f>
        <v>32</v>
      </c>
      <c r="Y45" s="22"/>
      <c r="Z45" s="22">
        <f ca="1">ROUND(FIRE1122_raw!Z45,0)</f>
        <v>0</v>
      </c>
      <c r="AA45" s="22">
        <f ca="1">ROUND(FIRE1122_raw!AA45,0)</f>
        <v>3</v>
      </c>
      <c r="AB45" s="22">
        <f ca="1">ROUND(FIRE1122_raw!AB45,0)</f>
        <v>1</v>
      </c>
      <c r="AC45" s="22">
        <f ca="1">ROUND(FIRE1122_raw!AC45,0)</f>
        <v>0</v>
      </c>
      <c r="AD45" s="22">
        <f ca="1">ROUND(FIRE1122_raw!AD45,0)</f>
        <v>0</v>
      </c>
      <c r="AE45" s="22">
        <f ca="1">ROUND(FIRE1122_raw!AE45,0)</f>
        <v>0</v>
      </c>
      <c r="AF45" s="22">
        <f ca="1">IF(FIRE1122_raw!AF45="-","-",ROUND(FIRE1122_raw!AF45,0))</f>
        <v>33</v>
      </c>
      <c r="AG45" s="22"/>
      <c r="AH45" s="22">
        <f ca="1">ROUND(FIRE1122_raw!AH45,0)</f>
        <v>0</v>
      </c>
      <c r="AI45" s="22">
        <f ca="1">ROUND(FIRE1122_raw!AI45,0)</f>
        <v>0</v>
      </c>
      <c r="AJ45" s="22">
        <f ca="1">ROUND(FIRE1122_raw!AJ45,0)</f>
        <v>1</v>
      </c>
      <c r="AK45" s="22">
        <f ca="1">ROUND(FIRE1122_raw!AK45,0)</f>
        <v>15</v>
      </c>
      <c r="AL45" s="22">
        <f ca="1">ROUND(FIRE1122_raw!AL45,0)</f>
        <v>0</v>
      </c>
      <c r="AM45" s="22">
        <f ca="1">ROUND(FIRE1122_raw!AM45,0)</f>
        <v>0</v>
      </c>
      <c r="AN45" s="22">
        <f ca="1">IF(FIRE1122_raw!AN45="-","-",ROUND(FIRE1122_raw!AN45,0))</f>
        <v>50</v>
      </c>
      <c r="AO45" s="22"/>
      <c r="AP45" s="21">
        <f ca="1">ROUND(FIRE1122_raw!AP45,0)</f>
        <v>5</v>
      </c>
      <c r="AQ45" s="21">
        <f ca="1">ROUND(FIRE1122_raw!AQ45,0)</f>
        <v>27</v>
      </c>
      <c r="AR45" s="21">
        <f ca="1">ROUND(FIRE1122_raw!AR45,0)</f>
        <v>7</v>
      </c>
      <c r="AS45" s="21">
        <f ca="1">ROUND(FIRE1122_raw!AS45,0)</f>
        <v>18</v>
      </c>
      <c r="AT45" s="21">
        <f ca="1">ROUND(FIRE1122_raw!AT45,0)</f>
        <v>0</v>
      </c>
      <c r="AU45" s="21">
        <f ca="1">ROUND(FIRE1122_raw!AU45,0)</f>
        <v>0</v>
      </c>
      <c r="AV45" s="21">
        <f ca="1">IF(FIRE1122_raw!AV45="-","-",ROUND(FIRE1122_raw!AV45,0))</f>
        <v>37</v>
      </c>
      <c r="AW45" s="17"/>
      <c r="AX45" s="17"/>
      <c r="AY45" s="17"/>
      <c r="AZ45" s="17"/>
      <c r="BA45" s="17"/>
      <c r="BB45" s="17"/>
      <c r="BC45" s="17"/>
      <c r="BD45" s="17"/>
      <c r="BE45" s="17"/>
    </row>
    <row r="46" spans="1:57" s="7" customFormat="1" ht="15" customHeight="1" x14ac:dyDescent="0.35">
      <c r="A46" s="2" t="s">
        <v>51</v>
      </c>
      <c r="B46" s="22">
        <f ca="1">ROUND(FIRE1122_raw!B46,0)</f>
        <v>0</v>
      </c>
      <c r="C46" s="22">
        <f ca="1">ROUND(FIRE1122_raw!C46,0)</f>
        <v>4</v>
      </c>
      <c r="D46" s="22">
        <f ca="1">ROUND(FIRE1122_raw!D46,0)</f>
        <v>3</v>
      </c>
      <c r="E46" s="22">
        <f ca="1">ROUND(FIRE1122_raw!E46,0)</f>
        <v>5</v>
      </c>
      <c r="F46" s="22">
        <f ca="1">ROUND(FIRE1122_raw!F46,0)</f>
        <v>1</v>
      </c>
      <c r="G46" s="22">
        <f ca="1">ROUND(FIRE1122_raw!G46,0)</f>
        <v>0</v>
      </c>
      <c r="H46" s="22">
        <f ca="1">IF(FIRE1122_raw!H46="-","-",ROUND(FIRE1122_raw!H46,0))</f>
        <v>42</v>
      </c>
      <c r="I46" s="22"/>
      <c r="J46" s="22">
        <f ca="1">ROUND(FIRE1122_raw!J46,0)</f>
        <v>2</v>
      </c>
      <c r="K46" s="22">
        <f ca="1">ROUND(FIRE1122_raw!K46,0)</f>
        <v>11</v>
      </c>
      <c r="L46" s="22">
        <f ca="1">ROUND(FIRE1122_raw!L46,0)</f>
        <v>5</v>
      </c>
      <c r="M46" s="22">
        <f ca="1">ROUND(FIRE1122_raw!M46,0)</f>
        <v>1</v>
      </c>
      <c r="N46" s="22">
        <f ca="1">ROUND(FIRE1122_raw!N46,0)</f>
        <v>0</v>
      </c>
      <c r="O46" s="22">
        <f ca="1">ROUND(FIRE1122_raw!O46,0)</f>
        <v>0</v>
      </c>
      <c r="P46" s="22">
        <f ca="1">IF(FIRE1122_raw!P46="-","-",ROUND(FIRE1122_raw!P46,0))</f>
        <v>33</v>
      </c>
      <c r="Q46" s="22"/>
      <c r="R46" s="21">
        <f ca="1">ROUND(FIRE1122_raw!R46,0)</f>
        <v>2</v>
      </c>
      <c r="S46" s="21">
        <f ca="1">ROUND(FIRE1122_raw!S46,0)</f>
        <v>15</v>
      </c>
      <c r="T46" s="21">
        <f ca="1">ROUND(FIRE1122_raw!T46,0)</f>
        <v>8</v>
      </c>
      <c r="U46" s="21">
        <f ca="1">ROUND(FIRE1122_raw!U46,0)</f>
        <v>6</v>
      </c>
      <c r="V46" s="21">
        <f ca="1">ROUND(FIRE1122_raw!V46,0)</f>
        <v>1</v>
      </c>
      <c r="W46" s="21">
        <f ca="1">ROUND(FIRE1122_raw!W46,0)</f>
        <v>0</v>
      </c>
      <c r="X46" s="21">
        <f ca="1">IF(FIRE1122_raw!X46="-","-",ROUND(FIRE1122_raw!X46,0))</f>
        <v>37</v>
      </c>
      <c r="Y46" s="22"/>
      <c r="Z46" s="22">
        <f ca="1">ROUND(FIRE1122_raw!Z46,0)</f>
        <v>0</v>
      </c>
      <c r="AA46" s="22">
        <f ca="1">ROUND(FIRE1122_raw!AA46,0)</f>
        <v>0</v>
      </c>
      <c r="AB46" s="22">
        <f ca="1">ROUND(FIRE1122_raw!AB46,0)</f>
        <v>1</v>
      </c>
      <c r="AC46" s="22">
        <f ca="1">ROUND(FIRE1122_raw!AC46,0)</f>
        <v>0</v>
      </c>
      <c r="AD46" s="22">
        <f ca="1">ROUND(FIRE1122_raw!AD46,0)</f>
        <v>0</v>
      </c>
      <c r="AE46" s="22">
        <f ca="1">ROUND(FIRE1122_raw!AE46,0)</f>
        <v>0</v>
      </c>
      <c r="AF46" s="22">
        <f ca="1">IF(FIRE1122_raw!AF46="-","-",ROUND(FIRE1122_raw!AF46,0))</f>
        <v>41</v>
      </c>
      <c r="AG46" s="22"/>
      <c r="AH46" s="22">
        <f ca="1">ROUND(FIRE1122_raw!AH46,0)</f>
        <v>2</v>
      </c>
      <c r="AI46" s="22">
        <f ca="1">ROUND(FIRE1122_raw!AI46,0)</f>
        <v>1</v>
      </c>
      <c r="AJ46" s="22">
        <f ca="1">ROUND(FIRE1122_raw!AJ46,0)</f>
        <v>1</v>
      </c>
      <c r="AK46" s="22">
        <f ca="1">ROUND(FIRE1122_raw!AK46,0)</f>
        <v>7</v>
      </c>
      <c r="AL46" s="22">
        <f ca="1">ROUND(FIRE1122_raw!AL46,0)</f>
        <v>2</v>
      </c>
      <c r="AM46" s="22">
        <f ca="1">ROUND(FIRE1122_raw!AM46,0)</f>
        <v>0</v>
      </c>
      <c r="AN46" s="22">
        <f ca="1">IF(FIRE1122_raw!AN46="-","-",ROUND(FIRE1122_raw!AN46,0))</f>
        <v>44</v>
      </c>
      <c r="AO46" s="22"/>
      <c r="AP46" s="21">
        <f ca="1">ROUND(FIRE1122_raw!AP46,0)</f>
        <v>4</v>
      </c>
      <c r="AQ46" s="21">
        <f ca="1">ROUND(FIRE1122_raw!AQ46,0)</f>
        <v>16</v>
      </c>
      <c r="AR46" s="21">
        <f ca="1">ROUND(FIRE1122_raw!AR46,0)</f>
        <v>10</v>
      </c>
      <c r="AS46" s="21">
        <f ca="1">ROUND(FIRE1122_raw!AS46,0)</f>
        <v>13</v>
      </c>
      <c r="AT46" s="21">
        <f ca="1">ROUND(FIRE1122_raw!AT46,0)</f>
        <v>3</v>
      </c>
      <c r="AU46" s="21">
        <f ca="1">ROUND(FIRE1122_raw!AU46,0)</f>
        <v>0</v>
      </c>
      <c r="AV46" s="21">
        <f ca="1">IF(FIRE1122_raw!AV46="-","-",ROUND(FIRE1122_raw!AV46,0))</f>
        <v>39</v>
      </c>
      <c r="AW46" s="17"/>
      <c r="AX46" s="17"/>
      <c r="AY46" s="17"/>
      <c r="AZ46" s="17"/>
      <c r="BA46" s="17"/>
      <c r="BB46" s="17"/>
      <c r="BC46" s="17"/>
      <c r="BD46" s="17"/>
      <c r="BE46" s="17"/>
    </row>
    <row r="47" spans="1:57" s="7" customFormat="1" ht="15" customHeight="1" x14ac:dyDescent="0.35">
      <c r="A47" s="2" t="s">
        <v>52</v>
      </c>
      <c r="B47" s="22">
        <f ca="1">ROUND(FIRE1122_raw!B47,0)</f>
        <v>2</v>
      </c>
      <c r="C47" s="22">
        <f ca="1">ROUND(FIRE1122_raw!C47,0)</f>
        <v>11</v>
      </c>
      <c r="D47" s="22">
        <f ca="1">ROUND(FIRE1122_raw!D47,0)</f>
        <v>4</v>
      </c>
      <c r="E47" s="22">
        <f ca="1">ROUND(FIRE1122_raw!E47,0)</f>
        <v>0</v>
      </c>
      <c r="F47" s="22">
        <f ca="1">ROUND(FIRE1122_raw!F47,0)</f>
        <v>0</v>
      </c>
      <c r="G47" s="22">
        <f ca="1">ROUND(FIRE1122_raw!G47,0)</f>
        <v>0</v>
      </c>
      <c r="H47" s="22">
        <f ca="1">IF(FIRE1122_raw!H47="-","-",ROUND(FIRE1122_raw!H47,0))</f>
        <v>31</v>
      </c>
      <c r="I47" s="22"/>
      <c r="J47" s="22">
        <f ca="1">ROUND(FIRE1122_raw!J47,0)</f>
        <v>12</v>
      </c>
      <c r="K47" s="22">
        <f ca="1">ROUND(FIRE1122_raw!K47,0)</f>
        <v>20</v>
      </c>
      <c r="L47" s="22">
        <f ca="1">ROUND(FIRE1122_raw!L47,0)</f>
        <v>6</v>
      </c>
      <c r="M47" s="22">
        <f ca="1">ROUND(FIRE1122_raw!M47,0)</f>
        <v>4</v>
      </c>
      <c r="N47" s="22">
        <f ca="1">ROUND(FIRE1122_raw!N47,0)</f>
        <v>0</v>
      </c>
      <c r="O47" s="22">
        <f ca="1">ROUND(FIRE1122_raw!O47,0)</f>
        <v>0</v>
      </c>
      <c r="P47" s="22">
        <f ca="1">IF(FIRE1122_raw!P47="-","-",ROUND(FIRE1122_raw!P47,0))</f>
        <v>31</v>
      </c>
      <c r="Q47" s="22"/>
      <c r="R47" s="21">
        <f ca="1">ROUND(FIRE1122_raw!R47,0)</f>
        <v>14</v>
      </c>
      <c r="S47" s="21">
        <f ca="1">ROUND(FIRE1122_raw!S47,0)</f>
        <v>31</v>
      </c>
      <c r="T47" s="21">
        <f ca="1">ROUND(FIRE1122_raw!T47,0)</f>
        <v>10</v>
      </c>
      <c r="U47" s="21">
        <f ca="1">ROUND(FIRE1122_raw!U47,0)</f>
        <v>4</v>
      </c>
      <c r="V47" s="21">
        <f ca="1">ROUND(FIRE1122_raw!V47,0)</f>
        <v>0</v>
      </c>
      <c r="W47" s="21">
        <f ca="1">ROUND(FIRE1122_raw!W47,0)</f>
        <v>0</v>
      </c>
      <c r="X47" s="21">
        <f ca="1">IF(FIRE1122_raw!X47="-","-",ROUND(FIRE1122_raw!X47,0))</f>
        <v>31</v>
      </c>
      <c r="Y47" s="22"/>
      <c r="Z47" s="22">
        <f ca="1">ROUND(FIRE1122_raw!Z47,0)</f>
        <v>0</v>
      </c>
      <c r="AA47" s="22">
        <f ca="1">ROUND(FIRE1122_raw!AA47,0)</f>
        <v>0</v>
      </c>
      <c r="AB47" s="22">
        <f ca="1">ROUND(FIRE1122_raw!AB47,0)</f>
        <v>0</v>
      </c>
      <c r="AC47" s="22">
        <f ca="1">ROUND(FIRE1122_raw!AC47,0)</f>
        <v>0</v>
      </c>
      <c r="AD47" s="22">
        <f ca="1">ROUND(FIRE1122_raw!AD47,0)</f>
        <v>0</v>
      </c>
      <c r="AE47" s="22">
        <f ca="1">ROUND(FIRE1122_raw!AE47,0)</f>
        <v>0</v>
      </c>
      <c r="AF47" s="22" t="str">
        <f ca="1">IF(FIRE1122_raw!AF47="-","-",ROUND(FIRE1122_raw!AF47,0))</f>
        <v>-</v>
      </c>
      <c r="AG47" s="22"/>
      <c r="AH47" s="22">
        <f ca="1">ROUND(FIRE1122_raw!AH47,0)</f>
        <v>0</v>
      </c>
      <c r="AI47" s="22">
        <f ca="1">ROUND(FIRE1122_raw!AI47,0)</f>
        <v>2</v>
      </c>
      <c r="AJ47" s="22">
        <f ca="1">ROUND(FIRE1122_raw!AJ47,0)</f>
        <v>5</v>
      </c>
      <c r="AK47" s="22">
        <f ca="1">ROUND(FIRE1122_raw!AK47,0)</f>
        <v>4</v>
      </c>
      <c r="AL47" s="22">
        <f ca="1">ROUND(FIRE1122_raw!AL47,0)</f>
        <v>0</v>
      </c>
      <c r="AM47" s="22">
        <f ca="1">ROUND(FIRE1122_raw!AM47,0)</f>
        <v>0</v>
      </c>
      <c r="AN47" s="22">
        <f ca="1">IF(FIRE1122_raw!AN47="-","-",ROUND(FIRE1122_raw!AN47,0))</f>
        <v>42</v>
      </c>
      <c r="AO47" s="22"/>
      <c r="AP47" s="21">
        <f ca="1">ROUND(FIRE1122_raw!AP47,0)</f>
        <v>14</v>
      </c>
      <c r="AQ47" s="21">
        <f ca="1">ROUND(FIRE1122_raw!AQ47,0)</f>
        <v>33</v>
      </c>
      <c r="AR47" s="21">
        <f ca="1">ROUND(FIRE1122_raw!AR47,0)</f>
        <v>15</v>
      </c>
      <c r="AS47" s="21">
        <f ca="1">ROUND(FIRE1122_raw!AS47,0)</f>
        <v>8</v>
      </c>
      <c r="AT47" s="21">
        <f ca="1">ROUND(FIRE1122_raw!AT47,0)</f>
        <v>0</v>
      </c>
      <c r="AU47" s="21">
        <f ca="1">ROUND(FIRE1122_raw!AU47,0)</f>
        <v>0</v>
      </c>
      <c r="AV47" s="21">
        <f ca="1">IF(FIRE1122_raw!AV47="-","-",ROUND(FIRE1122_raw!AV47,0))</f>
        <v>33</v>
      </c>
      <c r="AW47" s="17"/>
      <c r="AX47" s="17"/>
      <c r="AY47" s="17"/>
      <c r="AZ47" s="17"/>
      <c r="BA47" s="17"/>
      <c r="BB47" s="17"/>
      <c r="BC47" s="17"/>
      <c r="BD47" s="17"/>
      <c r="BE47" s="17"/>
    </row>
    <row r="48" spans="1:57" s="7" customFormat="1" ht="15" customHeight="1" x14ac:dyDescent="0.35">
      <c r="A48" s="2" t="s">
        <v>53</v>
      </c>
      <c r="B48" s="22">
        <f ca="1">ROUND(FIRE1122_raw!B48,0)</f>
        <v>0</v>
      </c>
      <c r="C48" s="22">
        <f ca="1">ROUND(FIRE1122_raw!C48,0)</f>
        <v>0</v>
      </c>
      <c r="D48" s="22">
        <f ca="1">ROUND(FIRE1122_raw!D48,0)</f>
        <v>0</v>
      </c>
      <c r="E48" s="22">
        <f ca="1">ROUND(FIRE1122_raw!E48,0)</f>
        <v>0</v>
      </c>
      <c r="F48" s="22">
        <f ca="1">ROUND(FIRE1122_raw!F48,0)</f>
        <v>0</v>
      </c>
      <c r="G48" s="22">
        <f ca="1">ROUND(FIRE1122_raw!G48,0)</f>
        <v>0</v>
      </c>
      <c r="H48" s="22" t="str">
        <f ca="1">IF(FIRE1122_raw!H48="-","-",ROUND(FIRE1122_raw!H48,0))</f>
        <v>-</v>
      </c>
      <c r="I48" s="22"/>
      <c r="J48" s="22">
        <f ca="1">ROUND(FIRE1122_raw!J48,0)</f>
        <v>0</v>
      </c>
      <c r="K48" s="22">
        <f ca="1">ROUND(FIRE1122_raw!K48,0)</f>
        <v>2</v>
      </c>
      <c r="L48" s="22">
        <f ca="1">ROUND(FIRE1122_raw!L48,0)</f>
        <v>1</v>
      </c>
      <c r="M48" s="22">
        <f ca="1">ROUND(FIRE1122_raw!M48,0)</f>
        <v>0</v>
      </c>
      <c r="N48" s="22">
        <f ca="1">ROUND(FIRE1122_raw!N48,0)</f>
        <v>0</v>
      </c>
      <c r="O48" s="22">
        <f ca="1">ROUND(FIRE1122_raw!O48,0)</f>
        <v>0</v>
      </c>
      <c r="P48" s="22">
        <f ca="1">IF(FIRE1122_raw!P48="-","-",ROUND(FIRE1122_raw!P48,0))</f>
        <v>34</v>
      </c>
      <c r="Q48" s="22"/>
      <c r="R48" s="21">
        <f ca="1">ROUND(FIRE1122_raw!R48,0)</f>
        <v>0</v>
      </c>
      <c r="S48" s="21">
        <f ca="1">ROUND(FIRE1122_raw!S48,0)</f>
        <v>2</v>
      </c>
      <c r="T48" s="21">
        <f ca="1">ROUND(FIRE1122_raw!T48,0)</f>
        <v>1</v>
      </c>
      <c r="U48" s="21">
        <f ca="1">ROUND(FIRE1122_raw!U48,0)</f>
        <v>0</v>
      </c>
      <c r="V48" s="21">
        <f ca="1">ROUND(FIRE1122_raw!V48,0)</f>
        <v>0</v>
      </c>
      <c r="W48" s="21">
        <f ca="1">ROUND(FIRE1122_raw!W48,0)</f>
        <v>0</v>
      </c>
      <c r="X48" s="21">
        <f ca="1">IF(FIRE1122_raw!X48="-","-",ROUND(FIRE1122_raw!X48,0))</f>
        <v>34</v>
      </c>
      <c r="Y48" s="22"/>
      <c r="Z48" s="22">
        <f ca="1">ROUND(FIRE1122_raw!Z48,0)</f>
        <v>0</v>
      </c>
      <c r="AA48" s="22">
        <f ca="1">ROUND(FIRE1122_raw!AA48,0)</f>
        <v>0</v>
      </c>
      <c r="AB48" s="22">
        <f ca="1">ROUND(FIRE1122_raw!AB48,0)</f>
        <v>0</v>
      </c>
      <c r="AC48" s="22">
        <f ca="1">ROUND(FIRE1122_raw!AC48,0)</f>
        <v>0</v>
      </c>
      <c r="AD48" s="22">
        <f ca="1">ROUND(FIRE1122_raw!AD48,0)</f>
        <v>0</v>
      </c>
      <c r="AE48" s="22">
        <f ca="1">ROUND(FIRE1122_raw!AE48,0)</f>
        <v>0</v>
      </c>
      <c r="AF48" s="22" t="str">
        <f ca="1">IF(FIRE1122_raw!AF48="-","-",ROUND(FIRE1122_raw!AF48,0))</f>
        <v>-</v>
      </c>
      <c r="AG48" s="22"/>
      <c r="AH48" s="22">
        <f ca="1">ROUND(FIRE1122_raw!AH48,0)</f>
        <v>0</v>
      </c>
      <c r="AI48" s="22">
        <f ca="1">ROUND(FIRE1122_raw!AI48,0)</f>
        <v>0</v>
      </c>
      <c r="AJ48" s="22">
        <f ca="1">ROUND(FIRE1122_raw!AJ48,0)</f>
        <v>0</v>
      </c>
      <c r="AK48" s="22">
        <f ca="1">ROUND(FIRE1122_raw!AK48,0)</f>
        <v>0</v>
      </c>
      <c r="AL48" s="22">
        <f ca="1">ROUND(FIRE1122_raw!AL48,0)</f>
        <v>1</v>
      </c>
      <c r="AM48" s="22">
        <f ca="1">ROUND(FIRE1122_raw!AM48,0)</f>
        <v>0</v>
      </c>
      <c r="AN48" s="22">
        <f ca="1">IF(FIRE1122_raw!AN48="-","-",ROUND(FIRE1122_raw!AN48,0))</f>
        <v>56</v>
      </c>
      <c r="AO48" s="22"/>
      <c r="AP48" s="21">
        <f ca="1">ROUND(FIRE1122_raw!AP48,0)</f>
        <v>0</v>
      </c>
      <c r="AQ48" s="21">
        <f ca="1">ROUND(FIRE1122_raw!AQ48,0)</f>
        <v>2</v>
      </c>
      <c r="AR48" s="21">
        <f ca="1">ROUND(FIRE1122_raw!AR48,0)</f>
        <v>1</v>
      </c>
      <c r="AS48" s="21">
        <f ca="1">ROUND(FIRE1122_raw!AS48,0)</f>
        <v>0</v>
      </c>
      <c r="AT48" s="21">
        <f ca="1">ROUND(FIRE1122_raw!AT48,0)</f>
        <v>1</v>
      </c>
      <c r="AU48" s="21">
        <f ca="1">ROUND(FIRE1122_raw!AU48,0)</f>
        <v>0</v>
      </c>
      <c r="AV48" s="21">
        <f ca="1">IF(FIRE1122_raw!AV48="-","-",ROUND(FIRE1122_raw!AV48,0))</f>
        <v>39</v>
      </c>
      <c r="AW48" s="17"/>
      <c r="AX48" s="17"/>
      <c r="AY48" s="17"/>
      <c r="AZ48" s="17"/>
      <c r="BA48" s="17"/>
      <c r="BB48" s="17"/>
      <c r="BC48" s="17"/>
      <c r="BD48" s="17"/>
      <c r="BE48" s="17"/>
    </row>
    <row r="49" spans="1:57" s="7" customFormat="1" ht="15" customHeight="1" x14ac:dyDescent="0.35">
      <c r="A49" s="20" t="s">
        <v>54</v>
      </c>
      <c r="B49" s="21">
        <f ca="1">ROUND(FIRE1122_raw!B49,0)</f>
        <v>142</v>
      </c>
      <c r="C49" s="21">
        <f ca="1">ROUND(FIRE1122_raw!C49,0)</f>
        <v>528</v>
      </c>
      <c r="D49" s="21">
        <f ca="1">ROUND(FIRE1122_raw!D49,0)</f>
        <v>112</v>
      </c>
      <c r="E49" s="21">
        <f ca="1">ROUND(FIRE1122_raw!E49,0)</f>
        <v>25</v>
      </c>
      <c r="F49" s="21">
        <f ca="1">ROUND(FIRE1122_raw!F49,0)</f>
        <v>2</v>
      </c>
      <c r="G49" s="21">
        <f ca="1">ROUND(FIRE1122_raw!G49,0)</f>
        <v>0</v>
      </c>
      <c r="H49" s="21">
        <f ca="1">IF(FIRE1122_raw!H49="-","-",ROUND(FIRE1122_raw!H49,0))</f>
        <v>30</v>
      </c>
      <c r="I49" s="22"/>
      <c r="J49" s="21">
        <f ca="1">ROUND(FIRE1122_raw!J49,0)</f>
        <v>7</v>
      </c>
      <c r="K49" s="21">
        <f ca="1">ROUND(FIRE1122_raw!K49,0)</f>
        <v>24</v>
      </c>
      <c r="L49" s="21">
        <f ca="1">ROUND(FIRE1122_raw!L49,0)</f>
        <v>14</v>
      </c>
      <c r="M49" s="21">
        <f ca="1">ROUND(FIRE1122_raw!M49,0)</f>
        <v>2</v>
      </c>
      <c r="N49" s="21">
        <f ca="1">ROUND(FIRE1122_raw!N49,0)</f>
        <v>1</v>
      </c>
      <c r="O49" s="21">
        <f ca="1">ROUND(FIRE1122_raw!O49,0)</f>
        <v>0</v>
      </c>
      <c r="P49" s="21">
        <f ca="1">IF(FIRE1122_raw!P49="-","-",ROUND(FIRE1122_raw!P49,0))</f>
        <v>33</v>
      </c>
      <c r="Q49" s="22"/>
      <c r="R49" s="21">
        <f ca="1">ROUND(FIRE1122_raw!R49,0)</f>
        <v>149</v>
      </c>
      <c r="S49" s="21">
        <f ca="1">ROUND(FIRE1122_raw!S49,0)</f>
        <v>552</v>
      </c>
      <c r="T49" s="21">
        <f ca="1">ROUND(FIRE1122_raw!T49,0)</f>
        <v>126</v>
      </c>
      <c r="U49" s="21">
        <f ca="1">ROUND(FIRE1122_raw!U49,0)</f>
        <v>27</v>
      </c>
      <c r="V49" s="21">
        <f ca="1">ROUND(FIRE1122_raw!V49,0)</f>
        <v>3</v>
      </c>
      <c r="W49" s="21">
        <f ca="1">ROUND(FIRE1122_raw!W49,0)</f>
        <v>0</v>
      </c>
      <c r="X49" s="21">
        <f ca="1">IF(FIRE1122_raw!X49="-","-",ROUND(FIRE1122_raw!X49,0))</f>
        <v>31</v>
      </c>
      <c r="Y49" s="21"/>
      <c r="Z49" s="21">
        <f ca="1">ROUND(FIRE1122_raw!Z49,0)</f>
        <v>3</v>
      </c>
      <c r="AA49" s="21">
        <f ca="1">ROUND(FIRE1122_raw!AA49,0)</f>
        <v>6</v>
      </c>
      <c r="AB49" s="21">
        <f ca="1">ROUND(FIRE1122_raw!AB49,0)</f>
        <v>7</v>
      </c>
      <c r="AC49" s="21">
        <f ca="1">ROUND(FIRE1122_raw!AC49,0)</f>
        <v>4</v>
      </c>
      <c r="AD49" s="21">
        <f ca="1">ROUND(FIRE1122_raw!AD49,0)</f>
        <v>2</v>
      </c>
      <c r="AE49" s="21">
        <f ca="1">ROUND(FIRE1122_raw!AE49,0)</f>
        <v>0</v>
      </c>
      <c r="AF49" s="21">
        <f ca="1">IF(FIRE1122_raw!AF49="-","-",ROUND(FIRE1122_raw!AF49,0))</f>
        <v>38</v>
      </c>
      <c r="AG49" s="22"/>
      <c r="AH49" s="21">
        <f ca="1">ROUND(FIRE1122_raw!AH49,0)</f>
        <v>50</v>
      </c>
      <c r="AI49" s="21">
        <f ca="1">ROUND(FIRE1122_raw!AI49,0)</f>
        <v>104</v>
      </c>
      <c r="AJ49" s="21">
        <f ca="1">ROUND(FIRE1122_raw!AJ49,0)</f>
        <v>59</v>
      </c>
      <c r="AK49" s="21">
        <f ca="1">ROUND(FIRE1122_raw!AK49,0)</f>
        <v>80</v>
      </c>
      <c r="AL49" s="21">
        <f ca="1">ROUND(FIRE1122_raw!AL49,0)</f>
        <v>41</v>
      </c>
      <c r="AM49" s="21">
        <f ca="1">ROUND(FIRE1122_raw!AM49,0)</f>
        <v>0</v>
      </c>
      <c r="AN49" s="21">
        <f ca="1">IF(FIRE1122_raw!AN49="-","-",ROUND(FIRE1122_raw!AN49,0))</f>
        <v>38</v>
      </c>
      <c r="AO49" s="22"/>
      <c r="AP49" s="21">
        <f ca="1">ROUND(FIRE1122_raw!AP49,0)</f>
        <v>202</v>
      </c>
      <c r="AQ49" s="21">
        <f ca="1">ROUND(FIRE1122_raw!AQ49,0)</f>
        <v>662</v>
      </c>
      <c r="AR49" s="21">
        <f ca="1">ROUND(FIRE1122_raw!AR49,0)</f>
        <v>192</v>
      </c>
      <c r="AS49" s="21">
        <f ca="1">ROUND(FIRE1122_raw!AS49,0)</f>
        <v>111</v>
      </c>
      <c r="AT49" s="21">
        <f ca="1">ROUND(FIRE1122_raw!AT49,0)</f>
        <v>46</v>
      </c>
      <c r="AU49" s="21">
        <f ca="1">ROUND(FIRE1122_raw!AU49,0)</f>
        <v>0</v>
      </c>
      <c r="AV49" s="21">
        <f ca="1">IF(FIRE1122_raw!AV49="-","-",ROUND(FIRE1122_raw!AV49,0))</f>
        <v>33</v>
      </c>
      <c r="AW49" s="17"/>
      <c r="AX49" s="17"/>
      <c r="AY49" s="17"/>
      <c r="AZ49" s="17"/>
      <c r="BA49" s="17"/>
      <c r="BB49" s="17"/>
      <c r="BC49" s="17"/>
      <c r="BD49" s="17"/>
      <c r="BE49" s="17"/>
    </row>
    <row r="50" spans="1:57" s="7" customFormat="1" ht="15" customHeight="1" x14ac:dyDescent="0.35">
      <c r="A50" s="2" t="s">
        <v>55</v>
      </c>
      <c r="B50" s="22">
        <f ca="1">ROUND(FIRE1122_raw!B50,0)</f>
        <v>28</v>
      </c>
      <c r="C50" s="22">
        <f ca="1">ROUND(FIRE1122_raw!C50,0)</f>
        <v>82</v>
      </c>
      <c r="D50" s="22">
        <f ca="1">ROUND(FIRE1122_raw!D50,0)</f>
        <v>14</v>
      </c>
      <c r="E50" s="22">
        <f ca="1">ROUND(FIRE1122_raw!E50,0)</f>
        <v>0</v>
      </c>
      <c r="F50" s="22">
        <f ca="1">ROUND(FIRE1122_raw!F50,0)</f>
        <v>1</v>
      </c>
      <c r="G50" s="22">
        <f ca="1">ROUND(FIRE1122_raw!G50,0)</f>
        <v>0</v>
      </c>
      <c r="H50" s="22">
        <f ca="1">IF(FIRE1122_raw!H50="-","-",ROUND(FIRE1122_raw!H50,0))</f>
        <v>29</v>
      </c>
      <c r="I50" s="22"/>
      <c r="J50" s="22">
        <f ca="1">ROUND(FIRE1122_raw!J50,0)</f>
        <v>0</v>
      </c>
      <c r="K50" s="22">
        <f ca="1">ROUND(FIRE1122_raw!K50,0)</f>
        <v>0</v>
      </c>
      <c r="L50" s="22">
        <f ca="1">ROUND(FIRE1122_raw!L50,0)</f>
        <v>0</v>
      </c>
      <c r="M50" s="22">
        <f ca="1">ROUND(FIRE1122_raw!M50,0)</f>
        <v>0</v>
      </c>
      <c r="N50" s="22">
        <f ca="1">ROUND(FIRE1122_raw!N50,0)</f>
        <v>0</v>
      </c>
      <c r="O50" s="22">
        <f ca="1">ROUND(FIRE1122_raw!O50,0)</f>
        <v>0</v>
      </c>
      <c r="P50" s="22" t="str">
        <f ca="1">IF(FIRE1122_raw!P50="-","-",ROUND(FIRE1122_raw!P50,0))</f>
        <v>-</v>
      </c>
      <c r="Q50" s="22"/>
      <c r="R50" s="21">
        <f ca="1">ROUND(FIRE1122_raw!R50,0)</f>
        <v>28</v>
      </c>
      <c r="S50" s="21">
        <f ca="1">ROUND(FIRE1122_raw!S50,0)</f>
        <v>82</v>
      </c>
      <c r="T50" s="21">
        <f ca="1">ROUND(FIRE1122_raw!T50,0)</f>
        <v>14</v>
      </c>
      <c r="U50" s="21">
        <f ca="1">ROUND(FIRE1122_raw!U50,0)</f>
        <v>0</v>
      </c>
      <c r="V50" s="21">
        <f ca="1">ROUND(FIRE1122_raw!V50,0)</f>
        <v>1</v>
      </c>
      <c r="W50" s="21">
        <f ca="1">ROUND(FIRE1122_raw!W50,0)</f>
        <v>0</v>
      </c>
      <c r="X50" s="21">
        <f ca="1">IF(FIRE1122_raw!X50="-","-",ROUND(FIRE1122_raw!X50,0))</f>
        <v>29</v>
      </c>
      <c r="Y50" s="22"/>
      <c r="Z50" s="22">
        <f ca="1">ROUND(FIRE1122_raw!Z50,0)</f>
        <v>0</v>
      </c>
      <c r="AA50" s="22">
        <f ca="1">ROUND(FIRE1122_raw!AA50,0)</f>
        <v>0</v>
      </c>
      <c r="AB50" s="22">
        <f ca="1">ROUND(FIRE1122_raw!AB50,0)</f>
        <v>0</v>
      </c>
      <c r="AC50" s="22">
        <f ca="1">ROUND(FIRE1122_raw!AC50,0)</f>
        <v>0</v>
      </c>
      <c r="AD50" s="22">
        <f ca="1">ROUND(FIRE1122_raw!AD50,0)</f>
        <v>0</v>
      </c>
      <c r="AE50" s="22">
        <f ca="1">ROUND(FIRE1122_raw!AE50,0)</f>
        <v>0</v>
      </c>
      <c r="AF50" s="22" t="str">
        <f ca="1">IF(FIRE1122_raw!AF50="-","-",ROUND(FIRE1122_raw!AF50,0))</f>
        <v>-</v>
      </c>
      <c r="AG50" s="22"/>
      <c r="AH50" s="22">
        <f ca="1">ROUND(FIRE1122_raw!AH50,0)</f>
        <v>10</v>
      </c>
      <c r="AI50" s="22">
        <f ca="1">ROUND(FIRE1122_raw!AI50,0)</f>
        <v>17</v>
      </c>
      <c r="AJ50" s="22">
        <f ca="1">ROUND(FIRE1122_raw!AJ50,0)</f>
        <v>8</v>
      </c>
      <c r="AK50" s="22">
        <f ca="1">ROUND(FIRE1122_raw!AK50,0)</f>
        <v>16</v>
      </c>
      <c r="AL50" s="22">
        <f ca="1">ROUND(FIRE1122_raw!AL50,0)</f>
        <v>8</v>
      </c>
      <c r="AM50" s="22">
        <f ca="1">ROUND(FIRE1122_raw!AM50,0)</f>
        <v>0</v>
      </c>
      <c r="AN50" s="22">
        <f ca="1">IF(FIRE1122_raw!AN50="-","-",ROUND(FIRE1122_raw!AN50,0))</f>
        <v>39</v>
      </c>
      <c r="AO50" s="22"/>
      <c r="AP50" s="21">
        <f ca="1">ROUND(FIRE1122_raw!AP50,0)</f>
        <v>38</v>
      </c>
      <c r="AQ50" s="21">
        <f ca="1">ROUND(FIRE1122_raw!AQ50,0)</f>
        <v>99</v>
      </c>
      <c r="AR50" s="21">
        <f ca="1">ROUND(FIRE1122_raw!AR50,0)</f>
        <v>22</v>
      </c>
      <c r="AS50" s="21">
        <f ca="1">ROUND(FIRE1122_raw!AS50,0)</f>
        <v>16</v>
      </c>
      <c r="AT50" s="21">
        <f ca="1">ROUND(FIRE1122_raw!AT50,0)</f>
        <v>9</v>
      </c>
      <c r="AU50" s="21">
        <f ca="1">ROUND(FIRE1122_raw!AU50,0)</f>
        <v>0</v>
      </c>
      <c r="AV50" s="21">
        <f ca="1">IF(FIRE1122_raw!AV50="-","-",ROUND(FIRE1122_raw!AV50,0))</f>
        <v>32</v>
      </c>
      <c r="AW50" s="17"/>
      <c r="AX50" s="17"/>
      <c r="AY50" s="17"/>
      <c r="AZ50" s="17"/>
      <c r="BA50" s="17"/>
      <c r="BB50" s="17"/>
      <c r="BC50" s="17"/>
      <c r="BD50" s="17"/>
      <c r="BE50" s="17"/>
    </row>
    <row r="51" spans="1:57" s="7" customFormat="1" ht="15" customHeight="1" x14ac:dyDescent="0.35">
      <c r="A51" s="2" t="s">
        <v>56</v>
      </c>
      <c r="B51" s="22">
        <f ca="1">ROUND(FIRE1122_raw!B51,0)</f>
        <v>5</v>
      </c>
      <c r="C51" s="22">
        <f ca="1">ROUND(FIRE1122_raw!C51,0)</f>
        <v>31</v>
      </c>
      <c r="D51" s="22">
        <f ca="1">ROUND(FIRE1122_raw!D51,0)</f>
        <v>12</v>
      </c>
      <c r="E51" s="22">
        <f ca="1">ROUND(FIRE1122_raw!E51,0)</f>
        <v>3</v>
      </c>
      <c r="F51" s="22">
        <f ca="1">ROUND(FIRE1122_raw!F51,0)</f>
        <v>0</v>
      </c>
      <c r="G51" s="22">
        <f ca="1">ROUND(FIRE1122_raw!G51,0)</f>
        <v>0</v>
      </c>
      <c r="H51" s="22">
        <f ca="1">IF(FIRE1122_raw!H51="-","-",ROUND(FIRE1122_raw!H51,0))</f>
        <v>33</v>
      </c>
      <c r="I51" s="22"/>
      <c r="J51" s="22">
        <f ca="1">ROUND(FIRE1122_raw!J51,0)</f>
        <v>2</v>
      </c>
      <c r="K51" s="22">
        <f ca="1">ROUND(FIRE1122_raw!K51,0)</f>
        <v>14</v>
      </c>
      <c r="L51" s="22">
        <f ca="1">ROUND(FIRE1122_raw!L51,0)</f>
        <v>9</v>
      </c>
      <c r="M51" s="22">
        <f ca="1">ROUND(FIRE1122_raw!M51,0)</f>
        <v>0</v>
      </c>
      <c r="N51" s="22">
        <f ca="1">ROUND(FIRE1122_raw!N51,0)</f>
        <v>0</v>
      </c>
      <c r="O51" s="22">
        <f ca="1">ROUND(FIRE1122_raw!O51,0)</f>
        <v>0</v>
      </c>
      <c r="P51" s="22">
        <f ca="1">IF(FIRE1122_raw!P51="-","-",ROUND(FIRE1122_raw!P51,0))</f>
        <v>33</v>
      </c>
      <c r="Q51" s="22"/>
      <c r="R51" s="21">
        <f ca="1">ROUND(FIRE1122_raw!R51,0)</f>
        <v>7</v>
      </c>
      <c r="S51" s="21">
        <f ca="1">ROUND(FIRE1122_raw!S51,0)</f>
        <v>45</v>
      </c>
      <c r="T51" s="21">
        <f ca="1">ROUND(FIRE1122_raw!T51,0)</f>
        <v>21</v>
      </c>
      <c r="U51" s="21">
        <f ca="1">ROUND(FIRE1122_raw!U51,0)</f>
        <v>3</v>
      </c>
      <c r="V51" s="21">
        <f ca="1">ROUND(FIRE1122_raw!V51,0)</f>
        <v>0</v>
      </c>
      <c r="W51" s="21">
        <f ca="1">ROUND(FIRE1122_raw!W51,0)</f>
        <v>0</v>
      </c>
      <c r="X51" s="21">
        <f ca="1">IF(FIRE1122_raw!X51="-","-",ROUND(FIRE1122_raw!X51,0))</f>
        <v>33</v>
      </c>
      <c r="Y51" s="22"/>
      <c r="Z51" s="22">
        <f ca="1">ROUND(FIRE1122_raw!Z51,0)</f>
        <v>1</v>
      </c>
      <c r="AA51" s="22">
        <f ca="1">ROUND(FIRE1122_raw!AA51,0)</f>
        <v>1</v>
      </c>
      <c r="AB51" s="22">
        <f ca="1">ROUND(FIRE1122_raw!AB51,0)</f>
        <v>1</v>
      </c>
      <c r="AC51" s="22">
        <f ca="1">ROUND(FIRE1122_raw!AC51,0)</f>
        <v>2</v>
      </c>
      <c r="AD51" s="22">
        <f ca="1">ROUND(FIRE1122_raw!AD51,0)</f>
        <v>2</v>
      </c>
      <c r="AE51" s="22">
        <f ca="1">ROUND(FIRE1122_raw!AE51,0)</f>
        <v>0</v>
      </c>
      <c r="AF51" s="22">
        <f ca="1">IF(FIRE1122_raw!AF51="-","-",ROUND(FIRE1122_raw!AF51,0))</f>
        <v>43</v>
      </c>
      <c r="AG51" s="22"/>
      <c r="AH51" s="22">
        <f ca="1">ROUND(FIRE1122_raw!AH51,0)</f>
        <v>18</v>
      </c>
      <c r="AI51" s="22">
        <f ca="1">ROUND(FIRE1122_raw!AI51,0)</f>
        <v>11</v>
      </c>
      <c r="AJ51" s="22">
        <f ca="1">ROUND(FIRE1122_raw!AJ51,0)</f>
        <v>6</v>
      </c>
      <c r="AK51" s="22">
        <f ca="1">ROUND(FIRE1122_raw!AK51,0)</f>
        <v>17</v>
      </c>
      <c r="AL51" s="22">
        <f ca="1">ROUND(FIRE1122_raw!AL51,0)</f>
        <v>3</v>
      </c>
      <c r="AM51" s="22">
        <f ca="1">ROUND(FIRE1122_raw!AM51,0)</f>
        <v>0</v>
      </c>
      <c r="AN51" s="22">
        <f ca="1">IF(FIRE1122_raw!AN51="-","-",ROUND(FIRE1122_raw!AN51,0))</f>
        <v>36</v>
      </c>
      <c r="AO51" s="22"/>
      <c r="AP51" s="21">
        <f ca="1">ROUND(FIRE1122_raw!AP51,0)</f>
        <v>26</v>
      </c>
      <c r="AQ51" s="21">
        <f ca="1">ROUND(FIRE1122_raw!AQ51,0)</f>
        <v>57</v>
      </c>
      <c r="AR51" s="21">
        <f ca="1">ROUND(FIRE1122_raw!AR51,0)</f>
        <v>28</v>
      </c>
      <c r="AS51" s="21">
        <f ca="1">ROUND(FIRE1122_raw!AS51,0)</f>
        <v>22</v>
      </c>
      <c r="AT51" s="21">
        <f ca="1">ROUND(FIRE1122_raw!AT51,0)</f>
        <v>5</v>
      </c>
      <c r="AU51" s="21">
        <f ca="1">ROUND(FIRE1122_raw!AU51,0)</f>
        <v>0</v>
      </c>
      <c r="AV51" s="21">
        <f ca="1">IF(FIRE1122_raw!AV51="-","-",ROUND(FIRE1122_raw!AV51,0))</f>
        <v>34</v>
      </c>
      <c r="AW51" s="17"/>
      <c r="AX51" s="17"/>
      <c r="AY51" s="17"/>
      <c r="AZ51" s="17"/>
      <c r="BA51" s="17"/>
      <c r="BB51" s="17"/>
      <c r="BC51" s="17"/>
      <c r="BD51" s="17"/>
      <c r="BE51" s="17"/>
    </row>
    <row r="52" spans="1:57" s="7" customFormat="1" ht="15" customHeight="1" x14ac:dyDescent="0.35">
      <c r="A52" s="2" t="s">
        <v>57</v>
      </c>
      <c r="B52" s="22">
        <f ca="1">ROUND(FIRE1122_raw!B52,0)</f>
        <v>5</v>
      </c>
      <c r="C52" s="22">
        <f ca="1">ROUND(FIRE1122_raw!C52,0)</f>
        <v>15</v>
      </c>
      <c r="D52" s="22">
        <f ca="1">ROUND(FIRE1122_raw!D52,0)</f>
        <v>3</v>
      </c>
      <c r="E52" s="22">
        <f ca="1">ROUND(FIRE1122_raw!E52,0)</f>
        <v>0</v>
      </c>
      <c r="F52" s="22">
        <f ca="1">ROUND(FIRE1122_raw!F52,0)</f>
        <v>0</v>
      </c>
      <c r="G52" s="22">
        <f ca="1">ROUND(FIRE1122_raw!G52,0)</f>
        <v>0</v>
      </c>
      <c r="H52" s="22">
        <f ca="1">IF(FIRE1122_raw!H52="-","-",ROUND(FIRE1122_raw!H52,0))</f>
        <v>29</v>
      </c>
      <c r="I52" s="22"/>
      <c r="J52" s="22">
        <f ca="1">ROUND(FIRE1122_raw!J52,0)</f>
        <v>0</v>
      </c>
      <c r="K52" s="22">
        <f ca="1">ROUND(FIRE1122_raw!K52,0)</f>
        <v>0</v>
      </c>
      <c r="L52" s="22">
        <f ca="1">ROUND(FIRE1122_raw!L52,0)</f>
        <v>1</v>
      </c>
      <c r="M52" s="22">
        <f ca="1">ROUND(FIRE1122_raw!M52,0)</f>
        <v>0</v>
      </c>
      <c r="N52" s="22">
        <f ca="1">ROUND(FIRE1122_raw!N52,0)</f>
        <v>0</v>
      </c>
      <c r="O52" s="22">
        <f ca="1">ROUND(FIRE1122_raw!O52,0)</f>
        <v>0</v>
      </c>
      <c r="P52" s="22">
        <f ca="1">IF(FIRE1122_raw!P52="-","-",ROUND(FIRE1122_raw!P52,0))</f>
        <v>41</v>
      </c>
      <c r="Q52" s="22"/>
      <c r="R52" s="21">
        <f ca="1">ROUND(FIRE1122_raw!R52,0)</f>
        <v>5</v>
      </c>
      <c r="S52" s="21">
        <f ca="1">ROUND(FIRE1122_raw!S52,0)</f>
        <v>15</v>
      </c>
      <c r="T52" s="21">
        <f ca="1">ROUND(FIRE1122_raw!T52,0)</f>
        <v>4</v>
      </c>
      <c r="U52" s="21">
        <f ca="1">ROUND(FIRE1122_raw!U52,0)</f>
        <v>0</v>
      </c>
      <c r="V52" s="21">
        <f ca="1">ROUND(FIRE1122_raw!V52,0)</f>
        <v>0</v>
      </c>
      <c r="W52" s="21">
        <f ca="1">ROUND(FIRE1122_raw!W52,0)</f>
        <v>0</v>
      </c>
      <c r="X52" s="21">
        <f ca="1">IF(FIRE1122_raw!X52="-","-",ROUND(FIRE1122_raw!X52,0))</f>
        <v>30</v>
      </c>
      <c r="Y52" s="22"/>
      <c r="Z52" s="22">
        <f ca="1">ROUND(FIRE1122_raw!Z52,0)</f>
        <v>0</v>
      </c>
      <c r="AA52" s="22">
        <f ca="1">ROUND(FIRE1122_raw!AA52,0)</f>
        <v>0</v>
      </c>
      <c r="AB52" s="22">
        <f ca="1">ROUND(FIRE1122_raw!AB52,0)</f>
        <v>0</v>
      </c>
      <c r="AC52" s="22">
        <f ca="1">ROUND(FIRE1122_raw!AC52,0)</f>
        <v>0</v>
      </c>
      <c r="AD52" s="22">
        <f ca="1">ROUND(FIRE1122_raw!AD52,0)</f>
        <v>0</v>
      </c>
      <c r="AE52" s="22">
        <f ca="1">ROUND(FIRE1122_raw!AE52,0)</f>
        <v>0</v>
      </c>
      <c r="AF52" s="22" t="str">
        <f ca="1">IF(FIRE1122_raw!AF52="-","-",ROUND(FIRE1122_raw!AF52,0))</f>
        <v>-</v>
      </c>
      <c r="AG52" s="22"/>
      <c r="AH52" s="22">
        <f ca="1">ROUND(FIRE1122_raw!AH52,0)</f>
        <v>1</v>
      </c>
      <c r="AI52" s="22">
        <f ca="1">ROUND(FIRE1122_raw!AI52,0)</f>
        <v>8</v>
      </c>
      <c r="AJ52" s="22">
        <f ca="1">ROUND(FIRE1122_raw!AJ52,0)</f>
        <v>1</v>
      </c>
      <c r="AK52" s="22">
        <f ca="1">ROUND(FIRE1122_raw!AK52,0)</f>
        <v>4</v>
      </c>
      <c r="AL52" s="22">
        <f ca="1">ROUND(FIRE1122_raw!AL52,0)</f>
        <v>3</v>
      </c>
      <c r="AM52" s="22">
        <f ca="1">ROUND(FIRE1122_raw!AM52,0)</f>
        <v>0</v>
      </c>
      <c r="AN52" s="22">
        <f ca="1">IF(FIRE1122_raw!AN52="-","-",ROUND(FIRE1122_raw!AN52,0))</f>
        <v>39</v>
      </c>
      <c r="AO52" s="22"/>
      <c r="AP52" s="21">
        <f ca="1">ROUND(FIRE1122_raw!AP52,0)</f>
        <v>6</v>
      </c>
      <c r="AQ52" s="21">
        <f ca="1">ROUND(FIRE1122_raw!AQ52,0)</f>
        <v>23</v>
      </c>
      <c r="AR52" s="21">
        <f ca="1">ROUND(FIRE1122_raw!AR52,0)</f>
        <v>5</v>
      </c>
      <c r="AS52" s="21">
        <f ca="1">ROUND(FIRE1122_raw!AS52,0)</f>
        <v>4</v>
      </c>
      <c r="AT52" s="21">
        <f ca="1">ROUND(FIRE1122_raw!AT52,0)</f>
        <v>3</v>
      </c>
      <c r="AU52" s="21">
        <f ca="1">ROUND(FIRE1122_raw!AU52,0)</f>
        <v>0</v>
      </c>
      <c r="AV52" s="21">
        <f ca="1">IF(FIRE1122_raw!AV52="-","-",ROUND(FIRE1122_raw!AV52,0))</f>
        <v>34</v>
      </c>
      <c r="AW52" s="17"/>
      <c r="AX52" s="17"/>
      <c r="AY52" s="17"/>
      <c r="AZ52" s="17"/>
      <c r="BA52" s="17"/>
      <c r="BB52" s="17"/>
      <c r="BC52" s="17"/>
      <c r="BD52" s="17"/>
      <c r="BE52" s="17"/>
    </row>
    <row r="53" spans="1:57" s="7" customFormat="1" ht="15" customHeight="1" x14ac:dyDescent="0.35">
      <c r="A53" s="2" t="s">
        <v>58</v>
      </c>
      <c r="B53" s="22">
        <f ca="1">ROUND(FIRE1122_raw!B53,0)</f>
        <v>4</v>
      </c>
      <c r="C53" s="22">
        <f ca="1">ROUND(FIRE1122_raw!C53,0)</f>
        <v>13</v>
      </c>
      <c r="D53" s="22">
        <f ca="1">ROUND(FIRE1122_raw!D53,0)</f>
        <v>8</v>
      </c>
      <c r="E53" s="22">
        <f ca="1">ROUND(FIRE1122_raw!E53,0)</f>
        <v>1</v>
      </c>
      <c r="F53" s="22">
        <f ca="1">ROUND(FIRE1122_raw!F53,0)</f>
        <v>0</v>
      </c>
      <c r="G53" s="22">
        <f ca="1">ROUND(FIRE1122_raw!G53,0)</f>
        <v>0</v>
      </c>
      <c r="H53" s="22">
        <f ca="1">IF(FIRE1122_raw!H53="-","-",ROUND(FIRE1122_raw!H53,0))</f>
        <v>32</v>
      </c>
      <c r="I53" s="22"/>
      <c r="J53" s="22">
        <f ca="1">ROUND(FIRE1122_raw!J53,0)</f>
        <v>0</v>
      </c>
      <c r="K53" s="22">
        <f ca="1">ROUND(FIRE1122_raw!K53,0)</f>
        <v>0</v>
      </c>
      <c r="L53" s="22">
        <f ca="1">ROUND(FIRE1122_raw!L53,0)</f>
        <v>0</v>
      </c>
      <c r="M53" s="22">
        <f ca="1">ROUND(FIRE1122_raw!M53,0)</f>
        <v>0</v>
      </c>
      <c r="N53" s="22">
        <f ca="1">ROUND(FIRE1122_raw!N53,0)</f>
        <v>0</v>
      </c>
      <c r="O53" s="22">
        <f ca="1">ROUND(FIRE1122_raw!O53,0)</f>
        <v>0</v>
      </c>
      <c r="P53" s="22" t="str">
        <f ca="1">IF(FIRE1122_raw!P53="-","-",ROUND(FIRE1122_raw!P53,0))</f>
        <v>-</v>
      </c>
      <c r="Q53" s="22"/>
      <c r="R53" s="21">
        <f ca="1">ROUND(FIRE1122_raw!R53,0)</f>
        <v>4</v>
      </c>
      <c r="S53" s="21">
        <f ca="1">ROUND(FIRE1122_raw!S53,0)</f>
        <v>13</v>
      </c>
      <c r="T53" s="21">
        <f ca="1">ROUND(FIRE1122_raw!T53,0)</f>
        <v>8</v>
      </c>
      <c r="U53" s="21">
        <f ca="1">ROUND(FIRE1122_raw!U53,0)</f>
        <v>1</v>
      </c>
      <c r="V53" s="21">
        <f ca="1">ROUND(FIRE1122_raw!V53,0)</f>
        <v>0</v>
      </c>
      <c r="W53" s="21">
        <f ca="1">ROUND(FIRE1122_raw!W53,0)</f>
        <v>0</v>
      </c>
      <c r="X53" s="21">
        <f ca="1">IF(FIRE1122_raw!X53="-","-",ROUND(FIRE1122_raw!X53,0))</f>
        <v>32</v>
      </c>
      <c r="Y53" s="22"/>
      <c r="Z53" s="22">
        <f ca="1">ROUND(FIRE1122_raw!Z53,0)</f>
        <v>0</v>
      </c>
      <c r="AA53" s="22">
        <f ca="1">ROUND(FIRE1122_raw!AA53,0)</f>
        <v>1</v>
      </c>
      <c r="AB53" s="22">
        <f ca="1">ROUND(FIRE1122_raw!AB53,0)</f>
        <v>4</v>
      </c>
      <c r="AC53" s="22">
        <f ca="1">ROUND(FIRE1122_raw!AC53,0)</f>
        <v>0</v>
      </c>
      <c r="AD53" s="22">
        <f ca="1">ROUND(FIRE1122_raw!AD53,0)</f>
        <v>0</v>
      </c>
      <c r="AE53" s="22">
        <f ca="1">ROUND(FIRE1122_raw!AE53,0)</f>
        <v>0</v>
      </c>
      <c r="AF53" s="22">
        <f ca="1">IF(FIRE1122_raw!AF53="-","-",ROUND(FIRE1122_raw!AF53,0))</f>
        <v>38</v>
      </c>
      <c r="AG53" s="22"/>
      <c r="AH53" s="22">
        <f ca="1">ROUND(FIRE1122_raw!AH53,0)</f>
        <v>3</v>
      </c>
      <c r="AI53" s="22">
        <f ca="1">ROUND(FIRE1122_raw!AI53,0)</f>
        <v>8</v>
      </c>
      <c r="AJ53" s="22">
        <f ca="1">ROUND(FIRE1122_raw!AJ53,0)</f>
        <v>8</v>
      </c>
      <c r="AK53" s="22">
        <f ca="1">ROUND(FIRE1122_raw!AK53,0)</f>
        <v>5</v>
      </c>
      <c r="AL53" s="22">
        <f ca="1">ROUND(FIRE1122_raw!AL53,0)</f>
        <v>7</v>
      </c>
      <c r="AM53" s="22">
        <f ca="1">ROUND(FIRE1122_raw!AM53,0)</f>
        <v>0</v>
      </c>
      <c r="AN53" s="22">
        <f ca="1">IF(FIRE1122_raw!AN53="-","-",ROUND(FIRE1122_raw!AN53,0))</f>
        <v>41</v>
      </c>
      <c r="AO53" s="22"/>
      <c r="AP53" s="21">
        <f ca="1">ROUND(FIRE1122_raw!AP53,0)</f>
        <v>7</v>
      </c>
      <c r="AQ53" s="21">
        <f ca="1">ROUND(FIRE1122_raw!AQ53,0)</f>
        <v>22</v>
      </c>
      <c r="AR53" s="21">
        <f ca="1">ROUND(FIRE1122_raw!AR53,0)</f>
        <v>20</v>
      </c>
      <c r="AS53" s="21">
        <f ca="1">ROUND(FIRE1122_raw!AS53,0)</f>
        <v>6</v>
      </c>
      <c r="AT53" s="21">
        <f ca="1">ROUND(FIRE1122_raw!AT53,0)</f>
        <v>7</v>
      </c>
      <c r="AU53" s="21">
        <f ca="1">ROUND(FIRE1122_raw!AU53,0)</f>
        <v>0</v>
      </c>
      <c r="AV53" s="21">
        <f ca="1">IF(FIRE1122_raw!AV53="-","-",ROUND(FIRE1122_raw!AV53,0))</f>
        <v>37</v>
      </c>
      <c r="AW53" s="17"/>
      <c r="AX53" s="17"/>
      <c r="AY53" s="17"/>
      <c r="AZ53" s="17"/>
      <c r="BA53" s="17"/>
      <c r="BB53" s="17"/>
      <c r="BC53" s="17"/>
      <c r="BD53" s="17"/>
      <c r="BE53" s="17"/>
    </row>
    <row r="54" spans="1:57" s="7" customFormat="1" ht="15" customHeight="1" x14ac:dyDescent="0.35">
      <c r="A54" s="2" t="s">
        <v>59</v>
      </c>
      <c r="B54" s="22">
        <f ca="1">ROUND(FIRE1122_raw!B54,0)</f>
        <v>11</v>
      </c>
      <c r="C54" s="22">
        <f ca="1">ROUND(FIRE1122_raw!C54,0)</f>
        <v>59</v>
      </c>
      <c r="D54" s="22">
        <f ca="1">ROUND(FIRE1122_raw!D54,0)</f>
        <v>17</v>
      </c>
      <c r="E54" s="22">
        <f ca="1">ROUND(FIRE1122_raw!E54,0)</f>
        <v>3</v>
      </c>
      <c r="F54" s="22">
        <f ca="1">ROUND(FIRE1122_raw!F54,0)</f>
        <v>0</v>
      </c>
      <c r="G54" s="22">
        <f ca="1">ROUND(FIRE1122_raw!G54,0)</f>
        <v>0</v>
      </c>
      <c r="H54" s="22">
        <f ca="1">IF(FIRE1122_raw!H54="-","-",ROUND(FIRE1122_raw!H54,0))</f>
        <v>31</v>
      </c>
      <c r="I54" s="22"/>
      <c r="J54" s="22">
        <f ca="1">ROUND(FIRE1122_raw!J54,0)</f>
        <v>0</v>
      </c>
      <c r="K54" s="22">
        <f ca="1">ROUND(FIRE1122_raw!K54,0)</f>
        <v>0</v>
      </c>
      <c r="L54" s="22">
        <f ca="1">ROUND(FIRE1122_raw!L54,0)</f>
        <v>0</v>
      </c>
      <c r="M54" s="22">
        <f ca="1">ROUND(FIRE1122_raw!M54,0)</f>
        <v>0</v>
      </c>
      <c r="N54" s="22">
        <f ca="1">ROUND(FIRE1122_raw!N54,0)</f>
        <v>0</v>
      </c>
      <c r="O54" s="22">
        <f ca="1">ROUND(FIRE1122_raw!O54,0)</f>
        <v>0</v>
      </c>
      <c r="P54" s="22" t="str">
        <f ca="1">IF(FIRE1122_raw!P54="-","-",ROUND(FIRE1122_raw!P54,0))</f>
        <v>-</v>
      </c>
      <c r="Q54" s="22"/>
      <c r="R54" s="21">
        <f ca="1">ROUND(FIRE1122_raw!R54,0)</f>
        <v>11</v>
      </c>
      <c r="S54" s="21">
        <f ca="1">ROUND(FIRE1122_raw!S54,0)</f>
        <v>59</v>
      </c>
      <c r="T54" s="21">
        <f ca="1">ROUND(FIRE1122_raw!T54,0)</f>
        <v>17</v>
      </c>
      <c r="U54" s="21">
        <f ca="1">ROUND(FIRE1122_raw!U54,0)</f>
        <v>3</v>
      </c>
      <c r="V54" s="21">
        <f ca="1">ROUND(FIRE1122_raw!V54,0)</f>
        <v>0</v>
      </c>
      <c r="W54" s="21">
        <f ca="1">ROUND(FIRE1122_raw!W54,0)</f>
        <v>0</v>
      </c>
      <c r="X54" s="21">
        <f ca="1">IF(FIRE1122_raw!X54="-","-",ROUND(FIRE1122_raw!X54,0))</f>
        <v>31</v>
      </c>
      <c r="Y54" s="22"/>
      <c r="Z54" s="22">
        <f ca="1">ROUND(FIRE1122_raw!Z54,0)</f>
        <v>0</v>
      </c>
      <c r="AA54" s="22">
        <f ca="1">ROUND(FIRE1122_raw!AA54,0)</f>
        <v>0</v>
      </c>
      <c r="AB54" s="22">
        <f ca="1">ROUND(FIRE1122_raw!AB54,0)</f>
        <v>0</v>
      </c>
      <c r="AC54" s="22">
        <f ca="1">ROUND(FIRE1122_raw!AC54,0)</f>
        <v>0</v>
      </c>
      <c r="AD54" s="22">
        <f ca="1">ROUND(FIRE1122_raw!AD54,0)</f>
        <v>0</v>
      </c>
      <c r="AE54" s="22">
        <f ca="1">ROUND(FIRE1122_raw!AE54,0)</f>
        <v>0</v>
      </c>
      <c r="AF54" s="22" t="str">
        <f ca="1">IF(FIRE1122_raw!AF54="-","-",ROUND(FIRE1122_raw!AF54,0))</f>
        <v>-</v>
      </c>
      <c r="AG54" s="22"/>
      <c r="AH54" s="22">
        <f ca="1">ROUND(FIRE1122_raw!AH54,0)</f>
        <v>1</v>
      </c>
      <c r="AI54" s="22">
        <f ca="1">ROUND(FIRE1122_raw!AI54,0)</f>
        <v>5</v>
      </c>
      <c r="AJ54" s="22">
        <f ca="1">ROUND(FIRE1122_raw!AJ54,0)</f>
        <v>5</v>
      </c>
      <c r="AK54" s="22">
        <f ca="1">ROUND(FIRE1122_raw!AK54,0)</f>
        <v>8</v>
      </c>
      <c r="AL54" s="22">
        <f ca="1">ROUND(FIRE1122_raw!AL54,0)</f>
        <v>1</v>
      </c>
      <c r="AM54" s="22">
        <f ca="1">ROUND(FIRE1122_raw!AM54,0)</f>
        <v>0</v>
      </c>
      <c r="AN54" s="22">
        <f ca="1">IF(FIRE1122_raw!AN54="-","-",ROUND(FIRE1122_raw!AN54,0))</f>
        <v>42</v>
      </c>
      <c r="AO54" s="22"/>
      <c r="AP54" s="21">
        <f ca="1">ROUND(FIRE1122_raw!AP54,0)</f>
        <v>12</v>
      </c>
      <c r="AQ54" s="21">
        <f ca="1">ROUND(FIRE1122_raw!AQ54,0)</f>
        <v>64</v>
      </c>
      <c r="AR54" s="21">
        <f ca="1">ROUND(FIRE1122_raw!AR54,0)</f>
        <v>22</v>
      </c>
      <c r="AS54" s="21">
        <f ca="1">ROUND(FIRE1122_raw!AS54,0)</f>
        <v>11</v>
      </c>
      <c r="AT54" s="21">
        <f ca="1">ROUND(FIRE1122_raw!AT54,0)</f>
        <v>1</v>
      </c>
      <c r="AU54" s="21">
        <f ca="1">ROUND(FIRE1122_raw!AU54,0)</f>
        <v>0</v>
      </c>
      <c r="AV54" s="21">
        <f ca="1">IF(FIRE1122_raw!AV54="-","-",ROUND(FIRE1122_raw!AV54,0))</f>
        <v>33</v>
      </c>
      <c r="AW54" s="17"/>
      <c r="AX54" s="17"/>
      <c r="AY54" s="17"/>
      <c r="AZ54" s="17"/>
      <c r="BA54" s="17"/>
      <c r="BB54" s="17"/>
      <c r="BC54" s="17"/>
      <c r="BD54" s="17"/>
      <c r="BE54" s="17"/>
    </row>
    <row r="55" spans="1:57" s="7" customFormat="1" ht="15" customHeight="1" x14ac:dyDescent="0.35">
      <c r="A55" s="2" t="s">
        <v>60</v>
      </c>
      <c r="B55" s="22">
        <f ca="1">ROUND(FIRE1122_raw!B55,0)</f>
        <v>9</v>
      </c>
      <c r="C55" s="22">
        <f ca="1">ROUND(FIRE1122_raw!C55,0)</f>
        <v>45</v>
      </c>
      <c r="D55" s="22">
        <f ca="1">ROUND(FIRE1122_raw!D55,0)</f>
        <v>12</v>
      </c>
      <c r="E55" s="22">
        <f ca="1">ROUND(FIRE1122_raw!E55,0)</f>
        <v>0</v>
      </c>
      <c r="F55" s="22">
        <f ca="1">ROUND(FIRE1122_raw!F55,0)</f>
        <v>0</v>
      </c>
      <c r="G55" s="22">
        <f ca="1">ROUND(FIRE1122_raw!G55,0)</f>
        <v>0</v>
      </c>
      <c r="H55" s="22">
        <f ca="1">IF(FIRE1122_raw!H55="-","-",ROUND(FIRE1122_raw!H55,0))</f>
        <v>31</v>
      </c>
      <c r="I55" s="22"/>
      <c r="J55" s="22">
        <f ca="1">ROUND(FIRE1122_raw!J55,0)</f>
        <v>5</v>
      </c>
      <c r="K55" s="22">
        <f ca="1">ROUND(FIRE1122_raw!K55,0)</f>
        <v>10</v>
      </c>
      <c r="L55" s="22">
        <f ca="1">ROUND(FIRE1122_raw!L55,0)</f>
        <v>4</v>
      </c>
      <c r="M55" s="22">
        <f ca="1">ROUND(FIRE1122_raw!M55,0)</f>
        <v>2</v>
      </c>
      <c r="N55" s="22">
        <f ca="1">ROUND(FIRE1122_raw!N55,0)</f>
        <v>1</v>
      </c>
      <c r="O55" s="22">
        <f ca="1">ROUND(FIRE1122_raw!O55,0)</f>
        <v>0</v>
      </c>
      <c r="P55" s="22">
        <f ca="1">IF(FIRE1122_raw!P55="-","-",ROUND(FIRE1122_raw!P55,0))</f>
        <v>33</v>
      </c>
      <c r="Q55" s="22"/>
      <c r="R55" s="21">
        <f ca="1">ROUND(FIRE1122_raw!R55,0)</f>
        <v>14</v>
      </c>
      <c r="S55" s="21">
        <f ca="1">ROUND(FIRE1122_raw!S55,0)</f>
        <v>55</v>
      </c>
      <c r="T55" s="21">
        <f ca="1">ROUND(FIRE1122_raw!T55,0)</f>
        <v>16</v>
      </c>
      <c r="U55" s="21">
        <f ca="1">ROUND(FIRE1122_raw!U55,0)</f>
        <v>2</v>
      </c>
      <c r="V55" s="21">
        <f ca="1">ROUND(FIRE1122_raw!V55,0)</f>
        <v>1</v>
      </c>
      <c r="W55" s="21">
        <f ca="1">ROUND(FIRE1122_raw!W55,0)</f>
        <v>0</v>
      </c>
      <c r="X55" s="21">
        <f ca="1">IF(FIRE1122_raw!X55="-","-",ROUND(FIRE1122_raw!X55,0))</f>
        <v>31</v>
      </c>
      <c r="Y55" s="22"/>
      <c r="Z55" s="22">
        <f ca="1">ROUND(FIRE1122_raw!Z55,0)</f>
        <v>0</v>
      </c>
      <c r="AA55" s="22">
        <f ca="1">ROUND(FIRE1122_raw!AA55,0)</f>
        <v>3</v>
      </c>
      <c r="AB55" s="22">
        <f ca="1">ROUND(FIRE1122_raw!AB55,0)</f>
        <v>1</v>
      </c>
      <c r="AC55" s="22">
        <f ca="1">ROUND(FIRE1122_raw!AC55,0)</f>
        <v>1</v>
      </c>
      <c r="AD55" s="22">
        <f ca="1">ROUND(FIRE1122_raw!AD55,0)</f>
        <v>0</v>
      </c>
      <c r="AE55" s="22">
        <f ca="1">ROUND(FIRE1122_raw!AE55,0)</f>
        <v>0</v>
      </c>
      <c r="AF55" s="22">
        <f ca="1">IF(FIRE1122_raw!AF55="-","-",ROUND(FIRE1122_raw!AF55,0))</f>
        <v>36</v>
      </c>
      <c r="AG55" s="22"/>
      <c r="AH55" s="22">
        <f ca="1">ROUND(FIRE1122_raw!AH55,0)</f>
        <v>4</v>
      </c>
      <c r="AI55" s="22">
        <f ca="1">ROUND(FIRE1122_raw!AI55,0)</f>
        <v>16</v>
      </c>
      <c r="AJ55" s="22">
        <f ca="1">ROUND(FIRE1122_raw!AJ55,0)</f>
        <v>11</v>
      </c>
      <c r="AK55" s="22">
        <f ca="1">ROUND(FIRE1122_raw!AK55,0)</f>
        <v>10</v>
      </c>
      <c r="AL55" s="22">
        <f ca="1">ROUND(FIRE1122_raw!AL55,0)</f>
        <v>3</v>
      </c>
      <c r="AM55" s="22">
        <f ca="1">ROUND(FIRE1122_raw!AM55,0)</f>
        <v>0</v>
      </c>
      <c r="AN55" s="22">
        <f ca="1">IF(FIRE1122_raw!AN55="-","-",ROUND(FIRE1122_raw!AN55,0))</f>
        <v>38</v>
      </c>
      <c r="AO55" s="22"/>
      <c r="AP55" s="21">
        <f ca="1">ROUND(FIRE1122_raw!AP55,0)</f>
        <v>18</v>
      </c>
      <c r="AQ55" s="21">
        <f ca="1">ROUND(FIRE1122_raw!AQ55,0)</f>
        <v>74</v>
      </c>
      <c r="AR55" s="21">
        <f ca="1">ROUND(FIRE1122_raw!AR55,0)</f>
        <v>28</v>
      </c>
      <c r="AS55" s="21">
        <f ca="1">ROUND(FIRE1122_raw!AS55,0)</f>
        <v>13</v>
      </c>
      <c r="AT55" s="21">
        <f ca="1">ROUND(FIRE1122_raw!AT55,0)</f>
        <v>4</v>
      </c>
      <c r="AU55" s="21">
        <f ca="1">ROUND(FIRE1122_raw!AU55,0)</f>
        <v>0</v>
      </c>
      <c r="AV55" s="21">
        <f ca="1">IF(FIRE1122_raw!AV55="-","-",ROUND(FIRE1122_raw!AV55,0))</f>
        <v>34</v>
      </c>
      <c r="AW55" s="17"/>
      <c r="AX55" s="17"/>
      <c r="AY55" s="17"/>
      <c r="AZ55" s="17"/>
      <c r="BA55" s="17"/>
      <c r="BB55" s="17"/>
      <c r="BC55" s="17"/>
      <c r="BD55" s="17"/>
      <c r="BE55" s="17"/>
    </row>
    <row r="56" spans="1:57" s="7" customFormat="1" ht="15" customHeight="1" thickBot="1" x14ac:dyDescent="0.4">
      <c r="A56" s="25" t="s">
        <v>61</v>
      </c>
      <c r="B56" s="22">
        <f ca="1">ROUND(FIRE1122_raw!B56,0)</f>
        <v>80</v>
      </c>
      <c r="C56" s="22">
        <f ca="1">ROUND(FIRE1122_raw!C56,0)</f>
        <v>283</v>
      </c>
      <c r="D56" s="22">
        <f ca="1">ROUND(FIRE1122_raw!D56,0)</f>
        <v>46</v>
      </c>
      <c r="E56" s="22">
        <f ca="1">ROUND(FIRE1122_raw!E56,0)</f>
        <v>18</v>
      </c>
      <c r="F56" s="22">
        <f ca="1">ROUND(FIRE1122_raw!F56,0)</f>
        <v>1</v>
      </c>
      <c r="G56" s="22">
        <f ca="1">ROUND(FIRE1122_raw!G56,0)</f>
        <v>0</v>
      </c>
      <c r="H56" s="26">
        <f ca="1">IF(FIRE1122_raw!H56="-","-",ROUND(FIRE1122_raw!H56,0))</f>
        <v>30</v>
      </c>
      <c r="I56" s="26"/>
      <c r="J56" s="26">
        <f ca="1">ROUND(FIRE1122_raw!J56,0)</f>
        <v>0</v>
      </c>
      <c r="K56" s="26">
        <f ca="1">ROUND(FIRE1122_raw!K56,0)</f>
        <v>0</v>
      </c>
      <c r="L56" s="26">
        <f ca="1">ROUND(FIRE1122_raw!L56,0)</f>
        <v>0</v>
      </c>
      <c r="M56" s="26">
        <f ca="1">ROUND(FIRE1122_raw!M56,0)</f>
        <v>0</v>
      </c>
      <c r="N56" s="26">
        <f ca="1">ROUND(FIRE1122_raw!N56,0)</f>
        <v>0</v>
      </c>
      <c r="O56" s="26">
        <f ca="1">ROUND(FIRE1122_raw!O56,0)</f>
        <v>0</v>
      </c>
      <c r="P56" s="26" t="str">
        <f ca="1">IF(FIRE1122_raw!P56="-","-",ROUND(FIRE1122_raw!P56,0))</f>
        <v>-</v>
      </c>
      <c r="Q56" s="26"/>
      <c r="R56" s="29">
        <f ca="1">ROUND(FIRE1122_raw!R56,0)</f>
        <v>80</v>
      </c>
      <c r="S56" s="29">
        <f ca="1">ROUND(FIRE1122_raw!S56,0)</f>
        <v>283</v>
      </c>
      <c r="T56" s="29">
        <f ca="1">ROUND(FIRE1122_raw!T56,0)</f>
        <v>46</v>
      </c>
      <c r="U56" s="29">
        <f ca="1">ROUND(FIRE1122_raw!U56,0)</f>
        <v>18</v>
      </c>
      <c r="V56" s="29">
        <f ca="1">ROUND(FIRE1122_raw!V56,0)</f>
        <v>1</v>
      </c>
      <c r="W56" s="29">
        <f ca="1">ROUND(FIRE1122_raw!W56,0)</f>
        <v>0</v>
      </c>
      <c r="X56" s="29">
        <f ca="1">IF(FIRE1122_raw!X56="-","-",ROUND(FIRE1122_raw!X56,0))</f>
        <v>30</v>
      </c>
      <c r="Y56" s="26"/>
      <c r="Z56" s="26">
        <f ca="1">ROUND(FIRE1122_raw!Z56,0)</f>
        <v>2</v>
      </c>
      <c r="AA56" s="26">
        <f ca="1">ROUND(FIRE1122_raw!AA56,0)</f>
        <v>1</v>
      </c>
      <c r="AB56" s="26">
        <f ca="1">ROUND(FIRE1122_raw!AB56,0)</f>
        <v>1</v>
      </c>
      <c r="AC56" s="26">
        <f ca="1">ROUND(FIRE1122_raw!AC56,0)</f>
        <v>1</v>
      </c>
      <c r="AD56" s="26">
        <f ca="1">ROUND(FIRE1122_raw!AD56,0)</f>
        <v>0</v>
      </c>
      <c r="AE56" s="26">
        <f ca="1">ROUND(FIRE1122_raw!AE56,0)</f>
        <v>0</v>
      </c>
      <c r="AF56" s="26">
        <f ca="1">IF(FIRE1122_raw!AF56="-","-",ROUND(FIRE1122_raw!AF56,0))</f>
        <v>32</v>
      </c>
      <c r="AG56" s="26"/>
      <c r="AH56" s="26">
        <f ca="1">ROUND(FIRE1122_raw!AH56,0)</f>
        <v>13</v>
      </c>
      <c r="AI56" s="26">
        <f ca="1">ROUND(FIRE1122_raw!AI56,0)</f>
        <v>39</v>
      </c>
      <c r="AJ56" s="26">
        <f ca="1">ROUND(FIRE1122_raw!AJ56,0)</f>
        <v>20</v>
      </c>
      <c r="AK56" s="26">
        <f ca="1">ROUND(FIRE1122_raw!AK56,0)</f>
        <v>20</v>
      </c>
      <c r="AL56" s="26">
        <f ca="1">ROUND(FIRE1122_raw!AL56,0)</f>
        <v>16</v>
      </c>
      <c r="AM56" s="26">
        <f ca="1">ROUND(FIRE1122_raw!AM56,0)</f>
        <v>0</v>
      </c>
      <c r="AN56" s="26">
        <f ca="1">IF(FIRE1122_raw!AN56="-","-",ROUND(FIRE1122_raw!AN56,0))</f>
        <v>38</v>
      </c>
      <c r="AO56" s="26"/>
      <c r="AP56" s="29">
        <f ca="1">ROUND(FIRE1122_raw!AP56,0)</f>
        <v>95</v>
      </c>
      <c r="AQ56" s="29">
        <f ca="1">ROUND(FIRE1122_raw!AQ56,0)</f>
        <v>323</v>
      </c>
      <c r="AR56" s="29">
        <f ca="1">ROUND(FIRE1122_raw!AR56,0)</f>
        <v>67</v>
      </c>
      <c r="AS56" s="29">
        <f ca="1">ROUND(FIRE1122_raw!AS56,0)</f>
        <v>39</v>
      </c>
      <c r="AT56" s="29">
        <f ca="1">ROUND(FIRE1122_raw!AT56,0)</f>
        <v>17</v>
      </c>
      <c r="AU56" s="29">
        <f ca="1">ROUND(FIRE1122_raw!AU56,0)</f>
        <v>0</v>
      </c>
      <c r="AV56" s="29">
        <f ca="1">IF(FIRE1122_raw!AV56="-","-",ROUND(FIRE1122_raw!AV56,0))</f>
        <v>32</v>
      </c>
      <c r="AW56" s="17"/>
      <c r="AX56" s="17"/>
      <c r="AY56" s="17"/>
      <c r="AZ56" s="17"/>
      <c r="BA56" s="17"/>
      <c r="BB56" s="17"/>
      <c r="BC56" s="17"/>
      <c r="BD56" s="17"/>
      <c r="BE56" s="17"/>
    </row>
    <row r="57" spans="1:57" s="7" customFormat="1" ht="15" customHeight="1" x14ac:dyDescent="0.35">
      <c r="A57" s="46"/>
      <c r="B57" s="46"/>
      <c r="C57" s="46"/>
      <c r="D57" s="46"/>
      <c r="E57" s="46"/>
      <c r="F57" s="46"/>
      <c r="G57" s="46"/>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17"/>
      <c r="AX57" s="17"/>
      <c r="AY57" s="17"/>
    </row>
    <row r="58" spans="1:57" x14ac:dyDescent="0.35">
      <c r="A58" s="49" t="s">
        <v>62</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2"/>
      <c r="AB58" s="2"/>
      <c r="AC58" s="2"/>
      <c r="AD58" s="2"/>
      <c r="AE58" s="2"/>
      <c r="AF58" s="2"/>
      <c r="AG58" s="2"/>
      <c r="AH58" s="2"/>
      <c r="AI58" s="2"/>
      <c r="AJ58" s="2"/>
      <c r="AK58" s="2"/>
      <c r="AL58" s="2"/>
      <c r="AM58" s="2"/>
      <c r="AN58" s="2"/>
      <c r="AO58" s="2"/>
      <c r="AP58" s="2"/>
      <c r="AQ58" s="2"/>
      <c r="AR58" s="2"/>
      <c r="AS58" s="2"/>
      <c r="AT58" s="2"/>
      <c r="AU58" s="2"/>
      <c r="AV58" s="2"/>
    </row>
    <row r="59" spans="1:57" x14ac:dyDescent="0.35">
      <c r="A59" s="49" t="s">
        <v>98</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2"/>
      <c r="AB59" s="2"/>
      <c r="AC59" s="2"/>
      <c r="AD59" s="2"/>
      <c r="AE59" s="2"/>
      <c r="AF59" s="2"/>
      <c r="AG59" s="2"/>
      <c r="AH59" s="2"/>
      <c r="AI59" s="2"/>
      <c r="AJ59" s="2"/>
      <c r="AK59" s="2"/>
      <c r="AL59" s="2"/>
      <c r="AM59" s="2"/>
      <c r="AN59" s="2"/>
      <c r="AO59" s="2"/>
      <c r="AP59" s="2"/>
      <c r="AQ59" s="2"/>
      <c r="AR59" s="2"/>
      <c r="AS59" s="2"/>
      <c r="AT59" s="2"/>
      <c r="AU59" s="2"/>
      <c r="AV59" s="2"/>
    </row>
    <row r="60" spans="1:57" x14ac:dyDescent="0.35">
      <c r="A60" s="53" t="s">
        <v>100</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2"/>
      <c r="AB60" s="2"/>
      <c r="AC60" s="2"/>
      <c r="AD60" s="2"/>
      <c r="AE60" s="2"/>
      <c r="AF60" s="2"/>
      <c r="AG60" s="2"/>
      <c r="AH60" s="2"/>
      <c r="AI60" s="2"/>
      <c r="AJ60" s="2"/>
      <c r="AK60" s="2"/>
      <c r="AL60" s="2"/>
      <c r="AM60" s="2"/>
      <c r="AN60" s="2"/>
      <c r="AO60" s="2"/>
      <c r="AP60" s="2"/>
      <c r="AQ60" s="2"/>
      <c r="AR60" s="2"/>
      <c r="AS60" s="2"/>
      <c r="AT60" s="2"/>
      <c r="AU60" s="2"/>
      <c r="AV60" s="2"/>
    </row>
    <row r="61" spans="1:57" x14ac:dyDescent="0.35">
      <c r="A61" s="94"/>
      <c r="B61" s="94"/>
      <c r="C61" s="94"/>
      <c r="D61" s="94"/>
      <c r="E61" s="94"/>
      <c r="F61" s="94"/>
      <c r="G61" s="94"/>
      <c r="H61" s="94"/>
      <c r="I61" s="94"/>
      <c r="J61" s="94"/>
      <c r="K61" s="94"/>
      <c r="L61" s="94"/>
      <c r="M61" s="94"/>
      <c r="N61" s="94"/>
      <c r="O61" s="94"/>
      <c r="P61" s="94"/>
      <c r="Q61" s="94"/>
      <c r="R61" s="94"/>
      <c r="S61" s="94"/>
      <c r="T61" s="94"/>
      <c r="U61" s="94"/>
      <c r="V61" s="94"/>
      <c r="W61" s="94"/>
      <c r="X61" s="94"/>
      <c r="Y61" s="2"/>
      <c r="Z61" s="2"/>
      <c r="AA61" s="2"/>
      <c r="AB61" s="2"/>
      <c r="AC61" s="2"/>
      <c r="AD61" s="2"/>
      <c r="AE61" s="2"/>
      <c r="AF61" s="2"/>
      <c r="AG61" s="2"/>
      <c r="AH61" s="2"/>
      <c r="AI61" s="2"/>
      <c r="AJ61" s="2"/>
      <c r="AK61" s="2"/>
      <c r="AL61" s="2"/>
      <c r="AM61" s="2"/>
      <c r="AN61" s="2"/>
      <c r="AO61" s="2"/>
      <c r="AP61" s="2"/>
      <c r="AQ61" s="2"/>
      <c r="AR61" s="2"/>
      <c r="AS61" s="2"/>
      <c r="AT61" s="2"/>
      <c r="AU61" s="2"/>
      <c r="AV61" s="2"/>
    </row>
    <row r="62" spans="1:57" x14ac:dyDescent="0.35">
      <c r="A62" s="48" t="s">
        <v>63</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row>
    <row r="63" spans="1:57" x14ac:dyDescent="0.35">
      <c r="A63" s="95" t="s">
        <v>90</v>
      </c>
      <c r="B63" s="95"/>
      <c r="C63" s="95"/>
      <c r="D63" s="95"/>
      <c r="E63" s="95"/>
      <c r="F63" s="95"/>
      <c r="G63" s="95"/>
      <c r="H63" s="95"/>
      <c r="I63" s="95"/>
      <c r="J63" s="95"/>
      <c r="K63" s="95"/>
      <c r="L63" s="95"/>
      <c r="M63" s="95"/>
      <c r="N63" s="95"/>
      <c r="O63" s="95"/>
      <c r="P63" s="95"/>
      <c r="Q63" s="95"/>
      <c r="R63" s="95"/>
      <c r="S63" s="95"/>
      <c r="T63" s="95"/>
      <c r="U63" s="95"/>
      <c r="V63" s="95"/>
      <c r="W63" s="95"/>
      <c r="X63" s="95"/>
      <c r="Y63" s="2"/>
      <c r="Z63" s="2"/>
      <c r="AA63" s="2"/>
      <c r="AB63" s="2"/>
      <c r="AC63" s="2"/>
      <c r="AD63" s="2"/>
      <c r="AE63" s="2"/>
      <c r="AF63" s="2"/>
      <c r="AG63" s="2"/>
      <c r="AH63" s="2"/>
      <c r="AI63" s="2"/>
      <c r="AJ63" s="2"/>
      <c r="AK63" s="2"/>
      <c r="AL63" s="2"/>
      <c r="AM63" s="2"/>
      <c r="AN63" s="2"/>
      <c r="AO63" s="2"/>
      <c r="AP63" s="2"/>
      <c r="AQ63" s="2"/>
      <c r="AR63" s="2"/>
      <c r="AS63" s="2"/>
      <c r="AT63" s="2"/>
      <c r="AU63" s="2"/>
      <c r="AV63" s="2"/>
    </row>
    <row r="64" spans="1:57" x14ac:dyDescent="0.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row>
    <row r="65" spans="1:48" x14ac:dyDescent="0.35">
      <c r="A65" s="2" t="s">
        <v>64</v>
      </c>
      <c r="B65" s="49"/>
      <c r="C65" s="49"/>
      <c r="D65" s="49"/>
      <c r="E65" s="49"/>
      <c r="F65" s="49"/>
      <c r="G65" s="49"/>
      <c r="H65" s="49"/>
      <c r="I65" s="49"/>
      <c r="J65" s="49"/>
      <c r="K65" s="49"/>
      <c r="L65" s="49"/>
      <c r="M65" s="49"/>
      <c r="N65" s="49"/>
      <c r="O65" s="49"/>
      <c r="P65" s="49"/>
      <c r="Q65" s="49"/>
      <c r="R65" s="49"/>
      <c r="S65" s="49"/>
      <c r="T65" s="49"/>
      <c r="U65" s="49"/>
      <c r="V65" s="49"/>
      <c r="W65" s="49"/>
      <c r="X65" s="49"/>
      <c r="Y65" s="2"/>
      <c r="Z65" s="2"/>
      <c r="AA65" s="2"/>
      <c r="AB65" s="2"/>
      <c r="AC65" s="2"/>
      <c r="AD65" s="2"/>
      <c r="AE65" s="2"/>
      <c r="AF65" s="2"/>
      <c r="AG65" s="2"/>
      <c r="AH65" s="2"/>
      <c r="AI65" s="2"/>
      <c r="AJ65" s="2"/>
      <c r="AK65" s="2"/>
      <c r="AL65" s="2"/>
      <c r="AM65" s="2"/>
      <c r="AN65" s="2"/>
      <c r="AO65" s="2"/>
      <c r="AP65" s="2"/>
      <c r="AQ65" s="2"/>
      <c r="AR65" s="2"/>
      <c r="AS65" s="2"/>
      <c r="AT65" s="2"/>
      <c r="AU65" s="2"/>
      <c r="AV65" s="2"/>
    </row>
    <row r="66" spans="1:48" x14ac:dyDescent="0.35">
      <c r="A66" s="50" t="s">
        <v>65</v>
      </c>
      <c r="B66" s="49"/>
      <c r="C66" s="49"/>
      <c r="D66" s="49"/>
      <c r="E66" s="49"/>
      <c r="F66" s="49"/>
      <c r="G66" s="49"/>
      <c r="H66" s="49"/>
      <c r="I66" s="49"/>
      <c r="J66" s="49"/>
      <c r="K66" s="49"/>
      <c r="L66" s="49"/>
      <c r="M66" s="49"/>
      <c r="N66" s="49"/>
      <c r="O66" s="49"/>
      <c r="P66" s="49"/>
      <c r="Q66" s="49"/>
      <c r="R66" s="49"/>
      <c r="S66" s="49"/>
      <c r="T66" s="49"/>
      <c r="U66" s="49"/>
      <c r="V66" s="49"/>
      <c r="W66" s="49"/>
      <c r="X66" s="49"/>
      <c r="Y66" s="2"/>
      <c r="Z66" s="2"/>
      <c r="AA66" s="2"/>
      <c r="AB66" s="2"/>
      <c r="AC66" s="2"/>
      <c r="AD66" s="2"/>
      <c r="AE66" s="2"/>
      <c r="AF66" s="2"/>
      <c r="AG66" s="2"/>
      <c r="AH66" s="2"/>
      <c r="AI66" s="2"/>
      <c r="AJ66" s="2"/>
      <c r="AK66" s="2"/>
      <c r="AL66" s="2"/>
      <c r="AM66" s="2"/>
      <c r="AN66" s="2"/>
      <c r="AO66" s="2"/>
      <c r="AP66" s="2"/>
      <c r="AQ66" s="2"/>
      <c r="AR66" s="2"/>
      <c r="AS66" s="2"/>
      <c r="AT66" s="2"/>
      <c r="AU66" s="2"/>
      <c r="AV66" s="2"/>
    </row>
    <row r="67" spans="1:48"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row>
    <row r="68" spans="1:48" x14ac:dyDescent="0.35">
      <c r="A68" s="96" t="s">
        <v>66</v>
      </c>
      <c r="B68" s="96"/>
      <c r="C68" s="96"/>
      <c r="D68" s="96"/>
      <c r="E68" s="96"/>
      <c r="F68" s="96"/>
      <c r="G68" s="96"/>
      <c r="H68" s="96"/>
      <c r="I68" s="96"/>
      <c r="J68" s="96"/>
      <c r="K68" s="96"/>
      <c r="L68" s="96"/>
      <c r="M68" s="96"/>
      <c r="N68" s="96"/>
      <c r="O68" s="96"/>
      <c r="P68" s="96"/>
      <c r="Q68" s="96"/>
      <c r="R68" s="96"/>
      <c r="S68" s="96"/>
      <c r="T68" s="96"/>
      <c r="U68" s="96"/>
      <c r="V68" s="96"/>
      <c r="W68" s="96"/>
      <c r="X68" s="96"/>
      <c r="Y68" s="2"/>
      <c r="Z68" s="2"/>
      <c r="AA68" s="2"/>
      <c r="AB68" s="2"/>
      <c r="AC68" s="2"/>
      <c r="AD68" s="2"/>
      <c r="AE68" s="2"/>
      <c r="AF68" s="2"/>
      <c r="AG68" s="2"/>
      <c r="AH68" s="2"/>
      <c r="AI68" s="2"/>
      <c r="AJ68" s="2"/>
      <c r="AK68" s="2"/>
      <c r="AL68" s="2"/>
      <c r="AM68" s="2"/>
      <c r="AN68" s="2"/>
      <c r="AO68" s="2"/>
      <c r="AP68" s="2"/>
      <c r="AQ68" s="2"/>
      <c r="AR68" s="2"/>
      <c r="AS68" s="2"/>
      <c r="AT68" s="2"/>
      <c r="AU68" s="2"/>
      <c r="AV68" s="2"/>
    </row>
    <row r="69" spans="1:48" x14ac:dyDescent="0.35">
      <c r="A69" s="50"/>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3"/>
    </row>
    <row r="70" spans="1:48" ht="14.5" customHeight="1" x14ac:dyDescent="0.35">
      <c r="A70" s="2" t="s">
        <v>67</v>
      </c>
      <c r="B70" s="2"/>
      <c r="C70" s="2"/>
      <c r="D70" s="2"/>
      <c r="E70" s="2"/>
      <c r="F70" s="2"/>
      <c r="G70" s="2"/>
      <c r="H70" s="2"/>
      <c r="I70" s="2"/>
      <c r="J70" s="2"/>
      <c r="K70" s="2"/>
      <c r="L70" s="2"/>
      <c r="M70" s="2"/>
      <c r="N70" s="2"/>
      <c r="O70" s="2"/>
      <c r="P70" s="2"/>
      <c r="Q70" s="2"/>
      <c r="R70" s="2"/>
      <c r="S70" s="2"/>
      <c r="T70" s="2"/>
      <c r="U70" s="2"/>
      <c r="V70" s="2"/>
      <c r="W70" s="2"/>
      <c r="X70" s="51"/>
      <c r="Y70" s="2"/>
      <c r="Z70" s="2"/>
      <c r="AA70" s="2"/>
      <c r="AB70" s="2"/>
      <c r="AC70" s="2"/>
      <c r="AD70" s="2"/>
      <c r="AE70" s="2"/>
      <c r="AF70" s="2"/>
      <c r="AG70" s="2"/>
      <c r="AH70" s="2"/>
      <c r="AI70" s="2"/>
      <c r="AJ70" s="2"/>
      <c r="AK70" s="2"/>
      <c r="AL70" s="2"/>
      <c r="AM70" s="2"/>
      <c r="AN70" s="2"/>
      <c r="AO70" s="2"/>
      <c r="AP70" s="2"/>
      <c r="AQ70" s="2"/>
      <c r="AR70" s="2"/>
      <c r="AS70" s="97" t="s">
        <v>206</v>
      </c>
      <c r="AT70" s="97"/>
      <c r="AU70" s="97"/>
      <c r="AV70" s="97"/>
    </row>
    <row r="71" spans="1:48" x14ac:dyDescent="0.35">
      <c r="A71" s="52" t="s">
        <v>99</v>
      </c>
      <c r="B71" s="2"/>
      <c r="C71" s="2"/>
      <c r="D71" s="2"/>
      <c r="E71" s="2"/>
      <c r="F71" s="2"/>
      <c r="G71" s="2"/>
      <c r="H71" s="2"/>
      <c r="I71" s="2"/>
      <c r="J71" s="2"/>
      <c r="K71" s="2"/>
      <c r="L71" s="2"/>
      <c r="M71" s="2"/>
      <c r="N71" s="2"/>
      <c r="O71" s="2"/>
      <c r="P71" s="2"/>
      <c r="Q71" s="2"/>
      <c r="R71" s="2"/>
      <c r="S71" s="2"/>
      <c r="T71" s="2"/>
      <c r="U71" s="2"/>
      <c r="V71" s="2"/>
      <c r="W71" s="2"/>
      <c r="X71" s="51"/>
      <c r="Y71" s="2"/>
      <c r="Z71" s="2"/>
      <c r="AA71" s="2"/>
      <c r="AB71" s="2"/>
      <c r="AC71" s="2"/>
      <c r="AD71" s="2"/>
      <c r="AE71" s="2"/>
      <c r="AF71" s="2"/>
      <c r="AG71" s="2"/>
      <c r="AH71" s="2"/>
      <c r="AI71" s="2"/>
      <c r="AJ71" s="2"/>
      <c r="AK71" s="2"/>
      <c r="AL71" s="2"/>
      <c r="AM71" s="2"/>
      <c r="AN71" s="2"/>
      <c r="AO71" s="2"/>
      <c r="AP71" s="2"/>
      <c r="AQ71" s="2"/>
      <c r="AR71" s="2"/>
      <c r="AS71" s="2"/>
      <c r="AT71" s="93" t="s">
        <v>207</v>
      </c>
      <c r="AU71" s="93"/>
      <c r="AV71" s="93"/>
    </row>
    <row r="101" spans="52:52" x14ac:dyDescent="0.35">
      <c r="AZ101" s="4" t="s">
        <v>92</v>
      </c>
    </row>
    <row r="102" spans="52:52" x14ac:dyDescent="0.35">
      <c r="AZ102" s="4" t="s">
        <v>91</v>
      </c>
    </row>
    <row r="103" spans="52:52" x14ac:dyDescent="0.35">
      <c r="AZ103" s="4" t="s">
        <v>174</v>
      </c>
    </row>
  </sheetData>
  <mergeCells count="13">
    <mergeCell ref="AT71:AV71"/>
    <mergeCell ref="A61:X61"/>
    <mergeCell ref="A63:X63"/>
    <mergeCell ref="A68:X68"/>
    <mergeCell ref="AS70:AV70"/>
    <mergeCell ref="A1:AV1"/>
    <mergeCell ref="A4:L4"/>
    <mergeCell ref="B6:H6"/>
    <mergeCell ref="J6:P6"/>
    <mergeCell ref="R6:X6"/>
    <mergeCell ref="Z6:AF6"/>
    <mergeCell ref="AH6:AN6"/>
    <mergeCell ref="AP6:AV6"/>
  </mergeCells>
  <dataValidations count="1">
    <dataValidation type="list" allowBlank="1" showInputMessage="1" showErrorMessage="1" sqref="A4:L4" xr:uid="{00000000-0002-0000-0400-000000000000}">
      <formula1>$AZ$101:$AZ$103</formula1>
    </dataValidation>
  </dataValidations>
  <hyperlinks>
    <hyperlink ref="A66" r:id="rId1" xr:uid="{00000000-0004-0000-0400-000000000000}"/>
    <hyperlink ref="A71" r:id="rId2" xr:uid="{00000000-0004-0000-0400-000001000000}"/>
    <hyperlink ref="AS70" r:id="rId3" display="Updated alongside Fire and rescue workforce and pensions statistics" xr:uid="{71FF8A26-FEE8-4387-B289-C922BF2573F4}"/>
    <hyperlink ref="AT71:AV71" r:id="rId4" display="Next Update: Autumn 2020" xr:uid="{F62898E6-5A03-4D38-AFBA-48FBF769F7B6}"/>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57"/>
  <sheetViews>
    <sheetView workbookViewId="0">
      <selection activeCell="A4" sqref="A4:L4"/>
    </sheetView>
  </sheetViews>
  <sheetFormatPr defaultColWidth="9.1796875" defaultRowHeight="14.5" x14ac:dyDescent="0.35"/>
  <cols>
    <col min="1" max="1" width="50.7265625" style="4" customWidth="1"/>
    <col min="2" max="8" width="8.7265625" style="4" customWidth="1"/>
    <col min="9" max="9" width="2.7265625" style="4" customWidth="1"/>
    <col min="10" max="16" width="8.7265625" style="4" customWidth="1"/>
    <col min="17" max="17" width="2.7265625" style="4" customWidth="1"/>
    <col min="18" max="24" width="8.7265625" style="4" customWidth="1"/>
    <col min="25" max="25" width="2.7265625" style="4" customWidth="1"/>
    <col min="26" max="32" width="8.7265625" style="4" customWidth="1"/>
    <col min="33" max="16384" width="9.1796875" style="4"/>
  </cols>
  <sheetData>
    <row r="1" spans="1:36" s="1" customFormat="1" ht="23.25" customHeight="1" x14ac:dyDescent="0.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row>
    <row r="2" spans="1:36" s="3" customFormat="1" x14ac:dyDescent="0.35">
      <c r="A2" s="2"/>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row>
    <row r="3" spans="1:36" s="3" customFormat="1" x14ac:dyDescent="0.35">
      <c r="A3" s="2"/>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row>
    <row r="4" spans="1:36" s="3" customFormat="1" x14ac:dyDescent="0.35">
      <c r="A4" s="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row>
    <row r="5" spans="1:36" s="3" customFormat="1" x14ac:dyDescent="0.35">
      <c r="A5" s="2"/>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row>
    <row r="6" spans="1:36" s="7" customFormat="1" ht="15.75" customHeight="1" thickBot="1" x14ac:dyDescent="0.4">
      <c r="A6" s="4"/>
      <c r="B6" s="86" t="s">
        <v>0</v>
      </c>
      <c r="C6" s="86"/>
      <c r="D6" s="86"/>
      <c r="E6" s="86"/>
      <c r="F6" s="86"/>
      <c r="G6" s="86"/>
      <c r="H6" s="86"/>
      <c r="I6" s="35"/>
      <c r="J6" s="86" t="s">
        <v>76</v>
      </c>
      <c r="K6" s="86"/>
      <c r="L6" s="86"/>
      <c r="M6" s="86"/>
      <c r="N6" s="86"/>
      <c r="O6" s="86"/>
      <c r="P6" s="86"/>
      <c r="Q6" s="35"/>
      <c r="R6" s="86" t="s">
        <v>2</v>
      </c>
      <c r="S6" s="86"/>
      <c r="T6" s="86"/>
      <c r="U6" s="86"/>
      <c r="V6" s="86"/>
      <c r="W6" s="86"/>
      <c r="X6" s="86"/>
      <c r="Y6" s="35"/>
      <c r="Z6" s="86" t="s">
        <v>3</v>
      </c>
      <c r="AA6" s="86"/>
      <c r="AB6" s="86"/>
      <c r="AC6" s="86"/>
      <c r="AD6" s="86"/>
      <c r="AE6" s="86"/>
      <c r="AF6" s="86"/>
    </row>
    <row r="7" spans="1:36" s="12" customFormat="1" ht="44" thickBot="1" x14ac:dyDescent="0.4">
      <c r="A7" s="8" t="s">
        <v>5</v>
      </c>
      <c r="B7" s="9" t="s">
        <v>80</v>
      </c>
      <c r="C7" s="9" t="s">
        <v>81</v>
      </c>
      <c r="D7" s="9" t="s">
        <v>82</v>
      </c>
      <c r="E7" s="9" t="s">
        <v>83</v>
      </c>
      <c r="F7" s="9" t="s">
        <v>84</v>
      </c>
      <c r="G7" s="9" t="s">
        <v>85</v>
      </c>
      <c r="H7" s="9" t="s">
        <v>86</v>
      </c>
      <c r="I7" s="36"/>
      <c r="J7" s="9" t="s">
        <v>80</v>
      </c>
      <c r="K7" s="9" t="s">
        <v>81</v>
      </c>
      <c r="L7" s="9" t="s">
        <v>82</v>
      </c>
      <c r="M7" s="9" t="s">
        <v>83</v>
      </c>
      <c r="N7" s="9" t="s">
        <v>84</v>
      </c>
      <c r="O7" s="9" t="s">
        <v>85</v>
      </c>
      <c r="P7" s="9" t="s">
        <v>86</v>
      </c>
      <c r="Q7" s="36"/>
      <c r="R7" s="9" t="s">
        <v>80</v>
      </c>
      <c r="S7" s="9" t="s">
        <v>81</v>
      </c>
      <c r="T7" s="9" t="s">
        <v>82</v>
      </c>
      <c r="U7" s="9" t="s">
        <v>83</v>
      </c>
      <c r="V7" s="9" t="s">
        <v>84</v>
      </c>
      <c r="W7" s="9" t="s">
        <v>85</v>
      </c>
      <c r="X7" s="9" t="s">
        <v>86</v>
      </c>
      <c r="Y7" s="36"/>
      <c r="Z7" s="9" t="s">
        <v>80</v>
      </c>
      <c r="AA7" s="9" t="s">
        <v>81</v>
      </c>
      <c r="AB7" s="9" t="s">
        <v>82</v>
      </c>
      <c r="AC7" s="9" t="s">
        <v>83</v>
      </c>
      <c r="AD7" s="9" t="s">
        <v>84</v>
      </c>
      <c r="AE7" s="9" t="s">
        <v>85</v>
      </c>
      <c r="AF7" s="9" t="s">
        <v>86</v>
      </c>
    </row>
    <row r="8" spans="1:36" s="7" customFormat="1" ht="15" customHeight="1" x14ac:dyDescent="0.35">
      <c r="A8" s="13" t="s">
        <v>13</v>
      </c>
      <c r="B8" s="21">
        <f>B9+B49</f>
        <v>195</v>
      </c>
      <c r="C8" s="21">
        <f t="shared" ref="C8:H8" si="0">C9+C49</f>
        <v>680</v>
      </c>
      <c r="D8" s="21">
        <f t="shared" si="0"/>
        <v>172</v>
      </c>
      <c r="E8" s="21">
        <f t="shared" si="0"/>
        <v>49</v>
      </c>
      <c r="F8" s="21">
        <f t="shared" si="0"/>
        <v>9</v>
      </c>
      <c r="G8" s="21">
        <f t="shared" si="0"/>
        <v>0</v>
      </c>
      <c r="H8" s="21">
        <f t="shared" si="0"/>
        <v>1</v>
      </c>
      <c r="I8" s="21"/>
      <c r="J8" s="21">
        <f>J9+J49</f>
        <v>354</v>
      </c>
      <c r="K8" s="21">
        <f t="shared" ref="K8:P8" si="1">K9+K49</f>
        <v>699</v>
      </c>
      <c r="L8" s="21">
        <f t="shared" si="1"/>
        <v>330</v>
      </c>
      <c r="M8" s="21">
        <f t="shared" si="1"/>
        <v>111</v>
      </c>
      <c r="N8" s="21">
        <f t="shared" si="1"/>
        <v>11</v>
      </c>
      <c r="O8" s="21">
        <f t="shared" si="1"/>
        <v>1</v>
      </c>
      <c r="P8" s="21">
        <f t="shared" si="1"/>
        <v>2</v>
      </c>
      <c r="Q8" s="21"/>
      <c r="R8" s="21">
        <f>R9+R49</f>
        <v>29</v>
      </c>
      <c r="S8" s="21">
        <f t="shared" ref="S8:X8" si="2">S9+S49</f>
        <v>55</v>
      </c>
      <c r="T8" s="21">
        <f t="shared" si="2"/>
        <v>27</v>
      </c>
      <c r="U8" s="21">
        <f t="shared" si="2"/>
        <v>10</v>
      </c>
      <c r="V8" s="21">
        <f t="shared" si="2"/>
        <v>2</v>
      </c>
      <c r="W8" s="21">
        <f t="shared" si="2"/>
        <v>0</v>
      </c>
      <c r="X8" s="21">
        <f t="shared" si="2"/>
        <v>0</v>
      </c>
      <c r="Y8" s="21"/>
      <c r="Z8" s="21">
        <f>Z9+Z49</f>
        <v>167</v>
      </c>
      <c r="AA8" s="21">
        <f t="shared" ref="AA8:AF8" si="3">AA9+AA49</f>
        <v>303</v>
      </c>
      <c r="AB8" s="21">
        <f t="shared" si="3"/>
        <v>237</v>
      </c>
      <c r="AC8" s="21">
        <f t="shared" si="3"/>
        <v>213</v>
      </c>
      <c r="AD8" s="21">
        <f t="shared" si="3"/>
        <v>101</v>
      </c>
      <c r="AE8" s="21">
        <f t="shared" si="3"/>
        <v>8</v>
      </c>
      <c r="AF8" s="21">
        <f t="shared" si="3"/>
        <v>0</v>
      </c>
    </row>
    <row r="9" spans="1:36" s="7" customFormat="1" ht="15" customHeight="1" x14ac:dyDescent="0.35">
      <c r="A9" s="20" t="s">
        <v>14</v>
      </c>
      <c r="B9" s="21">
        <f>SUM(B10:B48)</f>
        <v>96</v>
      </c>
      <c r="C9" s="21">
        <f t="shared" ref="C9:H9" si="4">SUM(C10:C48)</f>
        <v>407</v>
      </c>
      <c r="D9" s="21">
        <f t="shared" si="4"/>
        <v>115</v>
      </c>
      <c r="E9" s="21">
        <f t="shared" si="4"/>
        <v>39</v>
      </c>
      <c r="F9" s="21">
        <f t="shared" si="4"/>
        <v>8</v>
      </c>
      <c r="G9" s="21">
        <f t="shared" si="4"/>
        <v>0</v>
      </c>
      <c r="H9" s="21">
        <f t="shared" si="4"/>
        <v>1</v>
      </c>
      <c r="I9" s="21"/>
      <c r="J9" s="21">
        <f>SUM(J10:J48)</f>
        <v>344</v>
      </c>
      <c r="K9" s="21">
        <f t="shared" ref="K9:P9" si="5">SUM(K10:K48)</f>
        <v>672</v>
      </c>
      <c r="L9" s="21">
        <f t="shared" si="5"/>
        <v>319</v>
      </c>
      <c r="M9" s="21">
        <f t="shared" si="5"/>
        <v>104</v>
      </c>
      <c r="N9" s="21">
        <f t="shared" si="5"/>
        <v>11</v>
      </c>
      <c r="O9" s="21">
        <f t="shared" si="5"/>
        <v>1</v>
      </c>
      <c r="P9" s="21">
        <f t="shared" si="5"/>
        <v>2</v>
      </c>
      <c r="Q9" s="21"/>
      <c r="R9" s="21">
        <f>SUM(R10:R48)</f>
        <v>24</v>
      </c>
      <c r="S9" s="21">
        <f t="shared" ref="S9:X9" si="6">SUM(S10:S48)</f>
        <v>38</v>
      </c>
      <c r="T9" s="21">
        <f t="shared" si="6"/>
        <v>19</v>
      </c>
      <c r="U9" s="21">
        <f t="shared" si="6"/>
        <v>7</v>
      </c>
      <c r="V9" s="21">
        <f t="shared" si="6"/>
        <v>2</v>
      </c>
      <c r="W9" s="21">
        <f t="shared" si="6"/>
        <v>0</v>
      </c>
      <c r="X9" s="21">
        <f t="shared" si="6"/>
        <v>0</v>
      </c>
      <c r="Y9" s="21"/>
      <c r="Z9" s="21">
        <f>SUM(Z10:Z48)</f>
        <v>114</v>
      </c>
      <c r="AA9" s="21">
        <f t="shared" ref="AA9:AF9" si="7">SUM(AA10:AA48)</f>
        <v>203</v>
      </c>
      <c r="AB9" s="21">
        <f t="shared" si="7"/>
        <v>171</v>
      </c>
      <c r="AC9" s="21">
        <f t="shared" si="7"/>
        <v>153</v>
      </c>
      <c r="AD9" s="21">
        <f t="shared" si="7"/>
        <v>80</v>
      </c>
      <c r="AE9" s="21">
        <f t="shared" si="7"/>
        <v>6</v>
      </c>
      <c r="AF9" s="21">
        <f t="shared" si="7"/>
        <v>0</v>
      </c>
    </row>
    <row r="10" spans="1:36" s="7" customFormat="1" ht="15" customHeight="1" x14ac:dyDescent="0.35">
      <c r="A10" s="4" t="s">
        <v>15</v>
      </c>
      <c r="B10" s="22">
        <v>5</v>
      </c>
      <c r="C10" s="22">
        <v>17</v>
      </c>
      <c r="D10" s="22">
        <v>1</v>
      </c>
      <c r="E10" s="22">
        <v>2</v>
      </c>
      <c r="F10" s="22">
        <v>0</v>
      </c>
      <c r="G10" s="22">
        <v>0</v>
      </c>
      <c r="H10" s="22">
        <v>0</v>
      </c>
      <c r="I10" s="22"/>
      <c r="J10" s="22">
        <v>7</v>
      </c>
      <c r="K10" s="22">
        <v>9</v>
      </c>
      <c r="L10" s="22">
        <v>7</v>
      </c>
      <c r="M10" s="22">
        <v>6</v>
      </c>
      <c r="N10" s="22">
        <v>1</v>
      </c>
      <c r="O10" s="22">
        <v>0</v>
      </c>
      <c r="P10" s="22">
        <v>0</v>
      </c>
      <c r="Q10" s="22"/>
      <c r="R10" s="22">
        <v>0</v>
      </c>
      <c r="S10" s="22">
        <v>1</v>
      </c>
      <c r="T10" s="22">
        <v>1</v>
      </c>
      <c r="U10" s="22">
        <v>0</v>
      </c>
      <c r="V10" s="22">
        <v>0</v>
      </c>
      <c r="W10" s="22">
        <v>0</v>
      </c>
      <c r="X10" s="22">
        <v>0</v>
      </c>
      <c r="Y10" s="22"/>
      <c r="Z10" s="22">
        <v>4</v>
      </c>
      <c r="AA10" s="22">
        <v>6</v>
      </c>
      <c r="AB10" s="22">
        <v>6</v>
      </c>
      <c r="AC10" s="22">
        <v>2</v>
      </c>
      <c r="AD10" s="22">
        <v>6</v>
      </c>
      <c r="AE10" s="22">
        <v>0</v>
      </c>
      <c r="AF10" s="22">
        <v>0</v>
      </c>
    </row>
    <row r="11" spans="1:36" s="7" customFormat="1" ht="15" customHeight="1" x14ac:dyDescent="0.35">
      <c r="A11" s="4" t="s">
        <v>16</v>
      </c>
      <c r="B11" s="22">
        <v>1</v>
      </c>
      <c r="C11" s="22">
        <v>18</v>
      </c>
      <c r="D11" s="22">
        <v>6</v>
      </c>
      <c r="E11" s="22">
        <v>0</v>
      </c>
      <c r="F11" s="22">
        <v>0</v>
      </c>
      <c r="G11" s="22">
        <v>0</v>
      </c>
      <c r="H11" s="22">
        <v>0</v>
      </c>
      <c r="I11" s="22"/>
      <c r="J11" s="22">
        <v>8</v>
      </c>
      <c r="K11" s="22">
        <v>9</v>
      </c>
      <c r="L11" s="22">
        <v>12</v>
      </c>
      <c r="M11" s="22">
        <v>4</v>
      </c>
      <c r="N11" s="22">
        <v>0</v>
      </c>
      <c r="O11" s="22">
        <v>0</v>
      </c>
      <c r="P11" s="22">
        <v>0</v>
      </c>
      <c r="Q11" s="22"/>
      <c r="R11" s="22">
        <v>0</v>
      </c>
      <c r="S11" s="22">
        <v>0</v>
      </c>
      <c r="T11" s="22">
        <v>0</v>
      </c>
      <c r="U11" s="22">
        <v>0</v>
      </c>
      <c r="V11" s="22">
        <v>0</v>
      </c>
      <c r="W11" s="22">
        <v>0</v>
      </c>
      <c r="X11" s="22">
        <v>0</v>
      </c>
      <c r="Y11" s="22"/>
      <c r="Z11" s="22">
        <v>1</v>
      </c>
      <c r="AA11" s="22">
        <v>8</v>
      </c>
      <c r="AB11" s="22">
        <v>4</v>
      </c>
      <c r="AC11" s="22">
        <v>8</v>
      </c>
      <c r="AD11" s="22">
        <v>4</v>
      </c>
      <c r="AE11" s="22">
        <v>1</v>
      </c>
      <c r="AF11" s="22">
        <v>0</v>
      </c>
    </row>
    <row r="12" spans="1:36" s="7" customFormat="1" ht="15" customHeight="1" x14ac:dyDescent="0.35">
      <c r="A12" s="4" t="s">
        <v>17</v>
      </c>
      <c r="B12" s="22">
        <v>1</v>
      </c>
      <c r="C12" s="22">
        <v>15</v>
      </c>
      <c r="D12" s="22">
        <v>4</v>
      </c>
      <c r="E12" s="22">
        <v>1</v>
      </c>
      <c r="F12" s="22">
        <v>0</v>
      </c>
      <c r="G12" s="22">
        <v>0</v>
      </c>
      <c r="H12" s="22">
        <v>0</v>
      </c>
      <c r="I12" s="22"/>
      <c r="J12" s="22">
        <v>5</v>
      </c>
      <c r="K12" s="22">
        <v>10</v>
      </c>
      <c r="L12" s="22">
        <v>5</v>
      </c>
      <c r="M12" s="22">
        <v>0</v>
      </c>
      <c r="N12" s="22">
        <v>0</v>
      </c>
      <c r="O12" s="22">
        <v>0</v>
      </c>
      <c r="P12" s="22">
        <v>0</v>
      </c>
      <c r="Q12" s="22"/>
      <c r="R12" s="22">
        <v>3</v>
      </c>
      <c r="S12" s="22">
        <v>2</v>
      </c>
      <c r="T12" s="22">
        <v>1</v>
      </c>
      <c r="U12" s="22">
        <v>3</v>
      </c>
      <c r="V12" s="22">
        <v>0</v>
      </c>
      <c r="W12" s="22">
        <v>0</v>
      </c>
      <c r="X12" s="22">
        <v>0</v>
      </c>
      <c r="Y12" s="22"/>
      <c r="Z12" s="22">
        <v>7</v>
      </c>
      <c r="AA12" s="22">
        <v>13</v>
      </c>
      <c r="AB12" s="22">
        <v>14</v>
      </c>
      <c r="AC12" s="22">
        <v>7</v>
      </c>
      <c r="AD12" s="22">
        <v>1</v>
      </c>
      <c r="AE12" s="22">
        <v>0</v>
      </c>
      <c r="AF12" s="22">
        <v>0</v>
      </c>
    </row>
    <row r="13" spans="1:36" s="7" customFormat="1" ht="15" customHeight="1" x14ac:dyDescent="0.35">
      <c r="A13" s="4" t="s">
        <v>18</v>
      </c>
      <c r="B13" s="22">
        <v>2</v>
      </c>
      <c r="C13" s="22">
        <v>7</v>
      </c>
      <c r="D13" s="22">
        <v>2</v>
      </c>
      <c r="E13" s="22">
        <v>0</v>
      </c>
      <c r="F13" s="22">
        <v>0</v>
      </c>
      <c r="G13" s="22">
        <v>0</v>
      </c>
      <c r="H13" s="22">
        <v>0</v>
      </c>
      <c r="I13" s="22"/>
      <c r="J13" s="22">
        <v>3</v>
      </c>
      <c r="K13" s="22">
        <v>10</v>
      </c>
      <c r="L13" s="22">
        <v>7</v>
      </c>
      <c r="M13" s="22">
        <v>0</v>
      </c>
      <c r="N13" s="22">
        <v>0</v>
      </c>
      <c r="O13" s="22">
        <v>0</v>
      </c>
      <c r="P13" s="22">
        <v>0</v>
      </c>
      <c r="Q13" s="22"/>
      <c r="R13" s="22">
        <v>0</v>
      </c>
      <c r="S13" s="22">
        <v>0</v>
      </c>
      <c r="T13" s="22">
        <v>0</v>
      </c>
      <c r="U13" s="22">
        <v>0</v>
      </c>
      <c r="V13" s="22">
        <v>0</v>
      </c>
      <c r="W13" s="22">
        <v>0</v>
      </c>
      <c r="X13" s="22">
        <v>0</v>
      </c>
      <c r="Y13" s="22"/>
      <c r="Z13" s="22">
        <v>2</v>
      </c>
      <c r="AA13" s="22">
        <v>3</v>
      </c>
      <c r="AB13" s="22">
        <v>2</v>
      </c>
      <c r="AC13" s="22">
        <v>4</v>
      </c>
      <c r="AD13" s="22">
        <v>2</v>
      </c>
      <c r="AE13" s="22">
        <v>0</v>
      </c>
      <c r="AF13" s="22">
        <v>0</v>
      </c>
    </row>
    <row r="14" spans="1:36" s="7" customFormat="1" ht="15" customHeight="1" x14ac:dyDescent="0.35">
      <c r="A14" s="4" t="s">
        <v>19</v>
      </c>
      <c r="B14" s="22">
        <v>2</v>
      </c>
      <c r="C14" s="22">
        <v>4</v>
      </c>
      <c r="D14" s="22">
        <v>1</v>
      </c>
      <c r="E14" s="22">
        <v>0</v>
      </c>
      <c r="F14" s="22">
        <v>0</v>
      </c>
      <c r="G14" s="22">
        <v>0</v>
      </c>
      <c r="H14" s="22">
        <v>0</v>
      </c>
      <c r="I14" s="22"/>
      <c r="J14" s="22">
        <v>7</v>
      </c>
      <c r="K14" s="22">
        <v>13</v>
      </c>
      <c r="L14" s="22">
        <v>7</v>
      </c>
      <c r="M14" s="22">
        <v>2</v>
      </c>
      <c r="N14" s="22">
        <v>1</v>
      </c>
      <c r="O14" s="22">
        <v>0</v>
      </c>
      <c r="P14" s="22">
        <v>0</v>
      </c>
      <c r="Q14" s="22"/>
      <c r="R14" s="22">
        <v>4</v>
      </c>
      <c r="S14" s="22">
        <v>3</v>
      </c>
      <c r="T14" s="22">
        <v>2</v>
      </c>
      <c r="U14" s="22">
        <v>0</v>
      </c>
      <c r="V14" s="22">
        <v>0</v>
      </c>
      <c r="W14" s="22">
        <v>0</v>
      </c>
      <c r="X14" s="22">
        <v>0</v>
      </c>
      <c r="Y14" s="22"/>
      <c r="Z14" s="22">
        <v>11</v>
      </c>
      <c r="AA14" s="22">
        <v>8</v>
      </c>
      <c r="AB14" s="22">
        <v>4</v>
      </c>
      <c r="AC14" s="22">
        <v>1</v>
      </c>
      <c r="AD14" s="22">
        <v>0</v>
      </c>
      <c r="AE14" s="22">
        <v>0</v>
      </c>
      <c r="AF14" s="22">
        <v>0</v>
      </c>
    </row>
    <row r="15" spans="1:36" s="7" customFormat="1" ht="15" customHeight="1" x14ac:dyDescent="0.35">
      <c r="A15" s="4" t="s">
        <v>20</v>
      </c>
      <c r="B15" s="22">
        <v>7</v>
      </c>
      <c r="C15" s="22">
        <v>8</v>
      </c>
      <c r="D15" s="22">
        <v>3</v>
      </c>
      <c r="E15" s="22">
        <v>1</v>
      </c>
      <c r="F15" s="22">
        <v>0</v>
      </c>
      <c r="G15" s="22">
        <v>0</v>
      </c>
      <c r="H15" s="22">
        <v>0</v>
      </c>
      <c r="I15" s="22"/>
      <c r="J15" s="22">
        <v>4</v>
      </c>
      <c r="K15" s="22">
        <v>12</v>
      </c>
      <c r="L15" s="22">
        <v>4</v>
      </c>
      <c r="M15" s="22">
        <v>1</v>
      </c>
      <c r="N15" s="22">
        <v>0</v>
      </c>
      <c r="O15" s="22">
        <v>0</v>
      </c>
      <c r="P15" s="22">
        <v>0</v>
      </c>
      <c r="Q15" s="22"/>
      <c r="R15" s="22">
        <v>0</v>
      </c>
      <c r="S15" s="22">
        <v>0</v>
      </c>
      <c r="T15" s="22">
        <v>0</v>
      </c>
      <c r="U15" s="22">
        <v>0</v>
      </c>
      <c r="V15" s="22">
        <v>0</v>
      </c>
      <c r="W15" s="22">
        <v>0</v>
      </c>
      <c r="X15" s="22">
        <v>0</v>
      </c>
      <c r="Y15" s="22"/>
      <c r="Z15" s="22">
        <v>11</v>
      </c>
      <c r="AA15" s="22">
        <v>11</v>
      </c>
      <c r="AB15" s="22">
        <v>8</v>
      </c>
      <c r="AC15" s="22">
        <v>3</v>
      </c>
      <c r="AD15" s="22">
        <v>5</v>
      </c>
      <c r="AE15" s="22">
        <v>0</v>
      </c>
      <c r="AF15" s="22">
        <v>0</v>
      </c>
    </row>
    <row r="16" spans="1:36" s="7" customFormat="1" ht="15" customHeight="1" x14ac:dyDescent="0.35">
      <c r="A16" s="4" t="s">
        <v>21</v>
      </c>
      <c r="B16" s="22">
        <v>5</v>
      </c>
      <c r="C16" s="22">
        <v>13</v>
      </c>
      <c r="D16" s="22">
        <v>3</v>
      </c>
      <c r="E16" s="22">
        <v>0</v>
      </c>
      <c r="F16" s="22">
        <v>1</v>
      </c>
      <c r="G16" s="22">
        <v>0</v>
      </c>
      <c r="H16" s="22">
        <v>0</v>
      </c>
      <c r="I16" s="22"/>
      <c r="J16" s="22">
        <v>2</v>
      </c>
      <c r="K16" s="22">
        <v>7</v>
      </c>
      <c r="L16" s="22">
        <v>2</v>
      </c>
      <c r="M16" s="22">
        <v>0</v>
      </c>
      <c r="N16" s="22">
        <v>0</v>
      </c>
      <c r="O16" s="22">
        <v>0</v>
      </c>
      <c r="P16" s="22">
        <v>0</v>
      </c>
      <c r="Q16" s="22"/>
      <c r="R16" s="22">
        <v>0</v>
      </c>
      <c r="S16" s="22">
        <v>0</v>
      </c>
      <c r="T16" s="22">
        <v>1</v>
      </c>
      <c r="U16" s="22">
        <v>0</v>
      </c>
      <c r="V16" s="22">
        <v>0</v>
      </c>
      <c r="W16" s="22">
        <v>0</v>
      </c>
      <c r="X16" s="22">
        <v>0</v>
      </c>
      <c r="Y16" s="22"/>
      <c r="Z16" s="22">
        <v>1</v>
      </c>
      <c r="AA16" s="22">
        <v>6</v>
      </c>
      <c r="AB16" s="22">
        <v>3</v>
      </c>
      <c r="AC16" s="22">
        <v>2</v>
      </c>
      <c r="AD16" s="22">
        <v>1</v>
      </c>
      <c r="AE16" s="22">
        <v>0</v>
      </c>
      <c r="AF16" s="22">
        <v>0</v>
      </c>
    </row>
    <row r="17" spans="1:32" s="7" customFormat="1" ht="15" customHeight="1" x14ac:dyDescent="0.35">
      <c r="A17" s="4" t="s">
        <v>22</v>
      </c>
      <c r="B17" s="22">
        <v>0</v>
      </c>
      <c r="C17" s="22">
        <v>4</v>
      </c>
      <c r="D17" s="22">
        <v>1</v>
      </c>
      <c r="E17" s="22">
        <v>0</v>
      </c>
      <c r="F17" s="22">
        <v>0</v>
      </c>
      <c r="G17" s="22">
        <v>0</v>
      </c>
      <c r="H17" s="22">
        <v>0</v>
      </c>
      <c r="I17" s="22"/>
      <c r="J17" s="22">
        <v>2</v>
      </c>
      <c r="K17" s="22">
        <v>11</v>
      </c>
      <c r="L17" s="22">
        <v>6</v>
      </c>
      <c r="M17" s="22">
        <v>2</v>
      </c>
      <c r="N17" s="22">
        <v>2</v>
      </c>
      <c r="O17" s="22">
        <v>0</v>
      </c>
      <c r="P17" s="22">
        <v>0</v>
      </c>
      <c r="Q17" s="22"/>
      <c r="R17" s="22">
        <v>1</v>
      </c>
      <c r="S17" s="22">
        <v>2</v>
      </c>
      <c r="T17" s="22">
        <v>0</v>
      </c>
      <c r="U17" s="22">
        <v>0</v>
      </c>
      <c r="V17" s="22">
        <v>0</v>
      </c>
      <c r="W17" s="22">
        <v>0</v>
      </c>
      <c r="X17" s="22">
        <v>0</v>
      </c>
      <c r="Y17" s="22"/>
      <c r="Z17" s="22">
        <v>1</v>
      </c>
      <c r="AA17" s="22">
        <v>3</v>
      </c>
      <c r="AB17" s="22">
        <v>2</v>
      </c>
      <c r="AC17" s="22">
        <v>0</v>
      </c>
      <c r="AD17" s="22">
        <v>1</v>
      </c>
      <c r="AE17" s="22">
        <v>0</v>
      </c>
      <c r="AF17" s="22">
        <v>0</v>
      </c>
    </row>
    <row r="18" spans="1:32" s="7" customFormat="1" ht="15" customHeight="1" x14ac:dyDescent="0.35">
      <c r="A18" s="4" t="s">
        <v>23</v>
      </c>
      <c r="B18" s="22">
        <v>0</v>
      </c>
      <c r="C18" s="22">
        <v>0</v>
      </c>
      <c r="D18" s="22">
        <v>1</v>
      </c>
      <c r="E18" s="22">
        <v>0</v>
      </c>
      <c r="F18" s="22">
        <v>0</v>
      </c>
      <c r="G18" s="22">
        <v>0</v>
      </c>
      <c r="H18" s="22">
        <v>0</v>
      </c>
      <c r="I18" s="22"/>
      <c r="J18" s="22">
        <v>11</v>
      </c>
      <c r="K18" s="22">
        <v>9</v>
      </c>
      <c r="L18" s="22">
        <v>13</v>
      </c>
      <c r="M18" s="22">
        <v>1</v>
      </c>
      <c r="N18" s="22">
        <v>0</v>
      </c>
      <c r="O18" s="22">
        <v>0</v>
      </c>
      <c r="P18" s="22">
        <v>0</v>
      </c>
      <c r="Q18" s="22"/>
      <c r="R18" s="22">
        <v>0</v>
      </c>
      <c r="S18" s="22">
        <v>0</v>
      </c>
      <c r="T18" s="22">
        <v>0</v>
      </c>
      <c r="U18" s="22">
        <v>0</v>
      </c>
      <c r="V18" s="22">
        <v>0</v>
      </c>
      <c r="W18" s="22">
        <v>0</v>
      </c>
      <c r="X18" s="22">
        <v>0</v>
      </c>
      <c r="Y18" s="22"/>
      <c r="Z18" s="22">
        <v>0</v>
      </c>
      <c r="AA18" s="22">
        <v>1</v>
      </c>
      <c r="AB18" s="22">
        <v>0</v>
      </c>
      <c r="AC18" s="22">
        <v>0</v>
      </c>
      <c r="AD18" s="22">
        <v>0</v>
      </c>
      <c r="AE18" s="22">
        <v>0</v>
      </c>
      <c r="AF18" s="22">
        <v>0</v>
      </c>
    </row>
    <row r="19" spans="1:32" s="7" customFormat="1" ht="15" customHeight="1" x14ac:dyDescent="0.35">
      <c r="A19" s="41" t="s">
        <v>24</v>
      </c>
      <c r="B19" s="22">
        <v>0</v>
      </c>
      <c r="C19" s="22">
        <v>2</v>
      </c>
      <c r="D19" s="22">
        <v>0</v>
      </c>
      <c r="E19" s="22">
        <v>1</v>
      </c>
      <c r="F19" s="22">
        <v>0</v>
      </c>
      <c r="G19" s="22">
        <v>0</v>
      </c>
      <c r="H19" s="22">
        <v>0</v>
      </c>
      <c r="I19" s="22"/>
      <c r="J19" s="22">
        <v>11</v>
      </c>
      <c r="K19" s="22">
        <v>11</v>
      </c>
      <c r="L19" s="22">
        <v>4</v>
      </c>
      <c r="M19" s="22">
        <v>1</v>
      </c>
      <c r="N19" s="22">
        <v>1</v>
      </c>
      <c r="O19" s="22">
        <v>0</v>
      </c>
      <c r="P19" s="22">
        <v>0</v>
      </c>
      <c r="Q19" s="22"/>
      <c r="R19" s="22">
        <v>1</v>
      </c>
      <c r="S19" s="22">
        <v>2</v>
      </c>
      <c r="T19" s="22">
        <v>1</v>
      </c>
      <c r="U19" s="22">
        <v>0</v>
      </c>
      <c r="V19" s="22">
        <v>0</v>
      </c>
      <c r="W19" s="22">
        <v>0</v>
      </c>
      <c r="X19" s="22">
        <v>0</v>
      </c>
      <c r="Y19" s="22"/>
      <c r="Z19" s="22">
        <v>2</v>
      </c>
      <c r="AA19" s="22">
        <v>3</v>
      </c>
      <c r="AB19" s="22">
        <v>3</v>
      </c>
      <c r="AC19" s="22">
        <v>5</v>
      </c>
      <c r="AD19" s="22">
        <v>1</v>
      </c>
      <c r="AE19" s="22">
        <v>0</v>
      </c>
      <c r="AF19" s="22">
        <v>0</v>
      </c>
    </row>
    <row r="20" spans="1:32" s="7" customFormat="1" ht="15" customHeight="1" x14ac:dyDescent="0.35">
      <c r="A20" s="41" t="s">
        <v>25</v>
      </c>
      <c r="B20" s="22">
        <v>4</v>
      </c>
      <c r="C20" s="22">
        <v>23</v>
      </c>
      <c r="D20" s="22">
        <v>6</v>
      </c>
      <c r="E20" s="22">
        <v>2</v>
      </c>
      <c r="F20" s="22">
        <v>0</v>
      </c>
      <c r="G20" s="22">
        <v>0</v>
      </c>
      <c r="H20" s="22">
        <v>0</v>
      </c>
      <c r="I20" s="22"/>
      <c r="J20" s="22">
        <v>18</v>
      </c>
      <c r="K20" s="22">
        <v>54</v>
      </c>
      <c r="L20" s="22">
        <v>28</v>
      </c>
      <c r="M20" s="22">
        <v>8</v>
      </c>
      <c r="N20" s="22">
        <v>0</v>
      </c>
      <c r="O20" s="22">
        <v>0</v>
      </c>
      <c r="P20" s="22">
        <v>0</v>
      </c>
      <c r="Q20" s="22"/>
      <c r="R20" s="22">
        <v>0</v>
      </c>
      <c r="S20" s="22">
        <v>2</v>
      </c>
      <c r="T20" s="22">
        <v>0</v>
      </c>
      <c r="U20" s="22">
        <v>0</v>
      </c>
      <c r="V20" s="22">
        <v>0</v>
      </c>
      <c r="W20" s="22">
        <v>0</v>
      </c>
      <c r="X20" s="22">
        <v>0</v>
      </c>
      <c r="Y20" s="22"/>
      <c r="Z20" s="22">
        <v>1</v>
      </c>
      <c r="AA20" s="22">
        <v>8</v>
      </c>
      <c r="AB20" s="22">
        <v>8</v>
      </c>
      <c r="AC20" s="22">
        <v>7</v>
      </c>
      <c r="AD20" s="22">
        <v>2</v>
      </c>
      <c r="AE20" s="22">
        <v>0</v>
      </c>
      <c r="AF20" s="22">
        <v>0</v>
      </c>
    </row>
    <row r="21" spans="1:32" s="7" customFormat="1" ht="15" customHeight="1" x14ac:dyDescent="0.35">
      <c r="A21" s="4" t="s">
        <v>26</v>
      </c>
      <c r="B21" s="22">
        <v>0</v>
      </c>
      <c r="C21" s="22">
        <v>13</v>
      </c>
      <c r="D21" s="22">
        <v>6</v>
      </c>
      <c r="E21" s="22">
        <v>1</v>
      </c>
      <c r="F21" s="22">
        <v>1</v>
      </c>
      <c r="G21" s="22">
        <v>0</v>
      </c>
      <c r="H21" s="22">
        <v>0</v>
      </c>
      <c r="I21" s="22"/>
      <c r="J21" s="22">
        <v>21</v>
      </c>
      <c r="K21" s="22">
        <v>34</v>
      </c>
      <c r="L21" s="22">
        <v>18</v>
      </c>
      <c r="M21" s="22">
        <v>4</v>
      </c>
      <c r="N21" s="22">
        <v>1</v>
      </c>
      <c r="O21" s="22">
        <v>0</v>
      </c>
      <c r="P21" s="22">
        <v>0</v>
      </c>
      <c r="Q21" s="22"/>
      <c r="R21" s="22">
        <v>3</v>
      </c>
      <c r="S21" s="22">
        <v>1</v>
      </c>
      <c r="T21" s="22">
        <v>0</v>
      </c>
      <c r="U21" s="22">
        <v>0</v>
      </c>
      <c r="V21" s="22">
        <v>0</v>
      </c>
      <c r="W21" s="22">
        <v>0</v>
      </c>
      <c r="X21" s="22">
        <v>0</v>
      </c>
      <c r="Y21" s="22"/>
      <c r="Z21" s="22">
        <v>3</v>
      </c>
      <c r="AA21" s="22">
        <v>7</v>
      </c>
      <c r="AB21" s="22">
        <v>3</v>
      </c>
      <c r="AC21" s="22">
        <v>11</v>
      </c>
      <c r="AD21" s="22">
        <v>1</v>
      </c>
      <c r="AE21" s="22">
        <v>0</v>
      </c>
      <c r="AF21" s="22">
        <v>0</v>
      </c>
    </row>
    <row r="22" spans="1:32" s="7" customFormat="1" ht="15" customHeight="1" x14ac:dyDescent="0.35">
      <c r="A22" s="4" t="s">
        <v>27</v>
      </c>
      <c r="B22" s="22">
        <v>11</v>
      </c>
      <c r="C22" s="22">
        <v>10</v>
      </c>
      <c r="D22" s="22">
        <v>1</v>
      </c>
      <c r="E22" s="22">
        <v>0</v>
      </c>
      <c r="F22" s="22">
        <v>0</v>
      </c>
      <c r="G22" s="22">
        <v>0</v>
      </c>
      <c r="H22" s="22">
        <v>0</v>
      </c>
      <c r="I22" s="22"/>
      <c r="J22" s="22">
        <v>7</v>
      </c>
      <c r="K22" s="22">
        <v>17</v>
      </c>
      <c r="L22" s="22">
        <v>3</v>
      </c>
      <c r="M22" s="22">
        <v>0</v>
      </c>
      <c r="N22" s="22">
        <v>0</v>
      </c>
      <c r="O22" s="22">
        <v>0</v>
      </c>
      <c r="P22" s="22">
        <v>0</v>
      </c>
      <c r="Q22" s="22"/>
      <c r="R22" s="22">
        <v>0</v>
      </c>
      <c r="S22" s="22">
        <v>0</v>
      </c>
      <c r="T22" s="22">
        <v>0</v>
      </c>
      <c r="U22" s="22">
        <v>0</v>
      </c>
      <c r="V22" s="22">
        <v>0</v>
      </c>
      <c r="W22" s="22">
        <v>0</v>
      </c>
      <c r="X22" s="22">
        <v>0</v>
      </c>
      <c r="Y22" s="22"/>
      <c r="Z22" s="22">
        <v>4</v>
      </c>
      <c r="AA22" s="22">
        <v>2</v>
      </c>
      <c r="AB22" s="22">
        <v>3</v>
      </c>
      <c r="AC22" s="22">
        <v>6</v>
      </c>
      <c r="AD22" s="22">
        <v>3</v>
      </c>
      <c r="AE22" s="22">
        <v>0</v>
      </c>
      <c r="AF22" s="22">
        <v>0</v>
      </c>
    </row>
    <row r="23" spans="1:32" s="7" customFormat="1" ht="15" customHeight="1" x14ac:dyDescent="0.35">
      <c r="A23" s="4" t="s">
        <v>28</v>
      </c>
      <c r="B23" s="22">
        <v>1</v>
      </c>
      <c r="C23" s="22">
        <v>4</v>
      </c>
      <c r="D23" s="22">
        <v>2</v>
      </c>
      <c r="E23" s="22">
        <v>0</v>
      </c>
      <c r="F23" s="22">
        <v>0</v>
      </c>
      <c r="G23" s="22">
        <v>0</v>
      </c>
      <c r="H23" s="22">
        <v>1</v>
      </c>
      <c r="I23" s="22"/>
      <c r="J23" s="22">
        <v>5</v>
      </c>
      <c r="K23" s="22">
        <v>16</v>
      </c>
      <c r="L23" s="22">
        <v>1</v>
      </c>
      <c r="M23" s="22">
        <v>0</v>
      </c>
      <c r="N23" s="22">
        <v>0</v>
      </c>
      <c r="O23" s="22">
        <v>0</v>
      </c>
      <c r="P23" s="22">
        <v>0</v>
      </c>
      <c r="Q23" s="22"/>
      <c r="R23" s="22">
        <v>2</v>
      </c>
      <c r="S23" s="22">
        <v>1</v>
      </c>
      <c r="T23" s="22">
        <v>1</v>
      </c>
      <c r="U23" s="22">
        <v>0</v>
      </c>
      <c r="V23" s="22">
        <v>0</v>
      </c>
      <c r="W23" s="22">
        <v>0</v>
      </c>
      <c r="X23" s="22">
        <v>0</v>
      </c>
      <c r="Y23" s="22"/>
      <c r="Z23" s="22">
        <v>2</v>
      </c>
      <c r="AA23" s="22">
        <v>3</v>
      </c>
      <c r="AB23" s="22">
        <v>7</v>
      </c>
      <c r="AC23" s="22">
        <v>8</v>
      </c>
      <c r="AD23" s="22">
        <v>3</v>
      </c>
      <c r="AE23" s="22">
        <v>0</v>
      </c>
      <c r="AF23" s="22">
        <v>0</v>
      </c>
    </row>
    <row r="24" spans="1:32" s="7" customFormat="1" ht="15" customHeight="1" x14ac:dyDescent="0.35">
      <c r="A24" s="4" t="s">
        <v>29</v>
      </c>
      <c r="B24" s="22">
        <v>1</v>
      </c>
      <c r="C24" s="22">
        <v>16</v>
      </c>
      <c r="D24" s="22">
        <v>4</v>
      </c>
      <c r="E24" s="22">
        <v>1</v>
      </c>
      <c r="F24" s="22">
        <v>0</v>
      </c>
      <c r="G24" s="22">
        <v>0</v>
      </c>
      <c r="H24" s="22">
        <v>0</v>
      </c>
      <c r="I24" s="22"/>
      <c r="J24" s="22">
        <v>24</v>
      </c>
      <c r="K24" s="22">
        <v>45</v>
      </c>
      <c r="L24" s="22">
        <v>11</v>
      </c>
      <c r="M24" s="22">
        <v>7</v>
      </c>
      <c r="N24" s="22">
        <v>0</v>
      </c>
      <c r="O24" s="22">
        <v>1</v>
      </c>
      <c r="P24" s="22">
        <v>0</v>
      </c>
      <c r="Q24" s="22"/>
      <c r="R24" s="22">
        <v>1</v>
      </c>
      <c r="S24" s="22">
        <v>1</v>
      </c>
      <c r="T24" s="22">
        <v>0</v>
      </c>
      <c r="U24" s="22">
        <v>0</v>
      </c>
      <c r="V24" s="22">
        <v>0</v>
      </c>
      <c r="W24" s="22">
        <v>0</v>
      </c>
      <c r="X24" s="22">
        <v>0</v>
      </c>
      <c r="Y24" s="22"/>
      <c r="Z24" s="22">
        <v>8</v>
      </c>
      <c r="AA24" s="22">
        <v>15</v>
      </c>
      <c r="AB24" s="22">
        <v>13</v>
      </c>
      <c r="AC24" s="22">
        <v>16</v>
      </c>
      <c r="AD24" s="22">
        <v>9</v>
      </c>
      <c r="AE24" s="22">
        <v>0</v>
      </c>
      <c r="AF24" s="22">
        <v>0</v>
      </c>
    </row>
    <row r="25" spans="1:32" s="7" customFormat="1" ht="15" customHeight="1" x14ac:dyDescent="0.35">
      <c r="A25" s="4" t="s">
        <v>30</v>
      </c>
      <c r="B25" s="22">
        <v>5</v>
      </c>
      <c r="C25" s="22">
        <v>24</v>
      </c>
      <c r="D25" s="22">
        <v>5</v>
      </c>
      <c r="E25" s="22">
        <v>1</v>
      </c>
      <c r="F25" s="22">
        <v>0</v>
      </c>
      <c r="G25" s="22">
        <v>0</v>
      </c>
      <c r="H25" s="22">
        <v>0</v>
      </c>
      <c r="I25" s="22"/>
      <c r="J25" s="22">
        <v>9</v>
      </c>
      <c r="K25" s="22">
        <v>20</v>
      </c>
      <c r="L25" s="22">
        <v>8</v>
      </c>
      <c r="M25" s="22">
        <v>1</v>
      </c>
      <c r="N25" s="22">
        <v>0</v>
      </c>
      <c r="O25" s="22">
        <v>0</v>
      </c>
      <c r="P25" s="22">
        <v>0</v>
      </c>
      <c r="Q25" s="22"/>
      <c r="R25" s="22">
        <v>3</v>
      </c>
      <c r="S25" s="22">
        <v>1</v>
      </c>
      <c r="T25" s="22">
        <v>2</v>
      </c>
      <c r="U25" s="22">
        <v>0</v>
      </c>
      <c r="V25" s="22">
        <v>0</v>
      </c>
      <c r="W25" s="22">
        <v>0</v>
      </c>
      <c r="X25" s="22">
        <v>0</v>
      </c>
      <c r="Y25" s="22"/>
      <c r="Z25" s="22">
        <v>0</v>
      </c>
      <c r="AA25" s="22">
        <v>5</v>
      </c>
      <c r="AB25" s="22">
        <v>2</v>
      </c>
      <c r="AC25" s="22">
        <v>1</v>
      </c>
      <c r="AD25" s="22">
        <v>1</v>
      </c>
      <c r="AE25" s="22">
        <v>0</v>
      </c>
      <c r="AF25" s="22">
        <v>0</v>
      </c>
    </row>
    <row r="26" spans="1:32" s="7" customFormat="1" ht="15" customHeight="1" x14ac:dyDescent="0.35">
      <c r="A26" s="4" t="s">
        <v>31</v>
      </c>
      <c r="B26" s="22">
        <v>7</v>
      </c>
      <c r="C26" s="22">
        <v>33</v>
      </c>
      <c r="D26" s="22">
        <v>8</v>
      </c>
      <c r="E26" s="22">
        <v>6</v>
      </c>
      <c r="F26" s="22">
        <v>2</v>
      </c>
      <c r="G26" s="22">
        <v>0</v>
      </c>
      <c r="H26" s="22">
        <v>0</v>
      </c>
      <c r="I26" s="22"/>
      <c r="J26" s="22">
        <v>18</v>
      </c>
      <c r="K26" s="22">
        <v>38</v>
      </c>
      <c r="L26" s="22">
        <v>31</v>
      </c>
      <c r="M26" s="22">
        <v>11</v>
      </c>
      <c r="N26" s="22">
        <v>1</v>
      </c>
      <c r="O26" s="22">
        <v>0</v>
      </c>
      <c r="P26" s="22">
        <v>0</v>
      </c>
      <c r="Q26" s="22"/>
      <c r="R26" s="22">
        <v>1</v>
      </c>
      <c r="S26" s="22">
        <v>1</v>
      </c>
      <c r="T26" s="22">
        <v>0</v>
      </c>
      <c r="U26" s="22">
        <v>0</v>
      </c>
      <c r="V26" s="22">
        <v>0</v>
      </c>
      <c r="W26" s="22">
        <v>0</v>
      </c>
      <c r="X26" s="22">
        <v>0</v>
      </c>
      <c r="Y26" s="22"/>
      <c r="Z26" s="22">
        <v>8</v>
      </c>
      <c r="AA26" s="22">
        <v>18</v>
      </c>
      <c r="AB26" s="22">
        <v>10</v>
      </c>
      <c r="AC26" s="22">
        <v>10</v>
      </c>
      <c r="AD26" s="22">
        <v>5</v>
      </c>
      <c r="AE26" s="22">
        <v>1</v>
      </c>
      <c r="AF26" s="22">
        <v>0</v>
      </c>
    </row>
    <row r="27" spans="1:32" s="7" customFormat="1" ht="15" customHeight="1" x14ac:dyDescent="0.35">
      <c r="A27" s="4" t="s">
        <v>32</v>
      </c>
      <c r="B27" s="22">
        <v>2</v>
      </c>
      <c r="C27" s="22">
        <v>9</v>
      </c>
      <c r="D27" s="22">
        <v>8</v>
      </c>
      <c r="E27" s="22">
        <v>1</v>
      </c>
      <c r="F27" s="22">
        <v>1</v>
      </c>
      <c r="G27" s="22">
        <v>0</v>
      </c>
      <c r="H27" s="22">
        <v>0</v>
      </c>
      <c r="I27" s="22"/>
      <c r="J27" s="22">
        <v>10</v>
      </c>
      <c r="K27" s="22">
        <v>13</v>
      </c>
      <c r="L27" s="22">
        <v>11</v>
      </c>
      <c r="M27" s="22">
        <v>3</v>
      </c>
      <c r="N27" s="22">
        <v>0</v>
      </c>
      <c r="O27" s="22">
        <v>0</v>
      </c>
      <c r="P27" s="22">
        <v>0</v>
      </c>
      <c r="Q27" s="22"/>
      <c r="R27" s="22">
        <v>0</v>
      </c>
      <c r="S27" s="22">
        <v>1</v>
      </c>
      <c r="T27" s="22">
        <v>0</v>
      </c>
      <c r="U27" s="22">
        <v>0</v>
      </c>
      <c r="V27" s="22">
        <v>1</v>
      </c>
      <c r="W27" s="22">
        <v>0</v>
      </c>
      <c r="X27" s="22">
        <v>0</v>
      </c>
      <c r="Y27" s="22"/>
      <c r="Z27" s="22">
        <v>3</v>
      </c>
      <c r="AA27" s="22">
        <v>2</v>
      </c>
      <c r="AB27" s="22">
        <v>3</v>
      </c>
      <c r="AC27" s="22">
        <v>2</v>
      </c>
      <c r="AD27" s="22">
        <v>4</v>
      </c>
      <c r="AE27" s="22">
        <v>0</v>
      </c>
      <c r="AF27" s="22">
        <v>0</v>
      </c>
    </row>
    <row r="28" spans="1:32" s="7" customFormat="1" ht="15" customHeight="1" x14ac:dyDescent="0.35">
      <c r="A28" s="4" t="s">
        <v>33</v>
      </c>
      <c r="B28" s="22">
        <v>12</v>
      </c>
      <c r="C28" s="22">
        <v>19</v>
      </c>
      <c r="D28" s="22">
        <v>3</v>
      </c>
      <c r="E28" s="22">
        <v>2</v>
      </c>
      <c r="F28" s="22">
        <v>1</v>
      </c>
      <c r="G28" s="22">
        <v>0</v>
      </c>
      <c r="H28" s="22">
        <v>0</v>
      </c>
      <c r="I28" s="22"/>
      <c r="J28" s="22">
        <v>8</v>
      </c>
      <c r="K28" s="22">
        <v>12</v>
      </c>
      <c r="L28" s="22">
        <v>10</v>
      </c>
      <c r="M28" s="22">
        <v>4</v>
      </c>
      <c r="N28" s="22">
        <v>1</v>
      </c>
      <c r="O28" s="22">
        <v>0</v>
      </c>
      <c r="P28" s="22">
        <v>0</v>
      </c>
      <c r="Q28" s="22"/>
      <c r="R28" s="22">
        <v>0</v>
      </c>
      <c r="S28" s="22">
        <v>0</v>
      </c>
      <c r="T28" s="22">
        <v>0</v>
      </c>
      <c r="U28" s="22">
        <v>0</v>
      </c>
      <c r="V28" s="22">
        <v>0</v>
      </c>
      <c r="W28" s="22">
        <v>0</v>
      </c>
      <c r="X28" s="22">
        <v>0</v>
      </c>
      <c r="Y28" s="22"/>
      <c r="Z28" s="22">
        <v>3</v>
      </c>
      <c r="AA28" s="22">
        <v>6</v>
      </c>
      <c r="AB28" s="22">
        <v>4</v>
      </c>
      <c r="AC28" s="22">
        <v>3</v>
      </c>
      <c r="AD28" s="22">
        <v>3</v>
      </c>
      <c r="AE28" s="22">
        <v>1</v>
      </c>
      <c r="AF28" s="22">
        <v>0</v>
      </c>
    </row>
    <row r="29" spans="1:32" s="7" customFormat="1" ht="15" customHeight="1" x14ac:dyDescent="0.35">
      <c r="A29" s="4" t="s">
        <v>34</v>
      </c>
      <c r="B29" s="22">
        <v>2</v>
      </c>
      <c r="C29" s="22">
        <v>15</v>
      </c>
      <c r="D29" s="22">
        <v>5</v>
      </c>
      <c r="E29" s="22">
        <v>0</v>
      </c>
      <c r="F29" s="22">
        <v>0</v>
      </c>
      <c r="G29" s="22">
        <v>0</v>
      </c>
      <c r="H29" s="22">
        <v>0</v>
      </c>
      <c r="I29" s="22"/>
      <c r="J29" s="22">
        <v>12</v>
      </c>
      <c r="K29" s="22">
        <v>25</v>
      </c>
      <c r="L29" s="22">
        <v>7</v>
      </c>
      <c r="M29" s="22">
        <v>2</v>
      </c>
      <c r="N29" s="22">
        <v>0</v>
      </c>
      <c r="O29" s="22">
        <v>0</v>
      </c>
      <c r="P29" s="22">
        <v>0</v>
      </c>
      <c r="Q29" s="22"/>
      <c r="R29" s="22">
        <v>0</v>
      </c>
      <c r="S29" s="22">
        <v>1</v>
      </c>
      <c r="T29" s="22">
        <v>1</v>
      </c>
      <c r="U29" s="22">
        <v>0</v>
      </c>
      <c r="V29" s="22">
        <v>0</v>
      </c>
      <c r="W29" s="22">
        <v>0</v>
      </c>
      <c r="X29" s="22">
        <v>0</v>
      </c>
      <c r="Y29" s="22"/>
      <c r="Z29" s="22">
        <v>5</v>
      </c>
      <c r="AA29" s="22">
        <v>10</v>
      </c>
      <c r="AB29" s="22">
        <v>4</v>
      </c>
      <c r="AC29" s="22">
        <v>9</v>
      </c>
      <c r="AD29" s="22">
        <v>5</v>
      </c>
      <c r="AE29" s="22">
        <v>1</v>
      </c>
      <c r="AF29" s="22">
        <v>0</v>
      </c>
    </row>
    <row r="30" spans="1:32" s="7" customFormat="1" ht="15" customHeight="1" x14ac:dyDescent="0.35">
      <c r="A30" s="4" t="s">
        <v>35</v>
      </c>
      <c r="B30" s="22">
        <v>0</v>
      </c>
      <c r="C30" s="22">
        <v>0</v>
      </c>
      <c r="D30" s="22">
        <v>0</v>
      </c>
      <c r="E30" s="22">
        <v>0</v>
      </c>
      <c r="F30" s="22">
        <v>0</v>
      </c>
      <c r="G30" s="22">
        <v>0</v>
      </c>
      <c r="H30" s="22">
        <v>0</v>
      </c>
      <c r="I30" s="22"/>
      <c r="J30" s="22">
        <v>0</v>
      </c>
      <c r="K30" s="22">
        <v>0</v>
      </c>
      <c r="L30" s="22">
        <v>0</v>
      </c>
      <c r="M30" s="22">
        <v>0</v>
      </c>
      <c r="N30" s="22">
        <v>0</v>
      </c>
      <c r="O30" s="22">
        <v>0</v>
      </c>
      <c r="P30" s="22">
        <v>0</v>
      </c>
      <c r="Q30" s="22"/>
      <c r="R30" s="22">
        <v>0</v>
      </c>
      <c r="S30" s="22">
        <v>0</v>
      </c>
      <c r="T30" s="22">
        <v>0</v>
      </c>
      <c r="U30" s="22">
        <v>0</v>
      </c>
      <c r="V30" s="22">
        <v>0</v>
      </c>
      <c r="W30" s="22">
        <v>0</v>
      </c>
      <c r="X30" s="22">
        <v>0</v>
      </c>
      <c r="Y30" s="22"/>
      <c r="Z30" s="22">
        <v>0</v>
      </c>
      <c r="AA30" s="22">
        <v>0</v>
      </c>
      <c r="AB30" s="22">
        <v>0</v>
      </c>
      <c r="AC30" s="22">
        <v>1</v>
      </c>
      <c r="AD30" s="22">
        <v>1</v>
      </c>
      <c r="AE30" s="22">
        <v>0</v>
      </c>
      <c r="AF30" s="22">
        <v>0</v>
      </c>
    </row>
    <row r="31" spans="1:32" s="7" customFormat="1" ht="15" customHeight="1" x14ac:dyDescent="0.35">
      <c r="A31" s="7" t="s">
        <v>36</v>
      </c>
      <c r="B31" s="22">
        <v>2</v>
      </c>
      <c r="C31" s="22">
        <v>21</v>
      </c>
      <c r="D31" s="22">
        <v>4</v>
      </c>
      <c r="E31" s="22">
        <v>2</v>
      </c>
      <c r="F31" s="22">
        <v>0</v>
      </c>
      <c r="G31" s="22">
        <v>0</v>
      </c>
      <c r="H31" s="22">
        <v>0</v>
      </c>
      <c r="I31" s="22"/>
      <c r="J31" s="22">
        <v>16</v>
      </c>
      <c r="K31" s="22">
        <v>30</v>
      </c>
      <c r="L31" s="22">
        <v>7</v>
      </c>
      <c r="M31" s="22">
        <v>2</v>
      </c>
      <c r="N31" s="22">
        <v>1</v>
      </c>
      <c r="O31" s="22">
        <v>0</v>
      </c>
      <c r="P31" s="22">
        <v>0</v>
      </c>
      <c r="Q31" s="22"/>
      <c r="R31" s="22">
        <v>1</v>
      </c>
      <c r="S31" s="22">
        <v>4</v>
      </c>
      <c r="T31" s="22">
        <v>2</v>
      </c>
      <c r="U31" s="22">
        <v>1</v>
      </c>
      <c r="V31" s="22">
        <v>0</v>
      </c>
      <c r="W31" s="22">
        <v>0</v>
      </c>
      <c r="X31" s="22">
        <v>0</v>
      </c>
      <c r="Y31" s="22"/>
      <c r="Z31" s="22">
        <v>12</v>
      </c>
      <c r="AA31" s="22">
        <v>13</v>
      </c>
      <c r="AB31" s="22">
        <v>14</v>
      </c>
      <c r="AC31" s="22">
        <v>9</v>
      </c>
      <c r="AD31" s="22">
        <v>4</v>
      </c>
      <c r="AE31" s="22">
        <v>0</v>
      </c>
      <c r="AF31" s="22">
        <v>0</v>
      </c>
    </row>
    <row r="32" spans="1:32" s="7" customFormat="1" ht="15" customHeight="1" x14ac:dyDescent="0.35">
      <c r="A32" s="7" t="s">
        <v>37</v>
      </c>
      <c r="B32" s="22">
        <v>4</v>
      </c>
      <c r="C32" s="22">
        <v>37</v>
      </c>
      <c r="D32" s="22">
        <v>9</v>
      </c>
      <c r="E32" s="22">
        <v>6</v>
      </c>
      <c r="F32" s="22">
        <v>0</v>
      </c>
      <c r="G32" s="22">
        <v>0</v>
      </c>
      <c r="H32" s="22">
        <v>0</v>
      </c>
      <c r="I32" s="22"/>
      <c r="J32" s="22">
        <v>18</v>
      </c>
      <c r="K32" s="22">
        <v>18</v>
      </c>
      <c r="L32" s="22">
        <v>12</v>
      </c>
      <c r="M32" s="22">
        <v>9</v>
      </c>
      <c r="N32" s="22">
        <v>0</v>
      </c>
      <c r="O32" s="22">
        <v>0</v>
      </c>
      <c r="P32" s="22">
        <v>0</v>
      </c>
      <c r="Q32" s="22"/>
      <c r="R32" s="22">
        <v>0</v>
      </c>
      <c r="S32" s="22">
        <v>0</v>
      </c>
      <c r="T32" s="22">
        <v>0</v>
      </c>
      <c r="U32" s="22">
        <v>0</v>
      </c>
      <c r="V32" s="22">
        <v>0</v>
      </c>
      <c r="W32" s="22">
        <v>0</v>
      </c>
      <c r="X32" s="22">
        <v>0</v>
      </c>
      <c r="Y32" s="22"/>
      <c r="Z32" s="22">
        <v>11</v>
      </c>
      <c r="AA32" s="22">
        <v>14</v>
      </c>
      <c r="AB32" s="22">
        <v>14</v>
      </c>
      <c r="AC32" s="22">
        <v>1</v>
      </c>
      <c r="AD32" s="22">
        <v>5</v>
      </c>
      <c r="AE32" s="22">
        <v>0</v>
      </c>
      <c r="AF32" s="22">
        <v>0</v>
      </c>
    </row>
    <row r="33" spans="1:32" s="7" customFormat="1" ht="15" customHeight="1" x14ac:dyDescent="0.35">
      <c r="A33" s="4" t="s">
        <v>38</v>
      </c>
      <c r="B33" s="22">
        <v>4</v>
      </c>
      <c r="C33" s="22">
        <v>17</v>
      </c>
      <c r="D33" s="22">
        <v>4</v>
      </c>
      <c r="E33" s="22">
        <v>0</v>
      </c>
      <c r="F33" s="22">
        <v>0</v>
      </c>
      <c r="G33" s="22">
        <v>0</v>
      </c>
      <c r="H33" s="22">
        <v>0</v>
      </c>
      <c r="I33" s="22"/>
      <c r="J33" s="22">
        <v>4</v>
      </c>
      <c r="K33" s="22">
        <v>13</v>
      </c>
      <c r="L33" s="22">
        <v>8</v>
      </c>
      <c r="M33" s="22">
        <v>2</v>
      </c>
      <c r="N33" s="22">
        <v>0</v>
      </c>
      <c r="O33" s="22">
        <v>0</v>
      </c>
      <c r="P33" s="22">
        <v>0</v>
      </c>
      <c r="Q33" s="22"/>
      <c r="R33" s="22">
        <v>0</v>
      </c>
      <c r="S33" s="22">
        <v>2</v>
      </c>
      <c r="T33" s="22">
        <v>0</v>
      </c>
      <c r="U33" s="22">
        <v>0</v>
      </c>
      <c r="V33" s="22">
        <v>0</v>
      </c>
      <c r="W33" s="22">
        <v>0</v>
      </c>
      <c r="X33" s="22">
        <v>0</v>
      </c>
      <c r="Y33" s="22"/>
      <c r="Z33" s="22">
        <v>1</v>
      </c>
      <c r="AA33" s="22">
        <v>4</v>
      </c>
      <c r="AB33" s="22">
        <v>2</v>
      </c>
      <c r="AC33" s="22">
        <v>5</v>
      </c>
      <c r="AD33" s="22">
        <v>0</v>
      </c>
      <c r="AE33" s="22">
        <v>0</v>
      </c>
      <c r="AF33" s="22">
        <v>0</v>
      </c>
    </row>
    <row r="34" spans="1:32" s="7" customFormat="1" ht="15" customHeight="1" x14ac:dyDescent="0.35">
      <c r="A34" s="7" t="s">
        <v>39</v>
      </c>
      <c r="B34" s="22">
        <v>0</v>
      </c>
      <c r="C34" s="22">
        <v>4</v>
      </c>
      <c r="D34" s="22">
        <v>3</v>
      </c>
      <c r="E34" s="22">
        <v>3</v>
      </c>
      <c r="F34" s="22">
        <v>0</v>
      </c>
      <c r="G34" s="22">
        <v>0</v>
      </c>
      <c r="H34" s="22">
        <v>0</v>
      </c>
      <c r="I34" s="22"/>
      <c r="J34" s="22">
        <v>14</v>
      </c>
      <c r="K34" s="22">
        <v>23</v>
      </c>
      <c r="L34" s="22">
        <v>5</v>
      </c>
      <c r="M34" s="22">
        <v>3</v>
      </c>
      <c r="N34" s="22">
        <v>0</v>
      </c>
      <c r="O34" s="22">
        <v>0</v>
      </c>
      <c r="P34" s="22">
        <v>0</v>
      </c>
      <c r="Q34" s="22"/>
      <c r="R34" s="22">
        <v>2</v>
      </c>
      <c r="S34" s="22">
        <v>0</v>
      </c>
      <c r="T34" s="22">
        <v>0</v>
      </c>
      <c r="U34" s="22">
        <v>0</v>
      </c>
      <c r="V34" s="22">
        <v>0</v>
      </c>
      <c r="W34" s="22">
        <v>0</v>
      </c>
      <c r="X34" s="22">
        <v>0</v>
      </c>
      <c r="Y34" s="22"/>
      <c r="Z34" s="22">
        <v>0</v>
      </c>
      <c r="AA34" s="22">
        <v>3</v>
      </c>
      <c r="AB34" s="22">
        <v>0</v>
      </c>
      <c r="AC34" s="22">
        <v>0</v>
      </c>
      <c r="AD34" s="22">
        <v>0</v>
      </c>
      <c r="AE34" s="22">
        <v>0</v>
      </c>
      <c r="AF34" s="22">
        <v>0</v>
      </c>
    </row>
    <row r="35" spans="1:32" s="7" customFormat="1" ht="15" customHeight="1" x14ac:dyDescent="0.35">
      <c r="A35" s="7" t="s">
        <v>40</v>
      </c>
      <c r="B35" s="22">
        <v>4</v>
      </c>
      <c r="C35" s="22">
        <v>12</v>
      </c>
      <c r="D35" s="22">
        <v>3</v>
      </c>
      <c r="E35" s="22">
        <v>0</v>
      </c>
      <c r="F35" s="22">
        <v>0</v>
      </c>
      <c r="G35" s="22">
        <v>0</v>
      </c>
      <c r="H35" s="22">
        <v>0</v>
      </c>
      <c r="I35" s="22"/>
      <c r="J35" s="22">
        <v>15</v>
      </c>
      <c r="K35" s="22">
        <v>29</v>
      </c>
      <c r="L35" s="22">
        <v>8</v>
      </c>
      <c r="M35" s="22">
        <v>3</v>
      </c>
      <c r="N35" s="22">
        <v>1</v>
      </c>
      <c r="O35" s="22">
        <v>0</v>
      </c>
      <c r="P35" s="22">
        <v>0</v>
      </c>
      <c r="Q35" s="22"/>
      <c r="R35" s="22">
        <v>0</v>
      </c>
      <c r="S35" s="22">
        <v>2</v>
      </c>
      <c r="T35" s="22">
        <v>1</v>
      </c>
      <c r="U35" s="22">
        <v>1</v>
      </c>
      <c r="V35" s="22">
        <v>0</v>
      </c>
      <c r="W35" s="22">
        <v>0</v>
      </c>
      <c r="X35" s="22">
        <v>0</v>
      </c>
      <c r="Y35" s="22"/>
      <c r="Z35" s="22">
        <v>1</v>
      </c>
      <c r="AA35" s="22">
        <v>2</v>
      </c>
      <c r="AB35" s="22">
        <v>4</v>
      </c>
      <c r="AC35" s="22">
        <v>6</v>
      </c>
      <c r="AD35" s="22">
        <v>3</v>
      </c>
      <c r="AE35" s="22">
        <v>0</v>
      </c>
      <c r="AF35" s="22">
        <v>0</v>
      </c>
    </row>
    <row r="36" spans="1:32" s="7" customFormat="1" ht="15" customHeight="1" x14ac:dyDescent="0.35">
      <c r="A36" s="4" t="s">
        <v>41</v>
      </c>
      <c r="B36" s="22">
        <v>0</v>
      </c>
      <c r="C36" s="22">
        <v>0</v>
      </c>
      <c r="D36" s="22">
        <v>0</v>
      </c>
      <c r="E36" s="22">
        <v>0</v>
      </c>
      <c r="F36" s="22">
        <v>0</v>
      </c>
      <c r="G36" s="22">
        <v>0</v>
      </c>
      <c r="H36" s="22">
        <v>0</v>
      </c>
      <c r="I36" s="22"/>
      <c r="J36" s="22">
        <v>0</v>
      </c>
      <c r="K36" s="22">
        <v>0</v>
      </c>
      <c r="L36" s="22">
        <v>0</v>
      </c>
      <c r="M36" s="22">
        <v>0</v>
      </c>
      <c r="N36" s="22">
        <v>0</v>
      </c>
      <c r="O36" s="22">
        <v>0</v>
      </c>
      <c r="P36" s="22">
        <v>0</v>
      </c>
      <c r="Q36" s="22"/>
      <c r="R36" s="22">
        <v>1</v>
      </c>
      <c r="S36" s="22">
        <v>4</v>
      </c>
      <c r="T36" s="22">
        <v>5</v>
      </c>
      <c r="U36" s="22">
        <v>0</v>
      </c>
      <c r="V36" s="22">
        <v>0</v>
      </c>
      <c r="W36" s="22">
        <v>0</v>
      </c>
      <c r="X36" s="22">
        <v>0</v>
      </c>
      <c r="Y36" s="22"/>
      <c r="Z36" s="22">
        <v>0</v>
      </c>
      <c r="AA36" s="22">
        <v>0</v>
      </c>
      <c r="AB36" s="22">
        <v>0</v>
      </c>
      <c r="AC36" s="22">
        <v>0</v>
      </c>
      <c r="AD36" s="22">
        <v>0</v>
      </c>
      <c r="AE36" s="22">
        <v>0</v>
      </c>
      <c r="AF36" s="22">
        <v>0</v>
      </c>
    </row>
    <row r="37" spans="1:32" s="7" customFormat="1" ht="15" customHeight="1" x14ac:dyDescent="0.35">
      <c r="A37" s="7" t="s">
        <v>42</v>
      </c>
      <c r="B37" s="22">
        <v>0</v>
      </c>
      <c r="C37" s="22">
        <v>1</v>
      </c>
      <c r="D37" s="22">
        <v>1</v>
      </c>
      <c r="E37" s="22">
        <v>2</v>
      </c>
      <c r="F37" s="22">
        <v>0</v>
      </c>
      <c r="G37" s="22">
        <v>0</v>
      </c>
      <c r="H37" s="22">
        <v>0</v>
      </c>
      <c r="I37" s="22"/>
      <c r="J37" s="22">
        <v>12</v>
      </c>
      <c r="K37" s="22">
        <v>31</v>
      </c>
      <c r="L37" s="22">
        <v>9</v>
      </c>
      <c r="M37" s="22">
        <v>1</v>
      </c>
      <c r="N37" s="22">
        <v>0</v>
      </c>
      <c r="O37" s="22">
        <v>0</v>
      </c>
      <c r="P37" s="22">
        <v>0</v>
      </c>
      <c r="Q37" s="22"/>
      <c r="R37" s="22">
        <v>0</v>
      </c>
      <c r="S37" s="22">
        <v>2</v>
      </c>
      <c r="T37" s="22">
        <v>0</v>
      </c>
      <c r="U37" s="22">
        <v>0</v>
      </c>
      <c r="V37" s="22">
        <v>1</v>
      </c>
      <c r="W37" s="22">
        <v>0</v>
      </c>
      <c r="X37" s="22">
        <v>0</v>
      </c>
      <c r="Y37" s="22"/>
      <c r="Z37" s="22">
        <v>0</v>
      </c>
      <c r="AA37" s="22">
        <v>6</v>
      </c>
      <c r="AB37" s="22">
        <v>8</v>
      </c>
      <c r="AC37" s="22">
        <v>5</v>
      </c>
      <c r="AD37" s="22">
        <v>1</v>
      </c>
      <c r="AE37" s="22">
        <v>0</v>
      </c>
      <c r="AF37" s="22">
        <v>0</v>
      </c>
    </row>
    <row r="38" spans="1:32" s="7" customFormat="1" ht="15" customHeight="1" x14ac:dyDescent="0.35">
      <c r="A38" s="7" t="s">
        <v>43</v>
      </c>
      <c r="B38" s="22">
        <v>2</v>
      </c>
      <c r="C38" s="22">
        <v>8</v>
      </c>
      <c r="D38" s="22">
        <v>3</v>
      </c>
      <c r="E38" s="22">
        <v>0</v>
      </c>
      <c r="F38" s="22">
        <v>0</v>
      </c>
      <c r="G38" s="22">
        <v>0</v>
      </c>
      <c r="H38" s="22">
        <v>0</v>
      </c>
      <c r="I38" s="22"/>
      <c r="J38" s="22">
        <v>5</v>
      </c>
      <c r="K38" s="22">
        <v>23</v>
      </c>
      <c r="L38" s="22">
        <v>5</v>
      </c>
      <c r="M38" s="22">
        <v>1</v>
      </c>
      <c r="N38" s="22">
        <v>0</v>
      </c>
      <c r="O38" s="22">
        <v>0</v>
      </c>
      <c r="P38" s="22">
        <v>0</v>
      </c>
      <c r="Q38" s="22"/>
      <c r="R38" s="22">
        <v>0</v>
      </c>
      <c r="S38" s="22">
        <v>0</v>
      </c>
      <c r="T38" s="22">
        <v>0</v>
      </c>
      <c r="U38" s="22">
        <v>0</v>
      </c>
      <c r="V38" s="22">
        <v>0</v>
      </c>
      <c r="W38" s="22">
        <v>0</v>
      </c>
      <c r="X38" s="22">
        <v>0</v>
      </c>
      <c r="Y38" s="22"/>
      <c r="Z38" s="22">
        <v>2</v>
      </c>
      <c r="AA38" s="22">
        <v>1</v>
      </c>
      <c r="AB38" s="22">
        <v>2</v>
      </c>
      <c r="AC38" s="22">
        <v>3</v>
      </c>
      <c r="AD38" s="22">
        <v>2</v>
      </c>
      <c r="AE38" s="22">
        <v>0</v>
      </c>
      <c r="AF38" s="22">
        <v>0</v>
      </c>
    </row>
    <row r="39" spans="1:32" s="7" customFormat="1" ht="15" customHeight="1" x14ac:dyDescent="0.35">
      <c r="A39" s="7" t="s">
        <v>44</v>
      </c>
      <c r="B39" s="22">
        <v>0</v>
      </c>
      <c r="C39" s="22">
        <v>1</v>
      </c>
      <c r="D39" s="22">
        <v>0</v>
      </c>
      <c r="E39" s="22">
        <v>0</v>
      </c>
      <c r="F39" s="22">
        <v>0</v>
      </c>
      <c r="G39" s="22">
        <v>0</v>
      </c>
      <c r="H39" s="22">
        <v>0</v>
      </c>
      <c r="I39" s="22"/>
      <c r="J39" s="22">
        <v>5</v>
      </c>
      <c r="K39" s="22">
        <v>10</v>
      </c>
      <c r="L39" s="22">
        <v>1</v>
      </c>
      <c r="M39" s="22">
        <v>2</v>
      </c>
      <c r="N39" s="22">
        <v>0</v>
      </c>
      <c r="O39" s="22">
        <v>0</v>
      </c>
      <c r="P39" s="22">
        <v>0</v>
      </c>
      <c r="Q39" s="22"/>
      <c r="R39" s="22">
        <v>0</v>
      </c>
      <c r="S39" s="22">
        <v>0</v>
      </c>
      <c r="T39" s="22">
        <v>0</v>
      </c>
      <c r="U39" s="22">
        <v>1</v>
      </c>
      <c r="V39" s="22">
        <v>0</v>
      </c>
      <c r="W39" s="22">
        <v>0</v>
      </c>
      <c r="X39" s="22">
        <v>0</v>
      </c>
      <c r="Y39" s="22"/>
      <c r="Z39" s="22">
        <v>0</v>
      </c>
      <c r="AA39" s="22">
        <v>1</v>
      </c>
      <c r="AB39" s="22">
        <v>2</v>
      </c>
      <c r="AC39" s="22">
        <v>1</v>
      </c>
      <c r="AD39" s="22">
        <v>0</v>
      </c>
      <c r="AE39" s="22">
        <v>0</v>
      </c>
      <c r="AF39" s="22">
        <v>0</v>
      </c>
    </row>
    <row r="40" spans="1:32" s="7" customFormat="1" ht="15" customHeight="1" x14ac:dyDescent="0.35">
      <c r="A40" s="4" t="s">
        <v>45</v>
      </c>
      <c r="B40" s="22">
        <v>1</v>
      </c>
      <c r="C40" s="22">
        <v>9</v>
      </c>
      <c r="D40" s="22">
        <v>2</v>
      </c>
      <c r="E40" s="22">
        <v>1</v>
      </c>
      <c r="F40" s="22">
        <v>0</v>
      </c>
      <c r="G40" s="22">
        <v>0</v>
      </c>
      <c r="H40" s="22">
        <v>0</v>
      </c>
      <c r="I40" s="22"/>
      <c r="J40" s="22">
        <v>7</v>
      </c>
      <c r="K40" s="22">
        <v>15</v>
      </c>
      <c r="L40" s="22">
        <v>12</v>
      </c>
      <c r="M40" s="22">
        <v>2</v>
      </c>
      <c r="N40" s="22">
        <v>0</v>
      </c>
      <c r="O40" s="22">
        <v>0</v>
      </c>
      <c r="P40" s="22">
        <v>0</v>
      </c>
      <c r="Q40" s="22"/>
      <c r="R40" s="22">
        <v>0</v>
      </c>
      <c r="S40" s="22">
        <v>1</v>
      </c>
      <c r="T40" s="22">
        <v>0</v>
      </c>
      <c r="U40" s="22">
        <v>0</v>
      </c>
      <c r="V40" s="22">
        <v>0</v>
      </c>
      <c r="W40" s="22">
        <v>0</v>
      </c>
      <c r="X40" s="22">
        <v>0</v>
      </c>
      <c r="Y40" s="22"/>
      <c r="Z40" s="22">
        <v>4</v>
      </c>
      <c r="AA40" s="22">
        <v>5</v>
      </c>
      <c r="AB40" s="22">
        <v>5</v>
      </c>
      <c r="AC40" s="22">
        <v>4</v>
      </c>
      <c r="AD40" s="22">
        <v>1</v>
      </c>
      <c r="AE40" s="22">
        <v>0</v>
      </c>
      <c r="AF40" s="22">
        <v>0</v>
      </c>
    </row>
    <row r="41" spans="1:32" s="7" customFormat="1" ht="15" customHeight="1" x14ac:dyDescent="0.35">
      <c r="A41" s="4" t="s">
        <v>46</v>
      </c>
      <c r="B41" s="22">
        <v>0</v>
      </c>
      <c r="C41" s="22">
        <v>0</v>
      </c>
      <c r="D41" s="22">
        <v>0</v>
      </c>
      <c r="E41" s="22">
        <v>0</v>
      </c>
      <c r="F41" s="22">
        <v>0</v>
      </c>
      <c r="G41" s="22">
        <v>0</v>
      </c>
      <c r="H41" s="22">
        <v>0</v>
      </c>
      <c r="I41" s="22"/>
      <c r="J41" s="22">
        <v>12</v>
      </c>
      <c r="K41" s="22">
        <v>31</v>
      </c>
      <c r="L41" s="22">
        <v>23</v>
      </c>
      <c r="M41" s="22">
        <v>8</v>
      </c>
      <c r="N41" s="22">
        <v>0</v>
      </c>
      <c r="O41" s="22">
        <v>0</v>
      </c>
      <c r="P41" s="22">
        <v>0</v>
      </c>
      <c r="Q41" s="22"/>
      <c r="R41" s="22">
        <v>0</v>
      </c>
      <c r="S41" s="22">
        <v>0</v>
      </c>
      <c r="T41" s="22">
        <v>0</v>
      </c>
      <c r="U41" s="22">
        <v>0</v>
      </c>
      <c r="V41" s="22">
        <v>0</v>
      </c>
      <c r="W41" s="22">
        <v>0</v>
      </c>
      <c r="X41" s="22">
        <v>0</v>
      </c>
      <c r="Y41" s="22"/>
      <c r="Z41" s="22">
        <v>0</v>
      </c>
      <c r="AA41" s="22">
        <v>2</v>
      </c>
      <c r="AB41" s="22">
        <v>0</v>
      </c>
      <c r="AC41" s="22">
        <v>1</v>
      </c>
      <c r="AD41" s="22">
        <v>1</v>
      </c>
      <c r="AE41" s="22">
        <v>0</v>
      </c>
      <c r="AF41" s="22">
        <v>0</v>
      </c>
    </row>
    <row r="42" spans="1:32" s="7" customFormat="1" ht="15" customHeight="1" x14ac:dyDescent="0.35">
      <c r="A42" s="4" t="s">
        <v>47</v>
      </c>
      <c r="B42" s="22">
        <v>0</v>
      </c>
      <c r="C42" s="22">
        <v>1</v>
      </c>
      <c r="D42" s="22">
        <v>3</v>
      </c>
      <c r="E42" s="22">
        <v>1</v>
      </c>
      <c r="F42" s="22">
        <v>0</v>
      </c>
      <c r="G42" s="22">
        <v>0</v>
      </c>
      <c r="H42" s="22">
        <v>0</v>
      </c>
      <c r="I42" s="22"/>
      <c r="J42" s="22">
        <v>5</v>
      </c>
      <c r="K42" s="22">
        <v>12</v>
      </c>
      <c r="L42" s="22">
        <v>9</v>
      </c>
      <c r="M42" s="22">
        <v>0</v>
      </c>
      <c r="N42" s="22">
        <v>0</v>
      </c>
      <c r="O42" s="22">
        <v>0</v>
      </c>
      <c r="P42" s="22">
        <v>0</v>
      </c>
      <c r="Q42" s="22"/>
      <c r="R42" s="22">
        <v>0</v>
      </c>
      <c r="S42" s="22">
        <v>0</v>
      </c>
      <c r="T42" s="22">
        <v>1</v>
      </c>
      <c r="U42" s="22">
        <v>0</v>
      </c>
      <c r="V42" s="22">
        <v>0</v>
      </c>
      <c r="W42" s="22">
        <v>0</v>
      </c>
      <c r="X42" s="22">
        <v>0</v>
      </c>
      <c r="Y42" s="22"/>
      <c r="Z42" s="22">
        <v>2</v>
      </c>
      <c r="AA42" s="22">
        <v>2</v>
      </c>
      <c r="AB42" s="22">
        <v>3</v>
      </c>
      <c r="AC42" s="22">
        <v>2</v>
      </c>
      <c r="AD42" s="22">
        <v>0</v>
      </c>
      <c r="AE42" s="22">
        <v>0</v>
      </c>
      <c r="AF42" s="22">
        <v>0</v>
      </c>
    </row>
    <row r="43" spans="1:32" s="7" customFormat="1" ht="15" customHeight="1" x14ac:dyDescent="0.35">
      <c r="A43" s="4" t="s">
        <v>48</v>
      </c>
      <c r="B43" s="22">
        <v>3</v>
      </c>
      <c r="C43" s="22">
        <v>4</v>
      </c>
      <c r="D43" s="22">
        <v>1</v>
      </c>
      <c r="E43" s="22">
        <v>0</v>
      </c>
      <c r="F43" s="22">
        <v>0</v>
      </c>
      <c r="G43" s="22">
        <v>0</v>
      </c>
      <c r="H43" s="22">
        <v>0</v>
      </c>
      <c r="I43" s="22"/>
      <c r="J43" s="22">
        <v>4</v>
      </c>
      <c r="K43" s="22">
        <v>10</v>
      </c>
      <c r="L43" s="22">
        <v>2</v>
      </c>
      <c r="M43" s="22">
        <v>0</v>
      </c>
      <c r="N43" s="22">
        <v>0</v>
      </c>
      <c r="O43" s="22">
        <v>0</v>
      </c>
      <c r="P43" s="22">
        <v>0</v>
      </c>
      <c r="Q43" s="22"/>
      <c r="R43" s="22">
        <v>0</v>
      </c>
      <c r="S43" s="22">
        <v>0</v>
      </c>
      <c r="T43" s="22">
        <v>0</v>
      </c>
      <c r="U43" s="22">
        <v>0</v>
      </c>
      <c r="V43" s="22">
        <v>0</v>
      </c>
      <c r="W43" s="22">
        <v>0</v>
      </c>
      <c r="X43" s="22">
        <v>0</v>
      </c>
      <c r="Y43" s="22"/>
      <c r="Z43" s="22">
        <v>1</v>
      </c>
      <c r="AA43" s="22">
        <v>3</v>
      </c>
      <c r="AB43" s="22">
        <v>3</v>
      </c>
      <c r="AC43" s="22">
        <v>3</v>
      </c>
      <c r="AD43" s="22">
        <v>0</v>
      </c>
      <c r="AE43" s="22">
        <v>0</v>
      </c>
      <c r="AF43" s="22">
        <v>0</v>
      </c>
    </row>
    <row r="44" spans="1:32" s="7" customFormat="1" ht="15" customHeight="1" x14ac:dyDescent="0.35">
      <c r="A44" s="4" t="s">
        <v>49</v>
      </c>
      <c r="B44" s="22">
        <v>0</v>
      </c>
      <c r="C44" s="22">
        <v>1</v>
      </c>
      <c r="D44" s="22">
        <v>1</v>
      </c>
      <c r="E44" s="22">
        <v>0</v>
      </c>
      <c r="F44" s="22">
        <v>0</v>
      </c>
      <c r="G44" s="22">
        <v>0</v>
      </c>
      <c r="H44" s="22">
        <v>0</v>
      </c>
      <c r="I44" s="22"/>
      <c r="J44" s="22">
        <v>10</v>
      </c>
      <c r="K44" s="22">
        <v>20</v>
      </c>
      <c r="L44" s="22">
        <v>13</v>
      </c>
      <c r="M44" s="22">
        <v>6</v>
      </c>
      <c r="N44" s="22">
        <v>0</v>
      </c>
      <c r="O44" s="22">
        <v>0</v>
      </c>
      <c r="P44" s="22">
        <v>0</v>
      </c>
      <c r="Q44" s="22"/>
      <c r="R44" s="22">
        <v>0</v>
      </c>
      <c r="S44" s="22">
        <v>0</v>
      </c>
      <c r="T44" s="22">
        <v>0</v>
      </c>
      <c r="U44" s="22">
        <v>0</v>
      </c>
      <c r="V44" s="22">
        <v>0</v>
      </c>
      <c r="W44" s="22">
        <v>0</v>
      </c>
      <c r="X44" s="22">
        <v>0</v>
      </c>
      <c r="Y44" s="22"/>
      <c r="Z44" s="22">
        <v>1</v>
      </c>
      <c r="AA44" s="22">
        <v>3</v>
      </c>
      <c r="AB44" s="22">
        <v>0</v>
      </c>
      <c r="AC44" s="22">
        <v>1</v>
      </c>
      <c r="AD44" s="22">
        <v>1</v>
      </c>
      <c r="AE44" s="22">
        <v>0</v>
      </c>
      <c r="AF44" s="22">
        <v>0</v>
      </c>
    </row>
    <row r="45" spans="1:32" s="7" customFormat="1" ht="15" customHeight="1" x14ac:dyDescent="0.35">
      <c r="A45" s="4" t="s">
        <v>50</v>
      </c>
      <c r="B45" s="22">
        <v>1</v>
      </c>
      <c r="C45" s="22">
        <v>2</v>
      </c>
      <c r="D45" s="22">
        <v>2</v>
      </c>
      <c r="E45" s="22">
        <v>2</v>
      </c>
      <c r="F45" s="22">
        <v>1</v>
      </c>
      <c r="G45" s="22">
        <v>0</v>
      </c>
      <c r="H45" s="22">
        <v>0</v>
      </c>
      <c r="I45" s="22"/>
      <c r="J45" s="22">
        <v>3</v>
      </c>
      <c r="K45" s="22">
        <v>0</v>
      </c>
      <c r="L45" s="22">
        <v>2</v>
      </c>
      <c r="M45" s="22">
        <v>3</v>
      </c>
      <c r="N45" s="22">
        <v>1</v>
      </c>
      <c r="O45" s="22">
        <v>0</v>
      </c>
      <c r="P45" s="22">
        <v>0</v>
      </c>
      <c r="Q45" s="22"/>
      <c r="R45" s="22">
        <v>1</v>
      </c>
      <c r="S45" s="22">
        <v>2</v>
      </c>
      <c r="T45" s="22">
        <v>0</v>
      </c>
      <c r="U45" s="22">
        <v>0</v>
      </c>
      <c r="V45" s="22">
        <v>0</v>
      </c>
      <c r="W45" s="22">
        <v>0</v>
      </c>
      <c r="X45" s="22">
        <v>0</v>
      </c>
      <c r="Y45" s="22"/>
      <c r="Z45" s="22">
        <v>0</v>
      </c>
      <c r="AA45" s="22">
        <v>0</v>
      </c>
      <c r="AB45" s="22">
        <v>0</v>
      </c>
      <c r="AC45" s="22">
        <v>1</v>
      </c>
      <c r="AD45" s="22">
        <v>0</v>
      </c>
      <c r="AE45" s="22">
        <v>0</v>
      </c>
      <c r="AF45" s="22">
        <v>0</v>
      </c>
    </row>
    <row r="46" spans="1:32" s="7" customFormat="1" ht="15" customHeight="1" x14ac:dyDescent="0.35">
      <c r="A46" s="4" t="s">
        <v>51</v>
      </c>
      <c r="B46" s="22">
        <v>3</v>
      </c>
      <c r="C46" s="22">
        <v>19</v>
      </c>
      <c r="D46" s="22">
        <v>5</v>
      </c>
      <c r="E46" s="22">
        <v>3</v>
      </c>
      <c r="F46" s="22">
        <v>1</v>
      </c>
      <c r="G46" s="22">
        <v>0</v>
      </c>
      <c r="H46" s="22">
        <v>0</v>
      </c>
      <c r="I46" s="22"/>
      <c r="J46" s="22">
        <v>3</v>
      </c>
      <c r="K46" s="22">
        <v>11</v>
      </c>
      <c r="L46" s="22">
        <v>2</v>
      </c>
      <c r="M46" s="22">
        <v>4</v>
      </c>
      <c r="N46" s="22">
        <v>0</v>
      </c>
      <c r="O46" s="22">
        <v>0</v>
      </c>
      <c r="P46" s="22">
        <v>0</v>
      </c>
      <c r="Q46" s="22"/>
      <c r="R46" s="22">
        <v>0</v>
      </c>
      <c r="S46" s="22">
        <v>2</v>
      </c>
      <c r="T46" s="22">
        <v>0</v>
      </c>
      <c r="U46" s="22">
        <v>1</v>
      </c>
      <c r="V46" s="22">
        <v>0</v>
      </c>
      <c r="W46" s="22">
        <v>0</v>
      </c>
      <c r="X46" s="22">
        <v>0</v>
      </c>
      <c r="Y46" s="22"/>
      <c r="Z46" s="22">
        <v>1</v>
      </c>
      <c r="AA46" s="22">
        <v>5</v>
      </c>
      <c r="AB46" s="22">
        <v>9</v>
      </c>
      <c r="AC46" s="22">
        <v>3</v>
      </c>
      <c r="AD46" s="22">
        <v>0</v>
      </c>
      <c r="AE46" s="22">
        <v>2</v>
      </c>
      <c r="AF46" s="22">
        <v>0</v>
      </c>
    </row>
    <row r="47" spans="1:32" s="7" customFormat="1" ht="15" customHeight="1" x14ac:dyDescent="0.35">
      <c r="A47" s="4" t="s">
        <v>52</v>
      </c>
      <c r="B47" s="22">
        <v>4</v>
      </c>
      <c r="C47" s="22">
        <v>16</v>
      </c>
      <c r="D47" s="22">
        <v>4</v>
      </c>
      <c r="E47" s="22">
        <v>0</v>
      </c>
      <c r="F47" s="22">
        <v>0</v>
      </c>
      <c r="G47" s="22">
        <v>0</v>
      </c>
      <c r="H47" s="22">
        <v>0</v>
      </c>
      <c r="I47" s="22"/>
      <c r="J47" s="22">
        <v>19</v>
      </c>
      <c r="K47" s="22">
        <v>20</v>
      </c>
      <c r="L47" s="22">
        <v>5</v>
      </c>
      <c r="M47" s="22">
        <v>1</v>
      </c>
      <c r="N47" s="22">
        <v>0</v>
      </c>
      <c r="O47" s="22">
        <v>0</v>
      </c>
      <c r="P47" s="22">
        <v>2</v>
      </c>
      <c r="Q47" s="22"/>
      <c r="R47" s="22">
        <v>0</v>
      </c>
      <c r="S47" s="22">
        <v>0</v>
      </c>
      <c r="T47" s="22">
        <v>0</v>
      </c>
      <c r="U47" s="22">
        <v>0</v>
      </c>
      <c r="V47" s="22">
        <v>0</v>
      </c>
      <c r="W47" s="22">
        <v>0</v>
      </c>
      <c r="X47" s="22">
        <v>0</v>
      </c>
      <c r="Y47" s="22"/>
      <c r="Z47" s="22">
        <v>1</v>
      </c>
      <c r="AA47" s="22">
        <v>1</v>
      </c>
      <c r="AB47" s="22">
        <v>2</v>
      </c>
      <c r="AC47" s="22">
        <v>2</v>
      </c>
      <c r="AD47" s="22">
        <v>4</v>
      </c>
      <c r="AE47" s="22">
        <v>0</v>
      </c>
      <c r="AF47" s="22">
        <v>0</v>
      </c>
    </row>
    <row r="48" spans="1:32" s="7" customFormat="1" ht="15" customHeight="1" x14ac:dyDescent="0.35">
      <c r="A48" s="4" t="s">
        <v>53</v>
      </c>
      <c r="B48" s="22">
        <v>0</v>
      </c>
      <c r="C48" s="22">
        <v>0</v>
      </c>
      <c r="D48" s="22">
        <v>0</v>
      </c>
      <c r="E48" s="22">
        <v>0</v>
      </c>
      <c r="F48" s="22">
        <v>0</v>
      </c>
      <c r="G48" s="22">
        <v>0</v>
      </c>
      <c r="H48" s="22">
        <v>0</v>
      </c>
      <c r="I48" s="22"/>
      <c r="J48" s="22">
        <v>0</v>
      </c>
      <c r="K48" s="22">
        <v>1</v>
      </c>
      <c r="L48" s="22">
        <v>1</v>
      </c>
      <c r="M48" s="22">
        <v>0</v>
      </c>
      <c r="N48" s="22">
        <v>0</v>
      </c>
      <c r="O48" s="22">
        <v>0</v>
      </c>
      <c r="P48" s="22">
        <v>0</v>
      </c>
      <c r="Q48" s="22"/>
      <c r="R48" s="22">
        <v>0</v>
      </c>
      <c r="S48" s="22">
        <v>0</v>
      </c>
      <c r="T48" s="22">
        <v>0</v>
      </c>
      <c r="U48" s="22">
        <v>0</v>
      </c>
      <c r="V48" s="22">
        <v>0</v>
      </c>
      <c r="W48" s="22">
        <v>0</v>
      </c>
      <c r="X48" s="22">
        <v>0</v>
      </c>
      <c r="Y48" s="22"/>
      <c r="Z48" s="22">
        <v>0</v>
      </c>
      <c r="AA48" s="22">
        <v>0</v>
      </c>
      <c r="AB48" s="22">
        <v>0</v>
      </c>
      <c r="AC48" s="22">
        <v>0</v>
      </c>
      <c r="AD48" s="22">
        <v>0</v>
      </c>
      <c r="AE48" s="22">
        <v>0</v>
      </c>
      <c r="AF48" s="22">
        <v>0</v>
      </c>
    </row>
    <row r="49" spans="1:32" s="7" customFormat="1" ht="15" customHeight="1" x14ac:dyDescent="0.35">
      <c r="A49" s="42" t="s">
        <v>54</v>
      </c>
      <c r="B49" s="21">
        <f>SUM(B50:B56)</f>
        <v>99</v>
      </c>
      <c r="C49" s="21">
        <f t="shared" ref="C49:H49" si="8">SUM(C50:C56)</f>
        <v>273</v>
      </c>
      <c r="D49" s="21">
        <f t="shared" si="8"/>
        <v>57</v>
      </c>
      <c r="E49" s="21">
        <f t="shared" si="8"/>
        <v>10</v>
      </c>
      <c r="F49" s="21">
        <f t="shared" si="8"/>
        <v>1</v>
      </c>
      <c r="G49" s="21">
        <f t="shared" si="8"/>
        <v>0</v>
      </c>
      <c r="H49" s="21">
        <f t="shared" si="8"/>
        <v>0</v>
      </c>
      <c r="I49" s="21"/>
      <c r="J49" s="21">
        <f>SUM(J50:J56)</f>
        <v>10</v>
      </c>
      <c r="K49" s="21">
        <f t="shared" ref="K49:P49" si="9">SUM(K50:K56)</f>
        <v>27</v>
      </c>
      <c r="L49" s="21">
        <f t="shared" si="9"/>
        <v>11</v>
      </c>
      <c r="M49" s="21">
        <f t="shared" si="9"/>
        <v>7</v>
      </c>
      <c r="N49" s="21">
        <f t="shared" si="9"/>
        <v>0</v>
      </c>
      <c r="O49" s="21">
        <f t="shared" si="9"/>
        <v>0</v>
      </c>
      <c r="P49" s="21">
        <f t="shared" si="9"/>
        <v>0</v>
      </c>
      <c r="Q49" s="21"/>
      <c r="R49" s="21">
        <f t="shared" ref="R49:X49" si="10">SUM(R50:R56)</f>
        <v>5</v>
      </c>
      <c r="S49" s="21">
        <f t="shared" si="10"/>
        <v>17</v>
      </c>
      <c r="T49" s="21">
        <f t="shared" si="10"/>
        <v>8</v>
      </c>
      <c r="U49" s="21">
        <f t="shared" si="10"/>
        <v>3</v>
      </c>
      <c r="V49" s="21">
        <f t="shared" si="10"/>
        <v>0</v>
      </c>
      <c r="W49" s="21">
        <f t="shared" si="10"/>
        <v>0</v>
      </c>
      <c r="X49" s="21">
        <f t="shared" si="10"/>
        <v>0</v>
      </c>
      <c r="Y49" s="21"/>
      <c r="Z49" s="21">
        <f t="shared" ref="Z49:AF49" si="11">SUM(Z50:Z56)</f>
        <v>53</v>
      </c>
      <c r="AA49" s="21">
        <f t="shared" si="11"/>
        <v>100</v>
      </c>
      <c r="AB49" s="21">
        <f t="shared" si="11"/>
        <v>66</v>
      </c>
      <c r="AC49" s="21">
        <f t="shared" si="11"/>
        <v>60</v>
      </c>
      <c r="AD49" s="21">
        <f t="shared" si="11"/>
        <v>21</v>
      </c>
      <c r="AE49" s="21">
        <f t="shared" si="11"/>
        <v>2</v>
      </c>
      <c r="AF49" s="21">
        <f t="shared" si="11"/>
        <v>0</v>
      </c>
    </row>
    <row r="50" spans="1:32" s="7" customFormat="1" ht="15" customHeight="1" x14ac:dyDescent="0.35">
      <c r="A50" s="4" t="s">
        <v>55</v>
      </c>
      <c r="B50" s="22">
        <v>11</v>
      </c>
      <c r="C50" s="22">
        <v>35</v>
      </c>
      <c r="D50" s="22">
        <v>9</v>
      </c>
      <c r="E50" s="22">
        <v>0</v>
      </c>
      <c r="F50" s="22">
        <v>0</v>
      </c>
      <c r="G50" s="22">
        <v>0</v>
      </c>
      <c r="H50" s="22">
        <v>0</v>
      </c>
      <c r="I50" s="22"/>
      <c r="J50" s="22">
        <v>0</v>
      </c>
      <c r="K50" s="22">
        <v>0</v>
      </c>
      <c r="L50" s="22">
        <v>0</v>
      </c>
      <c r="M50" s="22">
        <v>0</v>
      </c>
      <c r="N50" s="22">
        <v>0</v>
      </c>
      <c r="O50" s="22">
        <v>0</v>
      </c>
      <c r="P50" s="22">
        <v>0</v>
      </c>
      <c r="Q50" s="22"/>
      <c r="R50" s="22">
        <v>0</v>
      </c>
      <c r="S50" s="22">
        <v>0</v>
      </c>
      <c r="T50" s="22">
        <v>0</v>
      </c>
      <c r="U50" s="22">
        <v>0</v>
      </c>
      <c r="V50" s="22">
        <v>0</v>
      </c>
      <c r="W50" s="22">
        <v>0</v>
      </c>
      <c r="X50" s="22">
        <v>0</v>
      </c>
      <c r="Y50" s="22"/>
      <c r="Z50" s="22">
        <v>16</v>
      </c>
      <c r="AA50" s="22">
        <v>27</v>
      </c>
      <c r="AB50" s="22">
        <v>16</v>
      </c>
      <c r="AC50" s="22">
        <v>17</v>
      </c>
      <c r="AD50" s="22">
        <v>4</v>
      </c>
      <c r="AE50" s="22">
        <v>0</v>
      </c>
      <c r="AF50" s="22">
        <v>0</v>
      </c>
    </row>
    <row r="51" spans="1:32" s="7" customFormat="1" ht="15" customHeight="1" x14ac:dyDescent="0.35">
      <c r="A51" s="4" t="s">
        <v>56</v>
      </c>
      <c r="B51" s="22">
        <v>7</v>
      </c>
      <c r="C51" s="22">
        <v>21</v>
      </c>
      <c r="D51" s="22">
        <v>4</v>
      </c>
      <c r="E51" s="22">
        <v>0</v>
      </c>
      <c r="F51" s="22">
        <v>0</v>
      </c>
      <c r="G51" s="22">
        <v>0</v>
      </c>
      <c r="H51" s="22">
        <v>0</v>
      </c>
      <c r="I51" s="22"/>
      <c r="J51" s="22">
        <v>4</v>
      </c>
      <c r="K51" s="22">
        <v>11</v>
      </c>
      <c r="L51" s="22">
        <v>1</v>
      </c>
      <c r="M51" s="22">
        <v>0</v>
      </c>
      <c r="N51" s="22">
        <v>0</v>
      </c>
      <c r="O51" s="22">
        <v>0</v>
      </c>
      <c r="P51" s="22">
        <v>0</v>
      </c>
      <c r="Q51" s="22"/>
      <c r="R51" s="22">
        <v>1</v>
      </c>
      <c r="S51" s="22">
        <v>4</v>
      </c>
      <c r="T51" s="22">
        <v>2</v>
      </c>
      <c r="U51" s="22">
        <v>0</v>
      </c>
      <c r="V51" s="22">
        <v>0</v>
      </c>
      <c r="W51" s="22">
        <v>0</v>
      </c>
      <c r="X51" s="22">
        <v>0</v>
      </c>
      <c r="Y51" s="22"/>
      <c r="Z51" s="22">
        <v>12</v>
      </c>
      <c r="AA51" s="22">
        <v>1</v>
      </c>
      <c r="AB51" s="22">
        <v>1</v>
      </c>
      <c r="AC51" s="22">
        <v>2</v>
      </c>
      <c r="AD51" s="22">
        <v>1</v>
      </c>
      <c r="AE51" s="22">
        <v>0</v>
      </c>
      <c r="AF51" s="22">
        <v>0</v>
      </c>
    </row>
    <row r="52" spans="1:32" s="7" customFormat="1" ht="15" customHeight="1" x14ac:dyDescent="0.35">
      <c r="A52" s="4" t="s">
        <v>57</v>
      </c>
      <c r="B52" s="22">
        <v>0</v>
      </c>
      <c r="C52" s="22">
        <v>17</v>
      </c>
      <c r="D52" s="22">
        <v>11</v>
      </c>
      <c r="E52" s="22">
        <v>4</v>
      </c>
      <c r="F52" s="22">
        <v>0</v>
      </c>
      <c r="G52" s="22">
        <v>0</v>
      </c>
      <c r="H52" s="22">
        <v>0</v>
      </c>
      <c r="I52" s="22"/>
      <c r="J52" s="22">
        <v>2</v>
      </c>
      <c r="K52" s="22">
        <v>9</v>
      </c>
      <c r="L52" s="22">
        <v>9</v>
      </c>
      <c r="M52" s="22">
        <v>6</v>
      </c>
      <c r="N52" s="22">
        <v>0</v>
      </c>
      <c r="O52" s="22">
        <v>0</v>
      </c>
      <c r="P52" s="22">
        <v>0</v>
      </c>
      <c r="Q52" s="22"/>
      <c r="R52" s="22">
        <v>2</v>
      </c>
      <c r="S52" s="22">
        <v>1</v>
      </c>
      <c r="T52" s="22">
        <v>0</v>
      </c>
      <c r="U52" s="22">
        <v>0</v>
      </c>
      <c r="V52" s="22">
        <v>0</v>
      </c>
      <c r="W52" s="22">
        <v>0</v>
      </c>
      <c r="X52" s="22">
        <v>0</v>
      </c>
      <c r="Y52" s="22"/>
      <c r="Z52" s="22">
        <v>12</v>
      </c>
      <c r="AA52" s="22">
        <v>11</v>
      </c>
      <c r="AB52" s="22">
        <v>6</v>
      </c>
      <c r="AC52" s="22">
        <v>6</v>
      </c>
      <c r="AD52" s="22">
        <v>2</v>
      </c>
      <c r="AE52" s="22">
        <v>0</v>
      </c>
      <c r="AF52" s="22">
        <v>0</v>
      </c>
    </row>
    <row r="53" spans="1:32" s="7" customFormat="1" ht="15" customHeight="1" x14ac:dyDescent="0.35">
      <c r="A53" s="2" t="s">
        <v>58</v>
      </c>
      <c r="B53" s="22">
        <v>0</v>
      </c>
      <c r="C53" s="22">
        <v>3</v>
      </c>
      <c r="D53" s="22">
        <v>2</v>
      </c>
      <c r="E53" s="22">
        <v>0</v>
      </c>
      <c r="F53" s="22">
        <v>1</v>
      </c>
      <c r="G53" s="22">
        <v>0</v>
      </c>
      <c r="H53" s="22">
        <v>0</v>
      </c>
      <c r="I53" s="22"/>
      <c r="J53" s="22">
        <v>3</v>
      </c>
      <c r="K53" s="22">
        <v>3</v>
      </c>
      <c r="L53" s="22">
        <v>0</v>
      </c>
      <c r="M53" s="22">
        <v>0</v>
      </c>
      <c r="N53" s="22">
        <v>0</v>
      </c>
      <c r="O53" s="22">
        <v>0</v>
      </c>
      <c r="P53" s="22">
        <v>0</v>
      </c>
      <c r="Q53" s="22"/>
      <c r="R53" s="22">
        <v>0</v>
      </c>
      <c r="S53" s="22">
        <v>0</v>
      </c>
      <c r="T53" s="22">
        <v>1</v>
      </c>
      <c r="U53" s="22">
        <v>0</v>
      </c>
      <c r="V53" s="22">
        <v>0</v>
      </c>
      <c r="W53" s="22">
        <v>0</v>
      </c>
      <c r="X53" s="22">
        <v>0</v>
      </c>
      <c r="Y53" s="22"/>
      <c r="Z53" s="22">
        <v>1</v>
      </c>
      <c r="AA53" s="22">
        <v>9</v>
      </c>
      <c r="AB53" s="22">
        <v>8</v>
      </c>
      <c r="AC53" s="22">
        <v>3</v>
      </c>
      <c r="AD53" s="22">
        <v>4</v>
      </c>
      <c r="AE53" s="22">
        <v>0</v>
      </c>
      <c r="AF53" s="22">
        <v>0</v>
      </c>
    </row>
    <row r="54" spans="1:32" s="7" customFormat="1" ht="15" customHeight="1" x14ac:dyDescent="0.35">
      <c r="A54" s="2" t="s">
        <v>59</v>
      </c>
      <c r="B54" s="22">
        <v>29</v>
      </c>
      <c r="C54" s="22">
        <v>40</v>
      </c>
      <c r="D54" s="22">
        <v>4</v>
      </c>
      <c r="E54" s="22">
        <v>0</v>
      </c>
      <c r="F54" s="22">
        <v>0</v>
      </c>
      <c r="G54" s="22">
        <v>0</v>
      </c>
      <c r="H54" s="22">
        <v>0</v>
      </c>
      <c r="I54" s="22"/>
      <c r="J54" s="22">
        <v>0</v>
      </c>
      <c r="K54" s="22">
        <v>0</v>
      </c>
      <c r="L54" s="22">
        <v>0</v>
      </c>
      <c r="M54" s="22">
        <v>0</v>
      </c>
      <c r="N54" s="22">
        <v>0</v>
      </c>
      <c r="O54" s="22">
        <v>0</v>
      </c>
      <c r="P54" s="22">
        <v>0</v>
      </c>
      <c r="Q54" s="22"/>
      <c r="R54" s="22">
        <v>0</v>
      </c>
      <c r="S54" s="22">
        <v>1</v>
      </c>
      <c r="T54" s="22">
        <v>1</v>
      </c>
      <c r="U54" s="22">
        <v>0</v>
      </c>
      <c r="V54" s="22">
        <v>0</v>
      </c>
      <c r="W54" s="22">
        <v>0</v>
      </c>
      <c r="X54" s="22">
        <v>0</v>
      </c>
      <c r="Y54" s="22"/>
      <c r="Z54" s="22">
        <v>3</v>
      </c>
      <c r="AA54" s="22">
        <v>5</v>
      </c>
      <c r="AB54" s="22">
        <v>5</v>
      </c>
      <c r="AC54" s="22">
        <v>6</v>
      </c>
      <c r="AD54" s="22">
        <v>0</v>
      </c>
      <c r="AE54" s="22">
        <v>0</v>
      </c>
      <c r="AF54" s="22">
        <v>0</v>
      </c>
    </row>
    <row r="55" spans="1:32" s="7" customFormat="1" ht="15" customHeight="1" x14ac:dyDescent="0.35">
      <c r="A55" s="2" t="s">
        <v>60</v>
      </c>
      <c r="B55" s="22">
        <v>6</v>
      </c>
      <c r="C55" s="22">
        <v>24</v>
      </c>
      <c r="D55" s="22">
        <v>5</v>
      </c>
      <c r="E55" s="22">
        <v>1</v>
      </c>
      <c r="F55" s="22">
        <v>0</v>
      </c>
      <c r="G55" s="22">
        <v>0</v>
      </c>
      <c r="H55" s="22">
        <v>0</v>
      </c>
      <c r="I55" s="22"/>
      <c r="J55" s="22">
        <v>1</v>
      </c>
      <c r="K55" s="22">
        <v>4</v>
      </c>
      <c r="L55" s="22">
        <v>1</v>
      </c>
      <c r="M55" s="22">
        <v>1</v>
      </c>
      <c r="N55" s="22">
        <v>0</v>
      </c>
      <c r="O55" s="22">
        <v>0</v>
      </c>
      <c r="P55" s="22">
        <v>0</v>
      </c>
      <c r="Q55" s="22"/>
      <c r="R55" s="22">
        <v>0</v>
      </c>
      <c r="S55" s="22">
        <v>0</v>
      </c>
      <c r="T55" s="22">
        <v>0</v>
      </c>
      <c r="U55" s="22">
        <v>0</v>
      </c>
      <c r="V55" s="22">
        <v>0</v>
      </c>
      <c r="W55" s="22">
        <v>0</v>
      </c>
      <c r="X55" s="22">
        <v>0</v>
      </c>
      <c r="Y55" s="22"/>
      <c r="Z55" s="22">
        <v>4</v>
      </c>
      <c r="AA55" s="22">
        <v>13</v>
      </c>
      <c r="AB55" s="22">
        <v>15</v>
      </c>
      <c r="AC55" s="22">
        <v>12</v>
      </c>
      <c r="AD55" s="22">
        <v>6</v>
      </c>
      <c r="AE55" s="22">
        <v>0</v>
      </c>
      <c r="AF55" s="22">
        <v>0</v>
      </c>
    </row>
    <row r="56" spans="1:32" s="7" customFormat="1" ht="15" customHeight="1" thickBot="1" x14ac:dyDescent="0.4">
      <c r="A56" s="25" t="s">
        <v>61</v>
      </c>
      <c r="B56" s="22">
        <v>46</v>
      </c>
      <c r="C56" s="22">
        <v>133</v>
      </c>
      <c r="D56" s="22">
        <v>22</v>
      </c>
      <c r="E56" s="22">
        <v>5</v>
      </c>
      <c r="F56" s="22">
        <v>0</v>
      </c>
      <c r="G56" s="22">
        <v>0</v>
      </c>
      <c r="H56" s="22">
        <v>0</v>
      </c>
      <c r="I56" s="26"/>
      <c r="J56" s="22">
        <v>0</v>
      </c>
      <c r="K56" s="22">
        <v>0</v>
      </c>
      <c r="L56" s="22">
        <v>0</v>
      </c>
      <c r="M56" s="22">
        <v>0</v>
      </c>
      <c r="N56" s="22">
        <v>0</v>
      </c>
      <c r="O56" s="22">
        <v>0</v>
      </c>
      <c r="P56" s="22">
        <v>0</v>
      </c>
      <c r="Q56" s="26"/>
      <c r="R56" s="22">
        <v>2</v>
      </c>
      <c r="S56" s="22">
        <v>11</v>
      </c>
      <c r="T56" s="22">
        <v>4</v>
      </c>
      <c r="U56" s="22">
        <v>3</v>
      </c>
      <c r="V56" s="22">
        <v>0</v>
      </c>
      <c r="W56" s="22">
        <v>0</v>
      </c>
      <c r="X56" s="22">
        <v>0</v>
      </c>
      <c r="Y56" s="26"/>
      <c r="Z56" s="22">
        <v>5</v>
      </c>
      <c r="AA56" s="22">
        <v>34</v>
      </c>
      <c r="AB56" s="22">
        <v>15</v>
      </c>
      <c r="AC56" s="22">
        <v>14</v>
      </c>
      <c r="AD56" s="22">
        <v>4</v>
      </c>
      <c r="AE56" s="22">
        <v>2</v>
      </c>
      <c r="AF56" s="22">
        <v>0</v>
      </c>
    </row>
    <row r="57" spans="1:32" s="7" customFormat="1" ht="15" customHeight="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sheetData>
  <mergeCells count="5">
    <mergeCell ref="A1:AJ1"/>
    <mergeCell ref="B6:H6"/>
    <mergeCell ref="J6:P6"/>
    <mergeCell ref="R6:X6"/>
    <mergeCell ref="Z6:AF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F57"/>
  <sheetViews>
    <sheetView workbookViewId="0">
      <selection activeCell="A4" sqref="A4:L4"/>
    </sheetView>
  </sheetViews>
  <sheetFormatPr defaultColWidth="9.1796875" defaultRowHeight="14.5" x14ac:dyDescent="0.35"/>
  <cols>
    <col min="1" max="1" width="50.7265625" style="4" customWidth="1"/>
    <col min="2" max="8" width="8.7265625" style="4" customWidth="1"/>
    <col min="9" max="9" width="2.7265625" style="4" customWidth="1"/>
    <col min="10" max="16" width="8.7265625" style="4" customWidth="1"/>
    <col min="17" max="17" width="2.7265625" style="4" customWidth="1"/>
    <col min="18" max="24" width="8.7265625" style="4" customWidth="1"/>
    <col min="25" max="25" width="2.7265625" style="4" customWidth="1"/>
    <col min="26" max="32" width="8.7265625" style="4" customWidth="1"/>
    <col min="33" max="33" width="2.7265625" style="4" customWidth="1"/>
    <col min="34" max="40" width="8.7265625" style="4" customWidth="1"/>
    <col min="41" max="41" width="2.7265625" style="4" customWidth="1"/>
    <col min="42" max="48" width="8.7265625" style="4" customWidth="1"/>
    <col min="49" max="16384" width="9.1796875" style="4"/>
  </cols>
  <sheetData>
    <row r="1" spans="1:58" s="1" customFormat="1" ht="23.25" customHeight="1" x14ac:dyDescent="0.5">
      <c r="A1" s="84" t="s">
        <v>94</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row>
    <row r="2" spans="1:58" s="3" customFormat="1" x14ac:dyDescent="0.35">
      <c r="A2" s="2"/>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9"/>
    </row>
    <row r="3" spans="1:58" s="3" customFormat="1" x14ac:dyDescent="0.35">
      <c r="A3" s="2"/>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9"/>
    </row>
    <row r="4" spans="1:58" s="3" customFormat="1" x14ac:dyDescent="0.35">
      <c r="A4" s="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9"/>
    </row>
    <row r="5" spans="1:58" s="3" customFormat="1" x14ac:dyDescent="0.35">
      <c r="A5" s="2"/>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row>
    <row r="6" spans="1:58" s="7" customFormat="1" ht="15.75" customHeight="1" thickBot="1" x14ac:dyDescent="0.4">
      <c r="A6" s="4"/>
      <c r="B6" s="88" t="s">
        <v>0</v>
      </c>
      <c r="C6" s="88"/>
      <c r="D6" s="88"/>
      <c r="E6" s="88"/>
      <c r="F6" s="88"/>
      <c r="G6" s="88"/>
      <c r="H6" s="6"/>
      <c r="I6" s="35"/>
      <c r="J6" s="86" t="s">
        <v>76</v>
      </c>
      <c r="K6" s="86"/>
      <c r="L6" s="86"/>
      <c r="M6" s="86"/>
      <c r="N6" s="86"/>
      <c r="O6" s="86"/>
      <c r="P6" s="86"/>
      <c r="Q6" s="35"/>
      <c r="R6" s="87" t="s">
        <v>1</v>
      </c>
      <c r="S6" s="87"/>
      <c r="T6" s="87"/>
      <c r="U6" s="87"/>
      <c r="V6" s="87"/>
      <c r="W6" s="87"/>
      <c r="X6" s="43"/>
      <c r="Y6" s="35"/>
      <c r="Z6" s="86" t="s">
        <v>2</v>
      </c>
      <c r="AA6" s="86"/>
      <c r="AB6" s="86"/>
      <c r="AC6" s="86"/>
      <c r="AD6" s="86"/>
      <c r="AE6" s="86"/>
      <c r="AF6" s="6"/>
      <c r="AG6" s="35"/>
      <c r="AH6" s="86" t="s">
        <v>3</v>
      </c>
      <c r="AI6" s="86"/>
      <c r="AJ6" s="86"/>
      <c r="AK6" s="86"/>
      <c r="AL6" s="86"/>
      <c r="AM6" s="86"/>
      <c r="AN6" s="6"/>
      <c r="AO6" s="35"/>
      <c r="AP6" s="87" t="s">
        <v>4</v>
      </c>
      <c r="AQ6" s="87"/>
      <c r="AR6" s="87"/>
      <c r="AS6" s="87"/>
      <c r="AT6" s="87"/>
      <c r="AU6" s="87"/>
      <c r="AV6" s="87"/>
    </row>
    <row r="7" spans="1:58" s="12" customFormat="1" ht="58.5" thickBot="1" x14ac:dyDescent="0.4">
      <c r="A7" s="8" t="s">
        <v>5</v>
      </c>
      <c r="B7" s="9" t="s">
        <v>6</v>
      </c>
      <c r="C7" s="9" t="s">
        <v>7</v>
      </c>
      <c r="D7" s="9" t="s">
        <v>8</v>
      </c>
      <c r="E7" s="9" t="s">
        <v>9</v>
      </c>
      <c r="F7" s="9" t="s">
        <v>10</v>
      </c>
      <c r="G7" s="9" t="s">
        <v>11</v>
      </c>
      <c r="H7" s="10" t="s">
        <v>12</v>
      </c>
      <c r="I7" s="36"/>
      <c r="J7" s="9" t="s">
        <v>6</v>
      </c>
      <c r="K7" s="9" t="s">
        <v>7</v>
      </c>
      <c r="L7" s="9" t="s">
        <v>8</v>
      </c>
      <c r="M7" s="9" t="s">
        <v>9</v>
      </c>
      <c r="N7" s="9" t="s">
        <v>10</v>
      </c>
      <c r="O7" s="9" t="s">
        <v>11</v>
      </c>
      <c r="P7" s="10" t="s">
        <v>12</v>
      </c>
      <c r="Q7" s="36"/>
      <c r="R7" s="44" t="s">
        <v>87</v>
      </c>
      <c r="S7" s="44" t="s">
        <v>77</v>
      </c>
      <c r="T7" s="44" t="s">
        <v>78</v>
      </c>
      <c r="U7" s="44" t="s">
        <v>79</v>
      </c>
      <c r="V7" s="44" t="s">
        <v>88</v>
      </c>
      <c r="W7" s="44" t="s">
        <v>89</v>
      </c>
      <c r="X7" s="10" t="s">
        <v>12</v>
      </c>
      <c r="Y7" s="36"/>
      <c r="Z7" s="9" t="s">
        <v>87</v>
      </c>
      <c r="AA7" s="9" t="s">
        <v>77</v>
      </c>
      <c r="AB7" s="9" t="s">
        <v>78</v>
      </c>
      <c r="AC7" s="9" t="s">
        <v>79</v>
      </c>
      <c r="AD7" s="9" t="s">
        <v>88</v>
      </c>
      <c r="AE7" s="9" t="s">
        <v>89</v>
      </c>
      <c r="AF7" s="10" t="s">
        <v>12</v>
      </c>
      <c r="AG7" s="36"/>
      <c r="AH7" s="9" t="s">
        <v>87</v>
      </c>
      <c r="AI7" s="9" t="s">
        <v>77</v>
      </c>
      <c r="AJ7" s="9" t="s">
        <v>78</v>
      </c>
      <c r="AK7" s="9" t="s">
        <v>79</v>
      </c>
      <c r="AL7" s="9" t="s">
        <v>88</v>
      </c>
      <c r="AM7" s="9" t="s">
        <v>89</v>
      </c>
      <c r="AN7" s="10" t="s">
        <v>12</v>
      </c>
      <c r="AO7" s="36"/>
      <c r="AP7" s="44" t="s">
        <v>87</v>
      </c>
      <c r="AQ7" s="44" t="s">
        <v>77</v>
      </c>
      <c r="AR7" s="44" t="s">
        <v>78</v>
      </c>
      <c r="AS7" s="44" t="s">
        <v>79</v>
      </c>
      <c r="AT7" s="44" t="s">
        <v>88</v>
      </c>
      <c r="AU7" s="44" t="s">
        <v>89</v>
      </c>
      <c r="AV7" s="10" t="s">
        <v>12</v>
      </c>
    </row>
    <row r="8" spans="1:58" s="7" customFormat="1" ht="15" customHeight="1" x14ac:dyDescent="0.35">
      <c r="A8" s="13" t="s">
        <v>13</v>
      </c>
      <c r="B8" s="21">
        <f>B9+B49</f>
        <v>195</v>
      </c>
      <c r="C8" s="21">
        <f t="shared" ref="C8:G8" si="0">C9+C49</f>
        <v>680</v>
      </c>
      <c r="D8" s="21">
        <f t="shared" si="0"/>
        <v>172</v>
      </c>
      <c r="E8" s="21">
        <f t="shared" si="0"/>
        <v>49</v>
      </c>
      <c r="F8" s="21">
        <f t="shared" si="0"/>
        <v>9</v>
      </c>
      <c r="G8" s="21">
        <f t="shared" si="0"/>
        <v>1</v>
      </c>
      <c r="H8" s="23">
        <f>IF(SUM(B8:F8)=0,"-",20*(B8/SUM($B8:$F8))+30*(C8/SUM($B8:$F8))+40.5*(D8/SUM($B8:$F8))+50.5*(E8/SUM($B8:$F8))+56*(F8/SUM($B8:$F8)))</f>
        <v>30.990497737556563</v>
      </c>
      <c r="I8" s="14"/>
      <c r="J8" s="21">
        <f>J9+J49</f>
        <v>354</v>
      </c>
      <c r="K8" s="21">
        <f t="shared" ref="K8:O8" si="1">K9+K49</f>
        <v>699</v>
      </c>
      <c r="L8" s="21">
        <f t="shared" si="1"/>
        <v>330</v>
      </c>
      <c r="M8" s="21">
        <f t="shared" si="1"/>
        <v>111</v>
      </c>
      <c r="N8" s="21">
        <f t="shared" si="1"/>
        <v>12</v>
      </c>
      <c r="O8" s="21">
        <f t="shared" si="1"/>
        <v>2</v>
      </c>
      <c r="P8" s="23">
        <f t="shared" ref="P8:P39" si="2">IF(SUM(J8:N8)=0,"-",20*(J8/SUM($J8:$N8))+30*(K8/SUM($J8:$N8))+40.5*(L8/SUM($J8:$N8))+50.5*(M8/SUM($J8:$N8))+56*(N8/SUM($J8:$N8)))</f>
        <v>31.66832669322709</v>
      </c>
      <c r="Q8" s="14"/>
      <c r="R8" s="14">
        <f t="shared" ref="R8:R39" si="3">B8+J8</f>
        <v>549</v>
      </c>
      <c r="S8" s="14">
        <f t="shared" ref="S8:S39" si="4">C8+K8</f>
        <v>1379</v>
      </c>
      <c r="T8" s="14">
        <f t="shared" ref="T8:T39" si="5">D8+L8</f>
        <v>502</v>
      </c>
      <c r="U8" s="14">
        <f t="shared" ref="U8:U39" si="6">E8+M8</f>
        <v>160</v>
      </c>
      <c r="V8" s="14">
        <f t="shared" ref="V8:V39" si="7">F8+N8</f>
        <v>21</v>
      </c>
      <c r="W8" s="14">
        <f t="shared" ref="W8:W39" si="8">G8+O8</f>
        <v>3</v>
      </c>
      <c r="X8" s="23">
        <f t="shared" ref="X8:X39" si="9">IF(SUM(R8:V8)=0,"-",20*(R8/SUM($R8:$V8))+30*(S8/SUM($R8:$V8))+40.5*(T8/SUM($R8:$V8))+50.5*(U8/SUM($R8:$V8))+56*(V8/SUM($R8:$V8)))</f>
        <v>31.381463040980464</v>
      </c>
      <c r="Y8" s="14"/>
      <c r="Z8" s="21">
        <f>Z9+Z49</f>
        <v>29</v>
      </c>
      <c r="AA8" s="21">
        <f t="shared" ref="AA8:AE8" si="10">AA9+AA49</f>
        <v>55</v>
      </c>
      <c r="AB8" s="21">
        <f t="shared" si="10"/>
        <v>27</v>
      </c>
      <c r="AC8" s="21">
        <f t="shared" si="10"/>
        <v>10</v>
      </c>
      <c r="AD8" s="21">
        <f t="shared" si="10"/>
        <v>2</v>
      </c>
      <c r="AE8" s="21">
        <f t="shared" si="10"/>
        <v>0</v>
      </c>
      <c r="AF8" s="23">
        <f t="shared" ref="AF8:AF39" si="11">IF(SUM(Z8:AD8)=0,"-",20*(Z8/SUM($Z8:$AD8))+30*(AA8/SUM($Z8:$AD8))+40.5*(AB8/SUM($Z8:$AD8))+50.5*(AC8/SUM($Z8:$AD8))+56*(AD8/SUM($Z8:$AD8)))</f>
        <v>32.036585365853661</v>
      </c>
      <c r="AG8" s="14"/>
      <c r="AH8" s="21">
        <f>AH9+AH49</f>
        <v>167</v>
      </c>
      <c r="AI8" s="21">
        <f t="shared" ref="AI8:AM8" si="12">AI9+AI49</f>
        <v>303</v>
      </c>
      <c r="AJ8" s="21">
        <f t="shared" si="12"/>
        <v>237</v>
      </c>
      <c r="AK8" s="21">
        <f t="shared" si="12"/>
        <v>213</v>
      </c>
      <c r="AL8" s="21">
        <f t="shared" si="12"/>
        <v>109</v>
      </c>
      <c r="AM8" s="21">
        <f t="shared" si="12"/>
        <v>0</v>
      </c>
      <c r="AN8" s="23">
        <f t="shared" ref="AN8:AN39" si="13">IF(SUM(AH8:AL8)=0,"-",20*(AH8/SUM($AH8:$AL8))+30*(AI8/SUM($AH8:$AL8))+40.5*(AJ8/SUM($AH8:$AL8))+50.5*(AK8/SUM($AH8:$AL8))+56*(AL8/SUM($AH8:$AL8)))</f>
        <v>37.793002915451893</v>
      </c>
      <c r="AO8" s="14"/>
      <c r="AP8" s="14">
        <f t="shared" ref="AP8:AP39" si="14">AH8+Z8+R8</f>
        <v>745</v>
      </c>
      <c r="AQ8" s="14">
        <f t="shared" ref="AQ8:AQ39" si="15">AI8+AA8+S8</f>
        <v>1737</v>
      </c>
      <c r="AR8" s="14">
        <f t="shared" ref="AR8:AR39" si="16">AJ8+AB8+T8</f>
        <v>766</v>
      </c>
      <c r="AS8" s="14">
        <f t="shared" ref="AS8:AS39" si="17">AK8+AC8+U8</f>
        <v>383</v>
      </c>
      <c r="AT8" s="14">
        <f t="shared" ref="AT8:AT39" si="18">AL8+AD8+V8</f>
        <v>132</v>
      </c>
      <c r="AU8" s="14">
        <f t="shared" ref="AU8:AU39" si="19">AM8+AE8+W8</f>
        <v>3</v>
      </c>
      <c r="AV8" s="23">
        <f t="shared" ref="AV8:AV39" si="20">IF(SUM(AP8:AT8)=0,"-",20*(AP8/SUM($AP8:$AT8))+30*(AQ8/SUM($AP8:$AT8))+40.5*(AR8/SUM($AP8:$AT8))+50.5*(AS8/SUM($AP8:$AT8))+56*(AT8/SUM($AP8:$AT8)))</f>
        <v>33.156125431836301</v>
      </c>
      <c r="AW8" s="17"/>
      <c r="AX8" s="19">
        <f>SUM(AP8:AU8)</f>
        <v>3766</v>
      </c>
      <c r="AY8" s="19">
        <v>3767</v>
      </c>
      <c r="AZ8" s="18">
        <f>AX8-AY8</f>
        <v>-1</v>
      </c>
      <c r="BA8" s="17"/>
      <c r="BB8" s="17"/>
      <c r="BC8" s="17"/>
      <c r="BD8" s="17"/>
      <c r="BE8" s="17"/>
      <c r="BF8" s="19"/>
    </row>
    <row r="9" spans="1:58" s="7" customFormat="1" ht="15" customHeight="1" x14ac:dyDescent="0.35">
      <c r="A9" s="20" t="s">
        <v>14</v>
      </c>
      <c r="B9" s="21">
        <f>SUM(B10:B48)</f>
        <v>96</v>
      </c>
      <c r="C9" s="21">
        <f t="shared" ref="C9:G9" si="21">SUM(C10:C48)</f>
        <v>407</v>
      </c>
      <c r="D9" s="21">
        <f t="shared" si="21"/>
        <v>115</v>
      </c>
      <c r="E9" s="21">
        <f t="shared" si="21"/>
        <v>39</v>
      </c>
      <c r="F9" s="21">
        <f t="shared" si="21"/>
        <v>8</v>
      </c>
      <c r="G9" s="21">
        <f t="shared" si="21"/>
        <v>1</v>
      </c>
      <c r="H9" s="23">
        <f t="shared" ref="H9:H56" si="22">IF(SUM(B9:F9)=0,"-",20*(B9/SUM($B9:$F9))+30*(C9/SUM($B9:$F9))+40.5*(D9/SUM($B9:$F9))+50.5*(E9/SUM($B9:$F9))+56*(F9/SUM($B9:$F9)))</f>
        <v>31.887218045112778</v>
      </c>
      <c r="I9" s="21"/>
      <c r="J9" s="21">
        <f>SUM(J10:J48)</f>
        <v>344</v>
      </c>
      <c r="K9" s="21">
        <f t="shared" ref="K9:O9" si="23">SUM(K10:K48)</f>
        <v>672</v>
      </c>
      <c r="L9" s="21">
        <f t="shared" si="23"/>
        <v>319</v>
      </c>
      <c r="M9" s="21">
        <f t="shared" si="23"/>
        <v>104</v>
      </c>
      <c r="N9" s="21">
        <f t="shared" si="23"/>
        <v>12</v>
      </c>
      <c r="O9" s="21">
        <f t="shared" si="23"/>
        <v>2</v>
      </c>
      <c r="P9" s="23">
        <f t="shared" si="2"/>
        <v>31.621984838042724</v>
      </c>
      <c r="Q9" s="21"/>
      <c r="R9" s="21">
        <f t="shared" si="3"/>
        <v>440</v>
      </c>
      <c r="S9" s="21">
        <f t="shared" si="4"/>
        <v>1079</v>
      </c>
      <c r="T9" s="21">
        <f t="shared" si="5"/>
        <v>434</v>
      </c>
      <c r="U9" s="21">
        <f t="shared" si="6"/>
        <v>143</v>
      </c>
      <c r="V9" s="21">
        <f t="shared" si="7"/>
        <v>20</v>
      </c>
      <c r="W9" s="21">
        <f t="shared" si="8"/>
        <v>3</v>
      </c>
      <c r="X9" s="23">
        <f t="shared" si="9"/>
        <v>31.705340264650285</v>
      </c>
      <c r="Y9" s="21"/>
      <c r="Z9" s="21">
        <f>SUM(Z10:Z48)</f>
        <v>24</v>
      </c>
      <c r="AA9" s="21">
        <f t="shared" ref="AA9:AE9" si="24">SUM(AA10:AA48)</f>
        <v>38</v>
      </c>
      <c r="AB9" s="21">
        <f t="shared" si="24"/>
        <v>19</v>
      </c>
      <c r="AC9" s="21">
        <f t="shared" si="24"/>
        <v>7</v>
      </c>
      <c r="AD9" s="21">
        <f t="shared" si="24"/>
        <v>2</v>
      </c>
      <c r="AE9" s="21">
        <f t="shared" si="24"/>
        <v>0</v>
      </c>
      <c r="AF9" s="23">
        <f t="shared" si="11"/>
        <v>31.722222222222221</v>
      </c>
      <c r="AG9" s="21"/>
      <c r="AH9" s="21">
        <f>SUM(AH10:AH48)</f>
        <v>114</v>
      </c>
      <c r="AI9" s="21">
        <f t="shared" ref="AI9:AM9" si="25">SUM(AI10:AI48)</f>
        <v>203</v>
      </c>
      <c r="AJ9" s="21">
        <f t="shared" si="25"/>
        <v>171</v>
      </c>
      <c r="AK9" s="21">
        <f t="shared" si="25"/>
        <v>153</v>
      </c>
      <c r="AL9" s="21">
        <f t="shared" si="25"/>
        <v>86</v>
      </c>
      <c r="AM9" s="21">
        <f t="shared" si="25"/>
        <v>0</v>
      </c>
      <c r="AN9" s="23">
        <f t="shared" si="13"/>
        <v>38.29160935350756</v>
      </c>
      <c r="AO9" s="21"/>
      <c r="AP9" s="21">
        <f t="shared" si="14"/>
        <v>578</v>
      </c>
      <c r="AQ9" s="21">
        <f t="shared" si="15"/>
        <v>1320</v>
      </c>
      <c r="AR9" s="21">
        <f t="shared" si="16"/>
        <v>624</v>
      </c>
      <c r="AS9" s="21">
        <f t="shared" si="17"/>
        <v>303</v>
      </c>
      <c r="AT9" s="21">
        <f t="shared" si="18"/>
        <v>108</v>
      </c>
      <c r="AU9" s="21">
        <f t="shared" si="19"/>
        <v>3</v>
      </c>
      <c r="AV9" s="23">
        <f t="shared" si="20"/>
        <v>33.33839072621889</v>
      </c>
      <c r="AW9" s="17"/>
      <c r="AX9" s="19">
        <f t="shared" ref="AX9:AX56" si="26">SUM(AP9:AU9)</f>
        <v>2936</v>
      </c>
      <c r="AY9" s="19">
        <v>2937</v>
      </c>
      <c r="AZ9" s="18">
        <f t="shared" ref="AZ9:AZ56" si="27">AX9-AY9</f>
        <v>-1</v>
      </c>
      <c r="BA9" s="17"/>
      <c r="BB9" s="17"/>
      <c r="BC9" s="17"/>
      <c r="BD9" s="17"/>
      <c r="BE9" s="17"/>
    </row>
    <row r="10" spans="1:58" s="7" customFormat="1" ht="15" customHeight="1" x14ac:dyDescent="0.35">
      <c r="A10" s="2" t="s">
        <v>15</v>
      </c>
      <c r="B10" s="22">
        <f>'2017-18_working'!B10</f>
        <v>5</v>
      </c>
      <c r="C10" s="22">
        <f>'2017-18_working'!C10</f>
        <v>17</v>
      </c>
      <c r="D10" s="22">
        <f>'2017-18_working'!D10</f>
        <v>1</v>
      </c>
      <c r="E10" s="22">
        <f>'2017-18_working'!E10</f>
        <v>2</v>
      </c>
      <c r="F10" s="22">
        <f>'2017-18_working'!F10+'2017-18_working'!G10</f>
        <v>0</v>
      </c>
      <c r="G10" s="22">
        <f>'2017-18_working'!H10</f>
        <v>0</v>
      </c>
      <c r="H10" s="23">
        <f t="shared" si="22"/>
        <v>30.060000000000002</v>
      </c>
      <c r="I10" s="22"/>
      <c r="J10" s="22">
        <f>'2017-18_working'!J10</f>
        <v>7</v>
      </c>
      <c r="K10" s="22">
        <f>'2017-18_working'!K10</f>
        <v>9</v>
      </c>
      <c r="L10" s="22">
        <f>'2017-18_working'!L10</f>
        <v>7</v>
      </c>
      <c r="M10" s="22">
        <f>'2017-18_working'!M10</f>
        <v>6</v>
      </c>
      <c r="N10" s="22">
        <f>'2017-18_working'!N10+'2017-18_working'!O10</f>
        <v>1</v>
      </c>
      <c r="O10" s="22">
        <f>'2017-18_working'!P10</f>
        <v>0</v>
      </c>
      <c r="P10" s="23">
        <f t="shared" si="2"/>
        <v>35.083333333333336</v>
      </c>
      <c r="Q10" s="22"/>
      <c r="R10" s="21">
        <f t="shared" si="3"/>
        <v>12</v>
      </c>
      <c r="S10" s="21">
        <f t="shared" si="4"/>
        <v>26</v>
      </c>
      <c r="T10" s="21">
        <f t="shared" si="5"/>
        <v>8</v>
      </c>
      <c r="U10" s="21">
        <f t="shared" si="6"/>
        <v>8</v>
      </c>
      <c r="V10" s="21">
        <f t="shared" si="7"/>
        <v>1</v>
      </c>
      <c r="W10" s="21">
        <f t="shared" si="8"/>
        <v>0</v>
      </c>
      <c r="X10" s="23">
        <f t="shared" si="9"/>
        <v>32.799999999999997</v>
      </c>
      <c r="Y10" s="22"/>
      <c r="Z10" s="22">
        <f>'2017-18_working'!R10</f>
        <v>0</v>
      </c>
      <c r="AA10" s="22">
        <f>'2017-18_working'!S10</f>
        <v>1</v>
      </c>
      <c r="AB10" s="22">
        <f>'2017-18_working'!T10</f>
        <v>1</v>
      </c>
      <c r="AC10" s="22">
        <f>'2017-18_working'!U10</f>
        <v>0</v>
      </c>
      <c r="AD10" s="22">
        <f>'2017-18_working'!V10+'2017-18_working'!W10</f>
        <v>0</v>
      </c>
      <c r="AE10" s="22">
        <f>'2017-18_working'!X10</f>
        <v>0</v>
      </c>
      <c r="AF10" s="23">
        <f t="shared" si="11"/>
        <v>35.25</v>
      </c>
      <c r="AG10" s="22"/>
      <c r="AH10" s="22">
        <f>'2017-18_working'!Z10</f>
        <v>4</v>
      </c>
      <c r="AI10" s="22">
        <f>'2017-18_working'!AA10</f>
        <v>6</v>
      </c>
      <c r="AJ10" s="22">
        <f>'2017-18_working'!AB10</f>
        <v>6</v>
      </c>
      <c r="AK10" s="22">
        <f>'2017-18_working'!AC10</f>
        <v>2</v>
      </c>
      <c r="AL10" s="22">
        <f>'2017-18_working'!AD10+'2017-18_working'!AE10</f>
        <v>6</v>
      </c>
      <c r="AM10" s="22">
        <f>'2017-18_working'!AF10</f>
        <v>0</v>
      </c>
      <c r="AN10" s="23">
        <f t="shared" si="13"/>
        <v>39.166666666666664</v>
      </c>
      <c r="AO10" s="22"/>
      <c r="AP10" s="21">
        <f t="shared" si="14"/>
        <v>16</v>
      </c>
      <c r="AQ10" s="21">
        <f t="shared" si="15"/>
        <v>33</v>
      </c>
      <c r="AR10" s="21">
        <f t="shared" si="16"/>
        <v>15</v>
      </c>
      <c r="AS10" s="21">
        <f t="shared" si="17"/>
        <v>10</v>
      </c>
      <c r="AT10" s="21">
        <f t="shared" si="18"/>
        <v>7</v>
      </c>
      <c r="AU10" s="21">
        <f t="shared" si="19"/>
        <v>0</v>
      </c>
      <c r="AV10" s="23">
        <f t="shared" si="20"/>
        <v>34.746913580246911</v>
      </c>
      <c r="AW10" s="17"/>
      <c r="AX10" s="19">
        <f t="shared" si="26"/>
        <v>81</v>
      </c>
      <c r="AY10" s="19">
        <v>81</v>
      </c>
      <c r="AZ10" s="18">
        <f t="shared" si="27"/>
        <v>0</v>
      </c>
      <c r="BA10" s="17"/>
      <c r="BB10" s="17"/>
      <c r="BC10" s="17"/>
      <c r="BD10" s="17"/>
      <c r="BE10" s="17"/>
    </row>
    <row r="11" spans="1:58" s="7" customFormat="1" ht="15" customHeight="1" x14ac:dyDescent="0.35">
      <c r="A11" s="2" t="s">
        <v>16</v>
      </c>
      <c r="B11" s="22">
        <f>'2017-18_working'!B11</f>
        <v>1</v>
      </c>
      <c r="C11" s="22">
        <f>'2017-18_working'!C11</f>
        <v>18</v>
      </c>
      <c r="D11" s="22">
        <f>'2017-18_working'!D11</f>
        <v>6</v>
      </c>
      <c r="E11" s="22">
        <f>'2017-18_working'!E11</f>
        <v>0</v>
      </c>
      <c r="F11" s="22">
        <f>'2017-18_working'!F11+'2017-18_working'!G11</f>
        <v>0</v>
      </c>
      <c r="G11" s="22">
        <f>'2017-18_working'!H11</f>
        <v>0</v>
      </c>
      <c r="H11" s="23">
        <f t="shared" si="22"/>
        <v>32.119999999999997</v>
      </c>
      <c r="I11" s="22"/>
      <c r="J11" s="22">
        <f>'2017-18_working'!J11</f>
        <v>8</v>
      </c>
      <c r="K11" s="22">
        <f>'2017-18_working'!K11</f>
        <v>9</v>
      </c>
      <c r="L11" s="22">
        <f>'2017-18_working'!L11</f>
        <v>12</v>
      </c>
      <c r="M11" s="22">
        <f>'2017-18_working'!M11</f>
        <v>4</v>
      </c>
      <c r="N11" s="22">
        <f>'2017-18_working'!N11+'2017-18_working'!O11</f>
        <v>0</v>
      </c>
      <c r="O11" s="22">
        <f>'2017-18_working'!P11</f>
        <v>0</v>
      </c>
      <c r="P11" s="23">
        <f t="shared" si="2"/>
        <v>33.878787878787875</v>
      </c>
      <c r="Q11" s="22"/>
      <c r="R11" s="21">
        <f t="shared" si="3"/>
        <v>9</v>
      </c>
      <c r="S11" s="21">
        <f t="shared" si="4"/>
        <v>27</v>
      </c>
      <c r="T11" s="21">
        <f t="shared" si="5"/>
        <v>18</v>
      </c>
      <c r="U11" s="21">
        <f t="shared" si="6"/>
        <v>4</v>
      </c>
      <c r="V11" s="21">
        <f t="shared" si="7"/>
        <v>0</v>
      </c>
      <c r="W11" s="21">
        <f t="shared" si="8"/>
        <v>0</v>
      </c>
      <c r="X11" s="23">
        <f t="shared" si="9"/>
        <v>33.120689655172413</v>
      </c>
      <c r="Y11" s="22"/>
      <c r="Z11" s="22">
        <f>'2017-18_working'!R11</f>
        <v>0</v>
      </c>
      <c r="AA11" s="22">
        <f>'2017-18_working'!S11</f>
        <v>0</v>
      </c>
      <c r="AB11" s="22">
        <f>'2017-18_working'!T11</f>
        <v>0</v>
      </c>
      <c r="AC11" s="22">
        <f>'2017-18_working'!U11</f>
        <v>0</v>
      </c>
      <c r="AD11" s="22">
        <f>'2017-18_working'!V11+'2017-18_working'!W11</f>
        <v>0</v>
      </c>
      <c r="AE11" s="22">
        <f>'2017-18_working'!X11</f>
        <v>0</v>
      </c>
      <c r="AF11" s="23" t="str">
        <f t="shared" si="11"/>
        <v>-</v>
      </c>
      <c r="AG11" s="22"/>
      <c r="AH11" s="22">
        <f>'2017-18_working'!Z11</f>
        <v>1</v>
      </c>
      <c r="AI11" s="22">
        <f>'2017-18_working'!AA11</f>
        <v>8</v>
      </c>
      <c r="AJ11" s="22">
        <f>'2017-18_working'!AB11</f>
        <v>4</v>
      </c>
      <c r="AK11" s="22">
        <f>'2017-18_working'!AC11</f>
        <v>8</v>
      </c>
      <c r="AL11" s="22">
        <f>'2017-18_working'!AD11+'2017-18_working'!AE11</f>
        <v>5</v>
      </c>
      <c r="AM11" s="22">
        <f>'2017-18_working'!AF11</f>
        <v>0</v>
      </c>
      <c r="AN11" s="23">
        <f t="shared" si="13"/>
        <v>42.538461538461547</v>
      </c>
      <c r="AO11" s="22"/>
      <c r="AP11" s="21">
        <f t="shared" si="14"/>
        <v>10</v>
      </c>
      <c r="AQ11" s="21">
        <f t="shared" si="15"/>
        <v>35</v>
      </c>
      <c r="AR11" s="21">
        <f t="shared" si="16"/>
        <v>22</v>
      </c>
      <c r="AS11" s="21">
        <f t="shared" si="17"/>
        <v>12</v>
      </c>
      <c r="AT11" s="21">
        <f t="shared" si="18"/>
        <v>5</v>
      </c>
      <c r="AU11" s="21">
        <f t="shared" si="19"/>
        <v>0</v>
      </c>
      <c r="AV11" s="23">
        <f t="shared" si="20"/>
        <v>36.035714285714292</v>
      </c>
      <c r="AW11" s="17"/>
      <c r="AX11" s="19">
        <f t="shared" si="26"/>
        <v>84</v>
      </c>
      <c r="AY11" s="19">
        <v>84</v>
      </c>
      <c r="AZ11" s="18">
        <f t="shared" si="27"/>
        <v>0</v>
      </c>
      <c r="BA11" s="17"/>
      <c r="BB11" s="17"/>
      <c r="BC11" s="17"/>
      <c r="BD11" s="17"/>
      <c r="BE11" s="17"/>
    </row>
    <row r="12" spans="1:58" s="7" customFormat="1" ht="15" customHeight="1" x14ac:dyDescent="0.35">
      <c r="A12" s="2" t="s">
        <v>17</v>
      </c>
      <c r="B12" s="22">
        <f>'2017-18_working'!B12</f>
        <v>1</v>
      </c>
      <c r="C12" s="22">
        <f>'2017-18_working'!C12</f>
        <v>15</v>
      </c>
      <c r="D12" s="22">
        <f>'2017-18_working'!D12</f>
        <v>4</v>
      </c>
      <c r="E12" s="22">
        <f>'2017-18_working'!E12</f>
        <v>1</v>
      </c>
      <c r="F12" s="22">
        <f>'2017-18_working'!F12+'2017-18_working'!G12</f>
        <v>0</v>
      </c>
      <c r="G12" s="22">
        <f>'2017-18_working'!H12</f>
        <v>0</v>
      </c>
      <c r="H12" s="23">
        <f t="shared" si="22"/>
        <v>32.5</v>
      </c>
      <c r="I12" s="22"/>
      <c r="J12" s="22">
        <f>'2017-18_working'!J12</f>
        <v>5</v>
      </c>
      <c r="K12" s="22">
        <f>'2017-18_working'!K12</f>
        <v>10</v>
      </c>
      <c r="L12" s="22">
        <f>'2017-18_working'!L12</f>
        <v>5</v>
      </c>
      <c r="M12" s="22">
        <f>'2017-18_working'!M12</f>
        <v>0</v>
      </c>
      <c r="N12" s="22">
        <f>'2017-18_working'!N12+'2017-18_working'!O12</f>
        <v>0</v>
      </c>
      <c r="O12" s="22">
        <f>'2017-18_working'!P12</f>
        <v>0</v>
      </c>
      <c r="P12" s="23">
        <f t="shared" si="2"/>
        <v>30.125</v>
      </c>
      <c r="Q12" s="22"/>
      <c r="R12" s="21">
        <f t="shared" si="3"/>
        <v>6</v>
      </c>
      <c r="S12" s="21">
        <f t="shared" si="4"/>
        <v>25</v>
      </c>
      <c r="T12" s="21">
        <f t="shared" si="5"/>
        <v>9</v>
      </c>
      <c r="U12" s="21">
        <f t="shared" si="6"/>
        <v>1</v>
      </c>
      <c r="V12" s="21">
        <f t="shared" si="7"/>
        <v>0</v>
      </c>
      <c r="W12" s="21">
        <f t="shared" si="8"/>
        <v>0</v>
      </c>
      <c r="X12" s="23">
        <f t="shared" si="9"/>
        <v>31.341463414634145</v>
      </c>
      <c r="Y12" s="22"/>
      <c r="Z12" s="22">
        <f>'2017-18_working'!R12</f>
        <v>3</v>
      </c>
      <c r="AA12" s="22">
        <f>'2017-18_working'!S12</f>
        <v>2</v>
      </c>
      <c r="AB12" s="22">
        <f>'2017-18_working'!T12</f>
        <v>1</v>
      </c>
      <c r="AC12" s="22">
        <f>'2017-18_working'!U12</f>
        <v>3</v>
      </c>
      <c r="AD12" s="22">
        <f>'2017-18_working'!V12+'2017-18_working'!W12</f>
        <v>0</v>
      </c>
      <c r="AE12" s="22">
        <f>'2017-18_working'!X12</f>
        <v>0</v>
      </c>
      <c r="AF12" s="23">
        <f t="shared" si="11"/>
        <v>34.666666666666664</v>
      </c>
      <c r="AG12" s="22"/>
      <c r="AH12" s="22">
        <f>'2017-18_working'!Z12</f>
        <v>7</v>
      </c>
      <c r="AI12" s="22">
        <f>'2017-18_working'!AA12</f>
        <v>13</v>
      </c>
      <c r="AJ12" s="22">
        <f>'2017-18_working'!AB12</f>
        <v>14</v>
      </c>
      <c r="AK12" s="22">
        <f>'2017-18_working'!AC12</f>
        <v>7</v>
      </c>
      <c r="AL12" s="22">
        <f>'2017-18_working'!AD12+'2017-18_working'!AE12</f>
        <v>1</v>
      </c>
      <c r="AM12" s="22">
        <f>'2017-18_working'!AF12</f>
        <v>0</v>
      </c>
      <c r="AN12" s="23">
        <f t="shared" si="13"/>
        <v>35.86904761904762</v>
      </c>
      <c r="AO12" s="22"/>
      <c r="AP12" s="21">
        <f t="shared" si="14"/>
        <v>16</v>
      </c>
      <c r="AQ12" s="21">
        <f t="shared" si="15"/>
        <v>40</v>
      </c>
      <c r="AR12" s="21">
        <f t="shared" si="16"/>
        <v>24</v>
      </c>
      <c r="AS12" s="21">
        <f t="shared" si="17"/>
        <v>11</v>
      </c>
      <c r="AT12" s="21">
        <f t="shared" si="18"/>
        <v>1</v>
      </c>
      <c r="AU12" s="21">
        <f t="shared" si="19"/>
        <v>0</v>
      </c>
      <c r="AV12" s="23">
        <f t="shared" si="20"/>
        <v>33.733695652173914</v>
      </c>
      <c r="AW12" s="17"/>
      <c r="AX12" s="19">
        <f t="shared" si="26"/>
        <v>92</v>
      </c>
      <c r="AY12" s="19">
        <v>92</v>
      </c>
      <c r="AZ12" s="18">
        <f t="shared" si="27"/>
        <v>0</v>
      </c>
      <c r="BA12" s="17"/>
      <c r="BB12" s="17"/>
      <c r="BC12" s="17"/>
      <c r="BD12" s="17"/>
      <c r="BE12" s="17"/>
    </row>
    <row r="13" spans="1:58" s="7" customFormat="1" ht="15" customHeight="1" x14ac:dyDescent="0.35">
      <c r="A13" s="2" t="s">
        <v>18</v>
      </c>
      <c r="B13" s="22">
        <f>'2017-18_working'!B13</f>
        <v>2</v>
      </c>
      <c r="C13" s="22">
        <f>'2017-18_working'!C13</f>
        <v>7</v>
      </c>
      <c r="D13" s="22">
        <f>'2017-18_working'!D13</f>
        <v>2</v>
      </c>
      <c r="E13" s="22">
        <f>'2017-18_working'!E13</f>
        <v>0</v>
      </c>
      <c r="F13" s="22">
        <f>'2017-18_working'!F13+'2017-18_working'!G13</f>
        <v>0</v>
      </c>
      <c r="G13" s="22">
        <f>'2017-18_working'!H13</f>
        <v>0</v>
      </c>
      <c r="H13" s="23">
        <f t="shared" si="22"/>
        <v>30.09090909090909</v>
      </c>
      <c r="I13" s="22"/>
      <c r="J13" s="22">
        <f>'2017-18_working'!J13</f>
        <v>3</v>
      </c>
      <c r="K13" s="22">
        <f>'2017-18_working'!K13</f>
        <v>10</v>
      </c>
      <c r="L13" s="22">
        <f>'2017-18_working'!L13</f>
        <v>7</v>
      </c>
      <c r="M13" s="22">
        <f>'2017-18_working'!M13</f>
        <v>0</v>
      </c>
      <c r="N13" s="22">
        <f>'2017-18_working'!N13+'2017-18_working'!O13</f>
        <v>0</v>
      </c>
      <c r="O13" s="22">
        <f>'2017-18_working'!P13</f>
        <v>0</v>
      </c>
      <c r="P13" s="23">
        <f t="shared" si="2"/>
        <v>32.174999999999997</v>
      </c>
      <c r="Q13" s="22"/>
      <c r="R13" s="21">
        <f t="shared" si="3"/>
        <v>5</v>
      </c>
      <c r="S13" s="21">
        <f t="shared" si="4"/>
        <v>17</v>
      </c>
      <c r="T13" s="21">
        <f t="shared" si="5"/>
        <v>9</v>
      </c>
      <c r="U13" s="21">
        <f t="shared" si="6"/>
        <v>0</v>
      </c>
      <c r="V13" s="21">
        <f t="shared" si="7"/>
        <v>0</v>
      </c>
      <c r="W13" s="21">
        <f t="shared" si="8"/>
        <v>0</v>
      </c>
      <c r="X13" s="23">
        <f t="shared" si="9"/>
        <v>31.435483870967744</v>
      </c>
      <c r="Y13" s="22"/>
      <c r="Z13" s="22">
        <f>'2017-18_working'!R13</f>
        <v>0</v>
      </c>
      <c r="AA13" s="22">
        <f>'2017-18_working'!S13</f>
        <v>0</v>
      </c>
      <c r="AB13" s="22">
        <f>'2017-18_working'!T13</f>
        <v>0</v>
      </c>
      <c r="AC13" s="22">
        <f>'2017-18_working'!U13</f>
        <v>0</v>
      </c>
      <c r="AD13" s="22">
        <f>'2017-18_working'!V13+'2017-18_working'!W13</f>
        <v>0</v>
      </c>
      <c r="AE13" s="22">
        <f>'2017-18_working'!X13</f>
        <v>0</v>
      </c>
      <c r="AF13" s="23" t="str">
        <f t="shared" si="11"/>
        <v>-</v>
      </c>
      <c r="AG13" s="22"/>
      <c r="AH13" s="22">
        <f>'2017-18_working'!Z13</f>
        <v>2</v>
      </c>
      <c r="AI13" s="22">
        <f>'2017-18_working'!AA13</f>
        <v>3</v>
      </c>
      <c r="AJ13" s="22">
        <f>'2017-18_working'!AB13</f>
        <v>2</v>
      </c>
      <c r="AK13" s="22">
        <f>'2017-18_working'!AC13</f>
        <v>4</v>
      </c>
      <c r="AL13" s="22">
        <f>'2017-18_working'!AD13+'2017-18_working'!AE13</f>
        <v>2</v>
      </c>
      <c r="AM13" s="22">
        <f>'2017-18_working'!AF13</f>
        <v>0</v>
      </c>
      <c r="AN13" s="23">
        <f t="shared" si="13"/>
        <v>40.384615384615387</v>
      </c>
      <c r="AO13" s="22"/>
      <c r="AP13" s="21">
        <f t="shared" si="14"/>
        <v>7</v>
      </c>
      <c r="AQ13" s="21">
        <f t="shared" si="15"/>
        <v>20</v>
      </c>
      <c r="AR13" s="21">
        <f t="shared" si="16"/>
        <v>11</v>
      </c>
      <c r="AS13" s="21">
        <f t="shared" si="17"/>
        <v>4</v>
      </c>
      <c r="AT13" s="21">
        <f t="shared" si="18"/>
        <v>2</v>
      </c>
      <c r="AU13" s="21">
        <f t="shared" si="19"/>
        <v>0</v>
      </c>
      <c r="AV13" s="23">
        <f t="shared" si="20"/>
        <v>34.079545454545453</v>
      </c>
      <c r="AW13" s="17"/>
      <c r="AX13" s="19">
        <f t="shared" si="26"/>
        <v>44</v>
      </c>
      <c r="AY13" s="19">
        <v>44</v>
      </c>
      <c r="AZ13" s="18">
        <f t="shared" si="27"/>
        <v>0</v>
      </c>
      <c r="BA13" s="17"/>
      <c r="BB13" s="17"/>
      <c r="BC13" s="17"/>
      <c r="BD13" s="17"/>
      <c r="BE13" s="17"/>
    </row>
    <row r="14" spans="1:58" s="7" customFormat="1" ht="15" customHeight="1" x14ac:dyDescent="0.35">
      <c r="A14" s="2" t="s">
        <v>19</v>
      </c>
      <c r="B14" s="22">
        <f>'2017-18_working'!B14</f>
        <v>2</v>
      </c>
      <c r="C14" s="22">
        <f>'2017-18_working'!C14</f>
        <v>4</v>
      </c>
      <c r="D14" s="22">
        <f>'2017-18_working'!D14</f>
        <v>1</v>
      </c>
      <c r="E14" s="22">
        <f>'2017-18_working'!E14</f>
        <v>0</v>
      </c>
      <c r="F14" s="22">
        <f>'2017-18_working'!F14+'2017-18_working'!G14</f>
        <v>0</v>
      </c>
      <c r="G14" s="22">
        <f>'2017-18_working'!H14</f>
        <v>0</v>
      </c>
      <c r="H14" s="23">
        <f t="shared" si="22"/>
        <v>28.642857142857139</v>
      </c>
      <c r="I14" s="22"/>
      <c r="J14" s="22">
        <f>'2017-18_working'!J14</f>
        <v>7</v>
      </c>
      <c r="K14" s="22">
        <f>'2017-18_working'!K14</f>
        <v>13</v>
      </c>
      <c r="L14" s="22">
        <f>'2017-18_working'!L14</f>
        <v>7</v>
      </c>
      <c r="M14" s="22">
        <f>'2017-18_working'!M14</f>
        <v>2</v>
      </c>
      <c r="N14" s="22">
        <f>'2017-18_working'!N14+'2017-18_working'!O14</f>
        <v>1</v>
      </c>
      <c r="O14" s="22">
        <f>'2017-18_working'!P14</f>
        <v>0</v>
      </c>
      <c r="P14" s="23">
        <f t="shared" si="2"/>
        <v>32.35</v>
      </c>
      <c r="Q14" s="22"/>
      <c r="R14" s="21">
        <f t="shared" si="3"/>
        <v>9</v>
      </c>
      <c r="S14" s="21">
        <f t="shared" si="4"/>
        <v>17</v>
      </c>
      <c r="T14" s="21">
        <f t="shared" si="5"/>
        <v>8</v>
      </c>
      <c r="U14" s="21">
        <f t="shared" si="6"/>
        <v>2</v>
      </c>
      <c r="V14" s="21">
        <f t="shared" si="7"/>
        <v>1</v>
      </c>
      <c r="W14" s="21">
        <f t="shared" si="8"/>
        <v>0</v>
      </c>
      <c r="X14" s="23">
        <f t="shared" si="9"/>
        <v>31.648648648648649</v>
      </c>
      <c r="Y14" s="22"/>
      <c r="Z14" s="22">
        <f>'2017-18_working'!R14</f>
        <v>4</v>
      </c>
      <c r="AA14" s="22">
        <f>'2017-18_working'!S14</f>
        <v>3</v>
      </c>
      <c r="AB14" s="22">
        <f>'2017-18_working'!T14</f>
        <v>2</v>
      </c>
      <c r="AC14" s="22">
        <f>'2017-18_working'!U14</f>
        <v>0</v>
      </c>
      <c r="AD14" s="22">
        <f>'2017-18_working'!V14+'2017-18_working'!W14</f>
        <v>0</v>
      </c>
      <c r="AE14" s="22">
        <f>'2017-18_working'!X14</f>
        <v>0</v>
      </c>
      <c r="AF14" s="23">
        <f t="shared" si="11"/>
        <v>27.888888888888889</v>
      </c>
      <c r="AG14" s="22"/>
      <c r="AH14" s="22">
        <f>'2017-18_working'!Z14</f>
        <v>11</v>
      </c>
      <c r="AI14" s="22">
        <f>'2017-18_working'!AA14</f>
        <v>8</v>
      </c>
      <c r="AJ14" s="22">
        <f>'2017-18_working'!AB14</f>
        <v>4</v>
      </c>
      <c r="AK14" s="22">
        <f>'2017-18_working'!AC14</f>
        <v>1</v>
      </c>
      <c r="AL14" s="22">
        <f>'2017-18_working'!AD14+'2017-18_working'!AE14</f>
        <v>0</v>
      </c>
      <c r="AM14" s="22">
        <f>'2017-18_working'!AF14</f>
        <v>0</v>
      </c>
      <c r="AN14" s="23">
        <f t="shared" si="13"/>
        <v>28.020833333333332</v>
      </c>
      <c r="AO14" s="22"/>
      <c r="AP14" s="21">
        <f t="shared" si="14"/>
        <v>24</v>
      </c>
      <c r="AQ14" s="21">
        <f t="shared" si="15"/>
        <v>28</v>
      </c>
      <c r="AR14" s="21">
        <f t="shared" si="16"/>
        <v>14</v>
      </c>
      <c r="AS14" s="21">
        <f t="shared" si="17"/>
        <v>3</v>
      </c>
      <c r="AT14" s="21">
        <f t="shared" si="18"/>
        <v>1</v>
      </c>
      <c r="AU14" s="21">
        <f t="shared" si="19"/>
        <v>0</v>
      </c>
      <c r="AV14" s="23">
        <f t="shared" si="20"/>
        <v>29.921428571428571</v>
      </c>
      <c r="AW14" s="17"/>
      <c r="AX14" s="19">
        <f t="shared" si="26"/>
        <v>70</v>
      </c>
      <c r="AY14" s="19">
        <v>70</v>
      </c>
      <c r="AZ14" s="18">
        <f t="shared" si="27"/>
        <v>0</v>
      </c>
      <c r="BA14" s="17"/>
      <c r="BB14" s="17"/>
      <c r="BC14" s="17"/>
      <c r="BD14" s="17"/>
      <c r="BE14" s="17"/>
    </row>
    <row r="15" spans="1:58" s="7" customFormat="1" ht="15" customHeight="1" x14ac:dyDescent="0.35">
      <c r="A15" s="2" t="s">
        <v>20</v>
      </c>
      <c r="B15" s="22">
        <f>'2017-18_working'!B15</f>
        <v>7</v>
      </c>
      <c r="C15" s="22">
        <f>'2017-18_working'!C15</f>
        <v>8</v>
      </c>
      <c r="D15" s="22">
        <f>'2017-18_working'!D15</f>
        <v>3</v>
      </c>
      <c r="E15" s="22">
        <f>'2017-18_working'!E15</f>
        <v>1</v>
      </c>
      <c r="F15" s="22">
        <f>'2017-18_working'!F15+'2017-18_working'!G15</f>
        <v>0</v>
      </c>
      <c r="G15" s="22">
        <f>'2017-18_working'!H15</f>
        <v>0</v>
      </c>
      <c r="H15" s="23">
        <f t="shared" si="22"/>
        <v>29.05263157894737</v>
      </c>
      <c r="I15" s="22"/>
      <c r="J15" s="22">
        <f>'2017-18_working'!J15</f>
        <v>4</v>
      </c>
      <c r="K15" s="22">
        <f>'2017-18_working'!K15</f>
        <v>12</v>
      </c>
      <c r="L15" s="22">
        <f>'2017-18_working'!L15</f>
        <v>4</v>
      </c>
      <c r="M15" s="22">
        <f>'2017-18_working'!M15</f>
        <v>1</v>
      </c>
      <c r="N15" s="22">
        <f>'2017-18_working'!N15+'2017-18_working'!O15</f>
        <v>0</v>
      </c>
      <c r="O15" s="22">
        <f>'2017-18_working'!P15</f>
        <v>0</v>
      </c>
      <c r="P15" s="23">
        <f t="shared" si="2"/>
        <v>31.071428571428569</v>
      </c>
      <c r="Q15" s="22"/>
      <c r="R15" s="21">
        <f t="shared" si="3"/>
        <v>11</v>
      </c>
      <c r="S15" s="21">
        <f t="shared" si="4"/>
        <v>20</v>
      </c>
      <c r="T15" s="21">
        <f t="shared" si="5"/>
        <v>7</v>
      </c>
      <c r="U15" s="21">
        <f t="shared" si="6"/>
        <v>2</v>
      </c>
      <c r="V15" s="21">
        <f t="shared" si="7"/>
        <v>0</v>
      </c>
      <c r="W15" s="21">
        <f t="shared" si="8"/>
        <v>0</v>
      </c>
      <c r="X15" s="23">
        <f t="shared" si="9"/>
        <v>30.112499999999997</v>
      </c>
      <c r="Y15" s="22"/>
      <c r="Z15" s="22">
        <f>'2017-18_working'!R15</f>
        <v>0</v>
      </c>
      <c r="AA15" s="22">
        <f>'2017-18_working'!S15</f>
        <v>0</v>
      </c>
      <c r="AB15" s="22">
        <f>'2017-18_working'!T15</f>
        <v>0</v>
      </c>
      <c r="AC15" s="22">
        <f>'2017-18_working'!U15</f>
        <v>0</v>
      </c>
      <c r="AD15" s="22">
        <f>'2017-18_working'!V15+'2017-18_working'!W15</f>
        <v>0</v>
      </c>
      <c r="AE15" s="22">
        <f>'2017-18_working'!X15</f>
        <v>0</v>
      </c>
      <c r="AF15" s="23" t="str">
        <f t="shared" si="11"/>
        <v>-</v>
      </c>
      <c r="AG15" s="22"/>
      <c r="AH15" s="22">
        <f>'2017-18_working'!Z15</f>
        <v>11</v>
      </c>
      <c r="AI15" s="22">
        <f>'2017-18_working'!AA15</f>
        <v>11</v>
      </c>
      <c r="AJ15" s="22">
        <f>'2017-18_working'!AB15</f>
        <v>8</v>
      </c>
      <c r="AK15" s="22">
        <f>'2017-18_working'!AC15</f>
        <v>3</v>
      </c>
      <c r="AL15" s="22">
        <f>'2017-18_working'!AD15+'2017-18_working'!AE15</f>
        <v>5</v>
      </c>
      <c r="AM15" s="22">
        <f>'2017-18_working'!AF15</f>
        <v>0</v>
      </c>
      <c r="AN15" s="23">
        <f t="shared" si="13"/>
        <v>34.35526315789474</v>
      </c>
      <c r="AO15" s="22"/>
      <c r="AP15" s="21">
        <f t="shared" si="14"/>
        <v>22</v>
      </c>
      <c r="AQ15" s="21">
        <f t="shared" si="15"/>
        <v>31</v>
      </c>
      <c r="AR15" s="21">
        <f t="shared" si="16"/>
        <v>15</v>
      </c>
      <c r="AS15" s="21">
        <f t="shared" si="17"/>
        <v>5</v>
      </c>
      <c r="AT15" s="21">
        <f t="shared" si="18"/>
        <v>5</v>
      </c>
      <c r="AU15" s="21">
        <f t="shared" si="19"/>
        <v>0</v>
      </c>
      <c r="AV15" s="23">
        <f t="shared" si="20"/>
        <v>32.179487179487175</v>
      </c>
      <c r="AW15" s="17"/>
      <c r="AX15" s="19">
        <f t="shared" si="26"/>
        <v>78</v>
      </c>
      <c r="AY15" s="19">
        <v>78</v>
      </c>
      <c r="AZ15" s="18">
        <f t="shared" si="27"/>
        <v>0</v>
      </c>
      <c r="BA15" s="17"/>
      <c r="BB15" s="17"/>
      <c r="BC15" s="17"/>
      <c r="BD15" s="17"/>
      <c r="BE15" s="17"/>
    </row>
    <row r="16" spans="1:58" s="7" customFormat="1" ht="15" customHeight="1" x14ac:dyDescent="0.35">
      <c r="A16" s="2" t="s">
        <v>21</v>
      </c>
      <c r="B16" s="22">
        <f>'2017-18_working'!B16</f>
        <v>5</v>
      </c>
      <c r="C16" s="22">
        <f>'2017-18_working'!C16</f>
        <v>13</v>
      </c>
      <c r="D16" s="22">
        <f>'2017-18_working'!D16</f>
        <v>3</v>
      </c>
      <c r="E16" s="22">
        <f>'2017-18_working'!E16</f>
        <v>0</v>
      </c>
      <c r="F16" s="22">
        <f>'2017-18_working'!F16+'2017-18_working'!G16</f>
        <v>1</v>
      </c>
      <c r="G16" s="22">
        <f>'2017-18_working'!H16</f>
        <v>0</v>
      </c>
      <c r="H16" s="23">
        <f t="shared" si="22"/>
        <v>30.340909090909093</v>
      </c>
      <c r="I16" s="22"/>
      <c r="J16" s="22">
        <f>'2017-18_working'!J16</f>
        <v>2</v>
      </c>
      <c r="K16" s="22">
        <f>'2017-18_working'!K16</f>
        <v>7</v>
      </c>
      <c r="L16" s="22">
        <f>'2017-18_working'!L16</f>
        <v>2</v>
      </c>
      <c r="M16" s="22">
        <f>'2017-18_working'!M16</f>
        <v>0</v>
      </c>
      <c r="N16" s="22">
        <f>'2017-18_working'!N16+'2017-18_working'!O16</f>
        <v>0</v>
      </c>
      <c r="O16" s="22">
        <f>'2017-18_working'!P16</f>
        <v>0</v>
      </c>
      <c r="P16" s="23">
        <f t="shared" si="2"/>
        <v>30.09090909090909</v>
      </c>
      <c r="Q16" s="22"/>
      <c r="R16" s="21">
        <f t="shared" si="3"/>
        <v>7</v>
      </c>
      <c r="S16" s="21">
        <f t="shared" si="4"/>
        <v>20</v>
      </c>
      <c r="T16" s="21">
        <f t="shared" si="5"/>
        <v>5</v>
      </c>
      <c r="U16" s="21">
        <f t="shared" si="6"/>
        <v>0</v>
      </c>
      <c r="V16" s="21">
        <f t="shared" si="7"/>
        <v>1</v>
      </c>
      <c r="W16" s="21">
        <f t="shared" si="8"/>
        <v>0</v>
      </c>
      <c r="X16" s="23">
        <f t="shared" si="9"/>
        <v>30.257575757575758</v>
      </c>
      <c r="Y16" s="22"/>
      <c r="Z16" s="22">
        <f>'2017-18_working'!R16</f>
        <v>0</v>
      </c>
      <c r="AA16" s="22">
        <f>'2017-18_working'!S16</f>
        <v>0</v>
      </c>
      <c r="AB16" s="22">
        <f>'2017-18_working'!T16</f>
        <v>1</v>
      </c>
      <c r="AC16" s="22">
        <f>'2017-18_working'!U16</f>
        <v>0</v>
      </c>
      <c r="AD16" s="22">
        <f>'2017-18_working'!V16+'2017-18_working'!W16</f>
        <v>0</v>
      </c>
      <c r="AE16" s="22">
        <f>'2017-18_working'!X16</f>
        <v>0</v>
      </c>
      <c r="AF16" s="23">
        <f t="shared" si="11"/>
        <v>40.5</v>
      </c>
      <c r="AG16" s="22"/>
      <c r="AH16" s="22">
        <f>'2017-18_working'!Z16</f>
        <v>1</v>
      </c>
      <c r="AI16" s="22">
        <f>'2017-18_working'!AA16</f>
        <v>6</v>
      </c>
      <c r="AJ16" s="22">
        <f>'2017-18_working'!AB16</f>
        <v>3</v>
      </c>
      <c r="AK16" s="22">
        <f>'2017-18_working'!AC16</f>
        <v>2</v>
      </c>
      <c r="AL16" s="22">
        <f>'2017-18_working'!AD16+'2017-18_working'!AE16</f>
        <v>1</v>
      </c>
      <c r="AM16" s="22">
        <f>'2017-18_working'!AF16</f>
        <v>0</v>
      </c>
      <c r="AN16" s="23">
        <f t="shared" si="13"/>
        <v>36.807692307692307</v>
      </c>
      <c r="AO16" s="22"/>
      <c r="AP16" s="21">
        <f t="shared" si="14"/>
        <v>8</v>
      </c>
      <c r="AQ16" s="21">
        <f t="shared" si="15"/>
        <v>26</v>
      </c>
      <c r="AR16" s="21">
        <f t="shared" si="16"/>
        <v>9</v>
      </c>
      <c r="AS16" s="21">
        <f t="shared" si="17"/>
        <v>2</v>
      </c>
      <c r="AT16" s="21">
        <f t="shared" si="18"/>
        <v>2</v>
      </c>
      <c r="AU16" s="21">
        <f t="shared" si="19"/>
        <v>0</v>
      </c>
      <c r="AV16" s="23">
        <f t="shared" si="20"/>
        <v>32.287234042553195</v>
      </c>
      <c r="AW16" s="17"/>
      <c r="AX16" s="19">
        <f t="shared" si="26"/>
        <v>47</v>
      </c>
      <c r="AY16" s="19">
        <v>47</v>
      </c>
      <c r="AZ16" s="18">
        <f t="shared" si="27"/>
        <v>0</v>
      </c>
      <c r="BA16" s="17"/>
      <c r="BB16" s="17"/>
      <c r="BC16" s="17"/>
      <c r="BD16" s="17"/>
      <c r="BE16" s="17"/>
    </row>
    <row r="17" spans="1:57" s="7" customFormat="1" ht="15" customHeight="1" x14ac:dyDescent="0.35">
      <c r="A17" s="2" t="s">
        <v>22</v>
      </c>
      <c r="B17" s="22">
        <f>'2017-18_working'!B17</f>
        <v>0</v>
      </c>
      <c r="C17" s="22">
        <f>'2017-18_working'!C17</f>
        <v>4</v>
      </c>
      <c r="D17" s="22">
        <f>'2017-18_working'!D17</f>
        <v>1</v>
      </c>
      <c r="E17" s="22">
        <f>'2017-18_working'!E17</f>
        <v>0</v>
      </c>
      <c r="F17" s="22">
        <f>'2017-18_working'!F17+'2017-18_working'!G17</f>
        <v>0</v>
      </c>
      <c r="G17" s="22">
        <f>'2017-18_working'!H17</f>
        <v>0</v>
      </c>
      <c r="H17" s="23">
        <f t="shared" si="22"/>
        <v>32.1</v>
      </c>
      <c r="I17" s="22"/>
      <c r="J17" s="22">
        <f>'2017-18_working'!J17</f>
        <v>2</v>
      </c>
      <c r="K17" s="22">
        <f>'2017-18_working'!K17</f>
        <v>11</v>
      </c>
      <c r="L17" s="22">
        <f>'2017-18_working'!L17</f>
        <v>6</v>
      </c>
      <c r="M17" s="22">
        <f>'2017-18_working'!M17</f>
        <v>2</v>
      </c>
      <c r="N17" s="22">
        <f>'2017-18_working'!N17+'2017-18_working'!O17</f>
        <v>2</v>
      </c>
      <c r="O17" s="22">
        <f>'2017-18_working'!P17</f>
        <v>0</v>
      </c>
      <c r="P17" s="23">
        <f t="shared" si="2"/>
        <v>35.913043478260867</v>
      </c>
      <c r="Q17" s="22"/>
      <c r="R17" s="21">
        <f t="shared" si="3"/>
        <v>2</v>
      </c>
      <c r="S17" s="21">
        <f t="shared" si="4"/>
        <v>15</v>
      </c>
      <c r="T17" s="21">
        <f t="shared" si="5"/>
        <v>7</v>
      </c>
      <c r="U17" s="21">
        <f t="shared" si="6"/>
        <v>2</v>
      </c>
      <c r="V17" s="21">
        <f t="shared" si="7"/>
        <v>2</v>
      </c>
      <c r="W17" s="21">
        <f t="shared" si="8"/>
        <v>0</v>
      </c>
      <c r="X17" s="23">
        <f t="shared" si="9"/>
        <v>35.232142857142854</v>
      </c>
      <c r="Y17" s="22"/>
      <c r="Z17" s="22">
        <f>'2017-18_working'!R17</f>
        <v>1</v>
      </c>
      <c r="AA17" s="22">
        <f>'2017-18_working'!S17</f>
        <v>2</v>
      </c>
      <c r="AB17" s="22">
        <f>'2017-18_working'!T17</f>
        <v>0</v>
      </c>
      <c r="AC17" s="22">
        <f>'2017-18_working'!U17</f>
        <v>0</v>
      </c>
      <c r="AD17" s="22">
        <f>'2017-18_working'!V17+'2017-18_working'!W17</f>
        <v>0</v>
      </c>
      <c r="AE17" s="22">
        <f>'2017-18_working'!X17</f>
        <v>0</v>
      </c>
      <c r="AF17" s="23">
        <f t="shared" si="11"/>
        <v>26.666666666666664</v>
      </c>
      <c r="AG17" s="22"/>
      <c r="AH17" s="22">
        <f>'2017-18_working'!Z17</f>
        <v>1</v>
      </c>
      <c r="AI17" s="22">
        <f>'2017-18_working'!AA17</f>
        <v>3</v>
      </c>
      <c r="AJ17" s="22">
        <f>'2017-18_working'!AB17</f>
        <v>2</v>
      </c>
      <c r="AK17" s="22">
        <f>'2017-18_working'!AC17</f>
        <v>0</v>
      </c>
      <c r="AL17" s="22">
        <f>'2017-18_working'!AD17+'2017-18_working'!AE17</f>
        <v>1</v>
      </c>
      <c r="AM17" s="22">
        <f>'2017-18_working'!AF17</f>
        <v>0</v>
      </c>
      <c r="AN17" s="23">
        <f t="shared" si="13"/>
        <v>35.285714285714285</v>
      </c>
      <c r="AO17" s="22"/>
      <c r="AP17" s="21">
        <f t="shared" si="14"/>
        <v>4</v>
      </c>
      <c r="AQ17" s="21">
        <f t="shared" si="15"/>
        <v>20</v>
      </c>
      <c r="AR17" s="21">
        <f t="shared" si="16"/>
        <v>9</v>
      </c>
      <c r="AS17" s="21">
        <f t="shared" si="17"/>
        <v>2</v>
      </c>
      <c r="AT17" s="21">
        <f t="shared" si="18"/>
        <v>3</v>
      </c>
      <c r="AU17" s="21">
        <f t="shared" si="19"/>
        <v>0</v>
      </c>
      <c r="AV17" s="23">
        <f t="shared" si="20"/>
        <v>34.565789473684212</v>
      </c>
      <c r="AW17" s="17"/>
      <c r="AX17" s="19">
        <f t="shared" si="26"/>
        <v>38</v>
      </c>
      <c r="AY17" s="19">
        <v>38</v>
      </c>
      <c r="AZ17" s="18">
        <f t="shared" si="27"/>
        <v>0</v>
      </c>
      <c r="BA17" s="17"/>
      <c r="BB17" s="17"/>
      <c r="BC17" s="17"/>
      <c r="BD17" s="17"/>
      <c r="BE17" s="17"/>
    </row>
    <row r="18" spans="1:57" s="7" customFormat="1" ht="15" customHeight="1" x14ac:dyDescent="0.35">
      <c r="A18" s="2" t="s">
        <v>23</v>
      </c>
      <c r="B18" s="22">
        <f>'2017-18_working'!B18</f>
        <v>0</v>
      </c>
      <c r="C18" s="22">
        <f>'2017-18_working'!C18</f>
        <v>0</v>
      </c>
      <c r="D18" s="22">
        <f>'2017-18_working'!D18</f>
        <v>1</v>
      </c>
      <c r="E18" s="22">
        <f>'2017-18_working'!E18</f>
        <v>0</v>
      </c>
      <c r="F18" s="22">
        <f>'2017-18_working'!F18+'2017-18_working'!G18</f>
        <v>0</v>
      </c>
      <c r="G18" s="22">
        <f>'2017-18_working'!H18</f>
        <v>0</v>
      </c>
      <c r="H18" s="23">
        <f t="shared" si="22"/>
        <v>40.5</v>
      </c>
      <c r="I18" s="22"/>
      <c r="J18" s="22">
        <f>'2017-18_working'!J18</f>
        <v>11</v>
      </c>
      <c r="K18" s="22">
        <f>'2017-18_working'!K18</f>
        <v>9</v>
      </c>
      <c r="L18" s="22">
        <f>'2017-18_working'!L18</f>
        <v>13</v>
      </c>
      <c r="M18" s="22">
        <f>'2017-18_working'!M18</f>
        <v>1</v>
      </c>
      <c r="N18" s="22">
        <f>'2017-18_working'!N18+'2017-18_working'!O18</f>
        <v>0</v>
      </c>
      <c r="O18" s="22">
        <f>'2017-18_working'!P18</f>
        <v>0</v>
      </c>
      <c r="P18" s="23">
        <f t="shared" si="2"/>
        <v>31.382352941176471</v>
      </c>
      <c r="Q18" s="22"/>
      <c r="R18" s="21">
        <f t="shared" si="3"/>
        <v>11</v>
      </c>
      <c r="S18" s="21">
        <f t="shared" si="4"/>
        <v>9</v>
      </c>
      <c r="T18" s="21">
        <f t="shared" si="5"/>
        <v>14</v>
      </c>
      <c r="U18" s="21">
        <f t="shared" si="6"/>
        <v>1</v>
      </c>
      <c r="V18" s="21">
        <f t="shared" si="7"/>
        <v>0</v>
      </c>
      <c r="W18" s="21">
        <f t="shared" si="8"/>
        <v>0</v>
      </c>
      <c r="X18" s="23">
        <f t="shared" si="9"/>
        <v>31.642857142857142</v>
      </c>
      <c r="Y18" s="22"/>
      <c r="Z18" s="22">
        <f>'2017-18_working'!R18</f>
        <v>0</v>
      </c>
      <c r="AA18" s="22">
        <f>'2017-18_working'!S18</f>
        <v>0</v>
      </c>
      <c r="AB18" s="22">
        <f>'2017-18_working'!T18</f>
        <v>0</v>
      </c>
      <c r="AC18" s="22">
        <f>'2017-18_working'!U18</f>
        <v>0</v>
      </c>
      <c r="AD18" s="22">
        <f>'2017-18_working'!V18+'2017-18_working'!W18</f>
        <v>0</v>
      </c>
      <c r="AE18" s="22">
        <f>'2017-18_working'!X18</f>
        <v>0</v>
      </c>
      <c r="AF18" s="23" t="str">
        <f t="shared" si="11"/>
        <v>-</v>
      </c>
      <c r="AG18" s="22"/>
      <c r="AH18" s="22">
        <f>'2017-18_working'!Z18</f>
        <v>0</v>
      </c>
      <c r="AI18" s="22">
        <f>'2017-18_working'!AA18</f>
        <v>1</v>
      </c>
      <c r="AJ18" s="22">
        <f>'2017-18_working'!AB18</f>
        <v>0</v>
      </c>
      <c r="AK18" s="22">
        <f>'2017-18_working'!AC18</f>
        <v>0</v>
      </c>
      <c r="AL18" s="22">
        <f>'2017-18_working'!AD18+'2017-18_working'!AE18</f>
        <v>0</v>
      </c>
      <c r="AM18" s="22">
        <f>'2017-18_working'!AF18</f>
        <v>0</v>
      </c>
      <c r="AN18" s="23">
        <f t="shared" si="13"/>
        <v>30</v>
      </c>
      <c r="AO18" s="22"/>
      <c r="AP18" s="21">
        <f t="shared" si="14"/>
        <v>11</v>
      </c>
      <c r="AQ18" s="21">
        <f t="shared" si="15"/>
        <v>10</v>
      </c>
      <c r="AR18" s="21">
        <f t="shared" si="16"/>
        <v>14</v>
      </c>
      <c r="AS18" s="21">
        <f t="shared" si="17"/>
        <v>1</v>
      </c>
      <c r="AT18" s="21">
        <f t="shared" si="18"/>
        <v>0</v>
      </c>
      <c r="AU18" s="21">
        <f t="shared" si="19"/>
        <v>0</v>
      </c>
      <c r="AV18" s="23">
        <f t="shared" si="20"/>
        <v>31.597222222222225</v>
      </c>
      <c r="AW18" s="17"/>
      <c r="AX18" s="19">
        <f t="shared" si="26"/>
        <v>36</v>
      </c>
      <c r="AY18" s="19">
        <v>36</v>
      </c>
      <c r="AZ18" s="18">
        <f t="shared" si="27"/>
        <v>0</v>
      </c>
      <c r="BA18" s="17"/>
      <c r="BB18" s="17"/>
      <c r="BC18" s="17"/>
      <c r="BD18" s="17"/>
      <c r="BE18" s="17"/>
    </row>
    <row r="19" spans="1:57" s="7" customFormat="1" ht="15" customHeight="1" x14ac:dyDescent="0.35">
      <c r="A19" s="24" t="s">
        <v>24</v>
      </c>
      <c r="B19" s="22">
        <f>'2017-18_working'!B19</f>
        <v>0</v>
      </c>
      <c r="C19" s="22">
        <f>'2017-18_working'!C19</f>
        <v>2</v>
      </c>
      <c r="D19" s="22">
        <f>'2017-18_working'!D19</f>
        <v>0</v>
      </c>
      <c r="E19" s="22">
        <f>'2017-18_working'!E19</f>
        <v>1</v>
      </c>
      <c r="F19" s="22">
        <f>'2017-18_working'!F19+'2017-18_working'!G19</f>
        <v>0</v>
      </c>
      <c r="G19" s="22">
        <f>'2017-18_working'!H19</f>
        <v>0</v>
      </c>
      <c r="H19" s="23">
        <f t="shared" si="22"/>
        <v>36.833333333333329</v>
      </c>
      <c r="I19" s="22"/>
      <c r="J19" s="22">
        <f>'2017-18_working'!J19</f>
        <v>11</v>
      </c>
      <c r="K19" s="22">
        <f>'2017-18_working'!K19</f>
        <v>11</v>
      </c>
      <c r="L19" s="22">
        <f>'2017-18_working'!L19</f>
        <v>4</v>
      </c>
      <c r="M19" s="22">
        <f>'2017-18_working'!M19</f>
        <v>1</v>
      </c>
      <c r="N19" s="22">
        <f>'2017-18_working'!N19+'2017-18_working'!O19</f>
        <v>1</v>
      </c>
      <c r="O19" s="22">
        <f>'2017-18_working'!P19</f>
        <v>0</v>
      </c>
      <c r="P19" s="23">
        <f t="shared" si="2"/>
        <v>29.232142857142854</v>
      </c>
      <c r="Q19" s="22"/>
      <c r="R19" s="21">
        <f t="shared" si="3"/>
        <v>11</v>
      </c>
      <c r="S19" s="21">
        <f t="shared" si="4"/>
        <v>13</v>
      </c>
      <c r="T19" s="21">
        <f t="shared" si="5"/>
        <v>4</v>
      </c>
      <c r="U19" s="21">
        <f t="shared" si="6"/>
        <v>2</v>
      </c>
      <c r="V19" s="21">
        <f t="shared" si="7"/>
        <v>1</v>
      </c>
      <c r="W19" s="21">
        <f t="shared" si="8"/>
        <v>0</v>
      </c>
      <c r="X19" s="23">
        <f t="shared" si="9"/>
        <v>29.967741935483872</v>
      </c>
      <c r="Y19" s="22"/>
      <c r="Z19" s="22">
        <f>'2017-18_working'!R19</f>
        <v>1</v>
      </c>
      <c r="AA19" s="22">
        <f>'2017-18_working'!S19</f>
        <v>2</v>
      </c>
      <c r="AB19" s="22">
        <f>'2017-18_working'!T19</f>
        <v>1</v>
      </c>
      <c r="AC19" s="22">
        <f>'2017-18_working'!U19</f>
        <v>0</v>
      </c>
      <c r="AD19" s="22">
        <f>'2017-18_working'!V19+'2017-18_working'!W19</f>
        <v>0</v>
      </c>
      <c r="AE19" s="22">
        <f>'2017-18_working'!X19</f>
        <v>0</v>
      </c>
      <c r="AF19" s="23">
        <f t="shared" si="11"/>
        <v>30.125</v>
      </c>
      <c r="AG19" s="22"/>
      <c r="AH19" s="22">
        <f>'2017-18_working'!Z19</f>
        <v>2</v>
      </c>
      <c r="AI19" s="22">
        <f>'2017-18_working'!AA19</f>
        <v>3</v>
      </c>
      <c r="AJ19" s="22">
        <f>'2017-18_working'!AB19</f>
        <v>3</v>
      </c>
      <c r="AK19" s="22">
        <f>'2017-18_working'!AC19</f>
        <v>5</v>
      </c>
      <c r="AL19" s="22">
        <f>'2017-18_working'!AD19+'2017-18_working'!AE19</f>
        <v>1</v>
      </c>
      <c r="AM19" s="22">
        <f>'2017-18_working'!AF19</f>
        <v>0</v>
      </c>
      <c r="AN19" s="23">
        <f t="shared" si="13"/>
        <v>40</v>
      </c>
      <c r="AO19" s="22"/>
      <c r="AP19" s="21">
        <f t="shared" si="14"/>
        <v>14</v>
      </c>
      <c r="AQ19" s="21">
        <f t="shared" si="15"/>
        <v>18</v>
      </c>
      <c r="AR19" s="21">
        <f t="shared" si="16"/>
        <v>8</v>
      </c>
      <c r="AS19" s="21">
        <f t="shared" si="17"/>
        <v>7</v>
      </c>
      <c r="AT19" s="21">
        <f t="shared" si="18"/>
        <v>2</v>
      </c>
      <c r="AU19" s="21">
        <f t="shared" si="19"/>
        <v>0</v>
      </c>
      <c r="AV19" s="23">
        <f t="shared" si="20"/>
        <v>32.846938775510203</v>
      </c>
      <c r="AW19" s="17"/>
      <c r="AX19" s="19">
        <f t="shared" si="26"/>
        <v>49</v>
      </c>
      <c r="AY19" s="19">
        <v>49</v>
      </c>
      <c r="AZ19" s="18">
        <f t="shared" si="27"/>
        <v>0</v>
      </c>
      <c r="BA19" s="17"/>
      <c r="BB19" s="17"/>
      <c r="BC19" s="17"/>
      <c r="BD19" s="17"/>
      <c r="BE19" s="17"/>
    </row>
    <row r="20" spans="1:57" s="7" customFormat="1" ht="15" customHeight="1" x14ac:dyDescent="0.35">
      <c r="A20" s="24" t="s">
        <v>25</v>
      </c>
      <c r="B20" s="22">
        <f>'2017-18_working'!B20</f>
        <v>4</v>
      </c>
      <c r="C20" s="22">
        <f>'2017-18_working'!C20</f>
        <v>23</v>
      </c>
      <c r="D20" s="22">
        <f>'2017-18_working'!D20</f>
        <v>6</v>
      </c>
      <c r="E20" s="22">
        <f>'2017-18_working'!E20</f>
        <v>2</v>
      </c>
      <c r="F20" s="22">
        <f>'2017-18_working'!F20+'2017-18_working'!G20</f>
        <v>0</v>
      </c>
      <c r="G20" s="22">
        <f>'2017-18_working'!H20</f>
        <v>0</v>
      </c>
      <c r="H20" s="23">
        <f t="shared" si="22"/>
        <v>31.828571428571429</v>
      </c>
      <c r="I20" s="22"/>
      <c r="J20" s="22">
        <f>'2017-18_working'!J20</f>
        <v>18</v>
      </c>
      <c r="K20" s="22">
        <f>'2017-18_working'!K20</f>
        <v>54</v>
      </c>
      <c r="L20" s="22">
        <f>'2017-18_working'!L20</f>
        <v>28</v>
      </c>
      <c r="M20" s="22">
        <f>'2017-18_working'!M20</f>
        <v>8</v>
      </c>
      <c r="N20" s="22">
        <f>'2017-18_working'!N20+'2017-18_working'!O20</f>
        <v>0</v>
      </c>
      <c r="O20" s="22">
        <f>'2017-18_working'!P20</f>
        <v>0</v>
      </c>
      <c r="P20" s="23">
        <f t="shared" si="2"/>
        <v>32.574074074074076</v>
      </c>
      <c r="Q20" s="22"/>
      <c r="R20" s="21">
        <f t="shared" si="3"/>
        <v>22</v>
      </c>
      <c r="S20" s="21">
        <f t="shared" si="4"/>
        <v>77</v>
      </c>
      <c r="T20" s="21">
        <f t="shared" si="5"/>
        <v>34</v>
      </c>
      <c r="U20" s="21">
        <f t="shared" si="6"/>
        <v>10</v>
      </c>
      <c r="V20" s="21">
        <f t="shared" si="7"/>
        <v>0</v>
      </c>
      <c r="W20" s="21">
        <f t="shared" si="8"/>
        <v>0</v>
      </c>
      <c r="X20" s="23">
        <f t="shared" si="9"/>
        <v>32.391608391608393</v>
      </c>
      <c r="Y20" s="22"/>
      <c r="Z20" s="22">
        <f>'2017-18_working'!R20</f>
        <v>0</v>
      </c>
      <c r="AA20" s="22">
        <f>'2017-18_working'!S20</f>
        <v>2</v>
      </c>
      <c r="AB20" s="22">
        <f>'2017-18_working'!T20</f>
        <v>0</v>
      </c>
      <c r="AC20" s="22">
        <f>'2017-18_working'!U20</f>
        <v>0</v>
      </c>
      <c r="AD20" s="22">
        <f>'2017-18_working'!V20+'2017-18_working'!W20</f>
        <v>0</v>
      </c>
      <c r="AE20" s="22">
        <f>'2017-18_working'!X20</f>
        <v>0</v>
      </c>
      <c r="AF20" s="23">
        <f t="shared" si="11"/>
        <v>30</v>
      </c>
      <c r="AG20" s="22"/>
      <c r="AH20" s="22">
        <f>'2017-18_working'!Z20</f>
        <v>1</v>
      </c>
      <c r="AI20" s="22">
        <f>'2017-18_working'!AA20</f>
        <v>8</v>
      </c>
      <c r="AJ20" s="22">
        <f>'2017-18_working'!AB20</f>
        <v>8</v>
      </c>
      <c r="AK20" s="22">
        <f>'2017-18_working'!AC20</f>
        <v>7</v>
      </c>
      <c r="AL20" s="22">
        <f>'2017-18_working'!AD20+'2017-18_working'!AE20</f>
        <v>2</v>
      </c>
      <c r="AM20" s="22">
        <f>'2017-18_working'!AF20</f>
        <v>0</v>
      </c>
      <c r="AN20" s="23">
        <f t="shared" si="13"/>
        <v>40.365384615384613</v>
      </c>
      <c r="AO20" s="22"/>
      <c r="AP20" s="21">
        <f t="shared" si="14"/>
        <v>23</v>
      </c>
      <c r="AQ20" s="21">
        <f t="shared" si="15"/>
        <v>87</v>
      </c>
      <c r="AR20" s="21">
        <f t="shared" si="16"/>
        <v>42</v>
      </c>
      <c r="AS20" s="21">
        <f t="shared" si="17"/>
        <v>17</v>
      </c>
      <c r="AT20" s="21">
        <f t="shared" si="18"/>
        <v>2</v>
      </c>
      <c r="AU20" s="21">
        <f t="shared" si="19"/>
        <v>0</v>
      </c>
      <c r="AV20" s="23">
        <f t="shared" si="20"/>
        <v>33.576023391812861</v>
      </c>
      <c r="AW20" s="17"/>
      <c r="AX20" s="19">
        <f t="shared" si="26"/>
        <v>171</v>
      </c>
      <c r="AY20" s="19">
        <v>171</v>
      </c>
      <c r="AZ20" s="18">
        <f t="shared" si="27"/>
        <v>0</v>
      </c>
      <c r="BA20" s="17"/>
      <c r="BB20" s="17"/>
      <c r="BC20" s="17"/>
      <c r="BD20" s="17"/>
      <c r="BE20" s="17"/>
    </row>
    <row r="21" spans="1:57" s="7" customFormat="1" ht="15" customHeight="1" x14ac:dyDescent="0.35">
      <c r="A21" s="2" t="s">
        <v>26</v>
      </c>
      <c r="B21" s="22">
        <f>'2017-18_working'!B21</f>
        <v>0</v>
      </c>
      <c r="C21" s="22">
        <f>'2017-18_working'!C21</f>
        <v>13</v>
      </c>
      <c r="D21" s="22">
        <f>'2017-18_working'!D21</f>
        <v>6</v>
      </c>
      <c r="E21" s="22">
        <f>'2017-18_working'!E21</f>
        <v>1</v>
      </c>
      <c r="F21" s="22">
        <f>'2017-18_working'!F21+'2017-18_working'!G21</f>
        <v>1</v>
      </c>
      <c r="G21" s="22">
        <f>'2017-18_working'!H21</f>
        <v>0</v>
      </c>
      <c r="H21" s="23">
        <f t="shared" si="22"/>
        <v>35.214285714285715</v>
      </c>
      <c r="I21" s="22"/>
      <c r="J21" s="22">
        <f>'2017-18_working'!J21</f>
        <v>21</v>
      </c>
      <c r="K21" s="22">
        <f>'2017-18_working'!K21</f>
        <v>34</v>
      </c>
      <c r="L21" s="22">
        <f>'2017-18_working'!L21</f>
        <v>18</v>
      </c>
      <c r="M21" s="22">
        <f>'2017-18_working'!M21</f>
        <v>4</v>
      </c>
      <c r="N21" s="22">
        <f>'2017-18_working'!N21+'2017-18_working'!O21</f>
        <v>1</v>
      </c>
      <c r="O21" s="22">
        <f>'2017-18_working'!P21</f>
        <v>0</v>
      </c>
      <c r="P21" s="23">
        <f t="shared" si="2"/>
        <v>31.115384615384617</v>
      </c>
      <c r="Q21" s="22"/>
      <c r="R21" s="21">
        <f t="shared" si="3"/>
        <v>21</v>
      </c>
      <c r="S21" s="21">
        <f t="shared" si="4"/>
        <v>47</v>
      </c>
      <c r="T21" s="21">
        <f t="shared" si="5"/>
        <v>24</v>
      </c>
      <c r="U21" s="21">
        <f t="shared" si="6"/>
        <v>5</v>
      </c>
      <c r="V21" s="21">
        <f t="shared" si="7"/>
        <v>2</v>
      </c>
      <c r="W21" s="21">
        <f t="shared" si="8"/>
        <v>0</v>
      </c>
      <c r="X21" s="23">
        <f t="shared" si="9"/>
        <v>31.984848484848488</v>
      </c>
      <c r="Y21" s="22"/>
      <c r="Z21" s="22">
        <f>'2017-18_working'!R21</f>
        <v>3</v>
      </c>
      <c r="AA21" s="22">
        <f>'2017-18_working'!S21</f>
        <v>1</v>
      </c>
      <c r="AB21" s="22">
        <f>'2017-18_working'!T21</f>
        <v>0</v>
      </c>
      <c r="AC21" s="22">
        <f>'2017-18_working'!U21</f>
        <v>0</v>
      </c>
      <c r="AD21" s="22">
        <f>'2017-18_working'!V21+'2017-18_working'!W21</f>
        <v>0</v>
      </c>
      <c r="AE21" s="22">
        <f>'2017-18_working'!X21</f>
        <v>0</v>
      </c>
      <c r="AF21" s="23">
        <f t="shared" si="11"/>
        <v>22.5</v>
      </c>
      <c r="AG21" s="22"/>
      <c r="AH21" s="22">
        <f>'2017-18_working'!Z21</f>
        <v>3</v>
      </c>
      <c r="AI21" s="22">
        <f>'2017-18_working'!AA21</f>
        <v>7</v>
      </c>
      <c r="AJ21" s="22">
        <f>'2017-18_working'!AB21</f>
        <v>3</v>
      </c>
      <c r="AK21" s="22">
        <f>'2017-18_working'!AC21</f>
        <v>11</v>
      </c>
      <c r="AL21" s="22">
        <f>'2017-18_working'!AD21+'2017-18_working'!AE21</f>
        <v>1</v>
      </c>
      <c r="AM21" s="22">
        <f>'2017-18_working'!AF21</f>
        <v>0</v>
      </c>
      <c r="AN21" s="23">
        <f t="shared" si="13"/>
        <v>40.119999999999997</v>
      </c>
      <c r="AO21" s="22"/>
      <c r="AP21" s="21">
        <f t="shared" si="14"/>
        <v>27</v>
      </c>
      <c r="AQ21" s="21">
        <f t="shared" si="15"/>
        <v>55</v>
      </c>
      <c r="AR21" s="21">
        <f t="shared" si="16"/>
        <v>27</v>
      </c>
      <c r="AS21" s="21">
        <f t="shared" si="17"/>
        <v>16</v>
      </c>
      <c r="AT21" s="21">
        <f t="shared" si="18"/>
        <v>3</v>
      </c>
      <c r="AU21" s="21">
        <f t="shared" si="19"/>
        <v>0</v>
      </c>
      <c r="AV21" s="23">
        <f t="shared" si="20"/>
        <v>33.27734375</v>
      </c>
      <c r="AW21" s="17"/>
      <c r="AX21" s="19">
        <f t="shared" si="26"/>
        <v>128</v>
      </c>
      <c r="AY21" s="19">
        <v>128</v>
      </c>
      <c r="AZ21" s="18">
        <f t="shared" si="27"/>
        <v>0</v>
      </c>
      <c r="BA21" s="17"/>
      <c r="BB21" s="17"/>
      <c r="BC21" s="17"/>
      <c r="BD21" s="17"/>
      <c r="BE21" s="17"/>
    </row>
    <row r="22" spans="1:57" s="7" customFormat="1" ht="15" customHeight="1" x14ac:dyDescent="0.35">
      <c r="A22" s="2" t="s">
        <v>27</v>
      </c>
      <c r="B22" s="22">
        <f>'2017-18_working'!B22</f>
        <v>11</v>
      </c>
      <c r="C22" s="22">
        <f>'2017-18_working'!C22</f>
        <v>10</v>
      </c>
      <c r="D22" s="22">
        <f>'2017-18_working'!D22</f>
        <v>1</v>
      </c>
      <c r="E22" s="22">
        <f>'2017-18_working'!E22</f>
        <v>0</v>
      </c>
      <c r="F22" s="22">
        <f>'2017-18_working'!F22+'2017-18_working'!G22</f>
        <v>0</v>
      </c>
      <c r="G22" s="22">
        <f>'2017-18_working'!H22</f>
        <v>0</v>
      </c>
      <c r="H22" s="23">
        <f t="shared" si="22"/>
        <v>25.477272727272727</v>
      </c>
      <c r="I22" s="22"/>
      <c r="J22" s="22">
        <f>'2017-18_working'!J22</f>
        <v>7</v>
      </c>
      <c r="K22" s="22">
        <f>'2017-18_working'!K22</f>
        <v>17</v>
      </c>
      <c r="L22" s="22">
        <f>'2017-18_working'!L22</f>
        <v>3</v>
      </c>
      <c r="M22" s="22">
        <f>'2017-18_working'!M22</f>
        <v>0</v>
      </c>
      <c r="N22" s="22">
        <f>'2017-18_working'!N22+'2017-18_working'!O22</f>
        <v>0</v>
      </c>
      <c r="O22" s="22">
        <f>'2017-18_working'!P22</f>
        <v>0</v>
      </c>
      <c r="P22" s="23">
        <f t="shared" si="2"/>
        <v>28.574074074074076</v>
      </c>
      <c r="Q22" s="22"/>
      <c r="R22" s="21">
        <f t="shared" si="3"/>
        <v>18</v>
      </c>
      <c r="S22" s="21">
        <f t="shared" si="4"/>
        <v>27</v>
      </c>
      <c r="T22" s="21">
        <f t="shared" si="5"/>
        <v>4</v>
      </c>
      <c r="U22" s="21">
        <f t="shared" si="6"/>
        <v>0</v>
      </c>
      <c r="V22" s="21">
        <f t="shared" si="7"/>
        <v>0</v>
      </c>
      <c r="W22" s="21">
        <f t="shared" si="8"/>
        <v>0</v>
      </c>
      <c r="X22" s="23">
        <f t="shared" si="9"/>
        <v>27.183673469387756</v>
      </c>
      <c r="Y22" s="22"/>
      <c r="Z22" s="22">
        <f>'2017-18_working'!R22</f>
        <v>0</v>
      </c>
      <c r="AA22" s="22">
        <f>'2017-18_working'!S22</f>
        <v>0</v>
      </c>
      <c r="AB22" s="22">
        <f>'2017-18_working'!T22</f>
        <v>0</v>
      </c>
      <c r="AC22" s="22">
        <f>'2017-18_working'!U22</f>
        <v>0</v>
      </c>
      <c r="AD22" s="22">
        <f>'2017-18_working'!V22+'2017-18_working'!W22</f>
        <v>0</v>
      </c>
      <c r="AE22" s="22">
        <f>'2017-18_working'!X22</f>
        <v>0</v>
      </c>
      <c r="AF22" s="23" t="str">
        <f t="shared" si="11"/>
        <v>-</v>
      </c>
      <c r="AG22" s="22"/>
      <c r="AH22" s="22">
        <f>'2017-18_working'!Z22</f>
        <v>4</v>
      </c>
      <c r="AI22" s="22">
        <f>'2017-18_working'!AA22</f>
        <v>2</v>
      </c>
      <c r="AJ22" s="22">
        <f>'2017-18_working'!AB22</f>
        <v>3</v>
      </c>
      <c r="AK22" s="22">
        <f>'2017-18_working'!AC22</f>
        <v>6</v>
      </c>
      <c r="AL22" s="22">
        <f>'2017-18_working'!AD22+'2017-18_working'!AE22</f>
        <v>3</v>
      </c>
      <c r="AM22" s="22">
        <f>'2017-18_working'!AF22</f>
        <v>0</v>
      </c>
      <c r="AN22" s="23">
        <f t="shared" si="13"/>
        <v>40.694444444444443</v>
      </c>
      <c r="AO22" s="22"/>
      <c r="AP22" s="21">
        <f t="shared" si="14"/>
        <v>22</v>
      </c>
      <c r="AQ22" s="21">
        <f t="shared" si="15"/>
        <v>29</v>
      </c>
      <c r="AR22" s="21">
        <f t="shared" si="16"/>
        <v>7</v>
      </c>
      <c r="AS22" s="21">
        <f t="shared" si="17"/>
        <v>6</v>
      </c>
      <c r="AT22" s="21">
        <f t="shared" si="18"/>
        <v>3</v>
      </c>
      <c r="AU22" s="21">
        <f t="shared" si="19"/>
        <v>0</v>
      </c>
      <c r="AV22" s="23">
        <f t="shared" si="20"/>
        <v>30.81343283582089</v>
      </c>
      <c r="AW22" s="17"/>
      <c r="AX22" s="19">
        <f t="shared" si="26"/>
        <v>67</v>
      </c>
      <c r="AY22" s="19">
        <v>67</v>
      </c>
      <c r="AZ22" s="18">
        <f t="shared" si="27"/>
        <v>0</v>
      </c>
      <c r="BA22" s="17"/>
      <c r="BB22" s="17"/>
      <c r="BC22" s="17"/>
      <c r="BD22" s="17"/>
      <c r="BE22" s="17"/>
    </row>
    <row r="23" spans="1:57" s="7" customFormat="1" ht="15" customHeight="1" x14ac:dyDescent="0.35">
      <c r="A23" s="2" t="s">
        <v>28</v>
      </c>
      <c r="B23" s="22">
        <f>'2017-18_working'!B23</f>
        <v>1</v>
      </c>
      <c r="C23" s="22">
        <f>'2017-18_working'!C23</f>
        <v>4</v>
      </c>
      <c r="D23" s="22">
        <f>'2017-18_working'!D23</f>
        <v>2</v>
      </c>
      <c r="E23" s="22">
        <f>'2017-18_working'!E23</f>
        <v>0</v>
      </c>
      <c r="F23" s="22">
        <f>'2017-18_working'!F23+'2017-18_working'!G23</f>
        <v>0</v>
      </c>
      <c r="G23" s="22">
        <f>'2017-18_working'!H23</f>
        <v>1</v>
      </c>
      <c r="H23" s="23">
        <f t="shared" si="22"/>
        <v>31.571428571428569</v>
      </c>
      <c r="I23" s="22"/>
      <c r="J23" s="22">
        <f>'2017-18_working'!J23</f>
        <v>5</v>
      </c>
      <c r="K23" s="22">
        <f>'2017-18_working'!K23</f>
        <v>16</v>
      </c>
      <c r="L23" s="22">
        <f>'2017-18_working'!L23</f>
        <v>1</v>
      </c>
      <c r="M23" s="22">
        <f>'2017-18_working'!M23</f>
        <v>0</v>
      </c>
      <c r="N23" s="22">
        <f>'2017-18_working'!N23+'2017-18_working'!O23</f>
        <v>0</v>
      </c>
      <c r="O23" s="22">
        <f>'2017-18_working'!P23</f>
        <v>0</v>
      </c>
      <c r="P23" s="23">
        <f t="shared" si="2"/>
        <v>28.204545454545457</v>
      </c>
      <c r="Q23" s="22"/>
      <c r="R23" s="21">
        <f t="shared" si="3"/>
        <v>6</v>
      </c>
      <c r="S23" s="21">
        <f t="shared" si="4"/>
        <v>20</v>
      </c>
      <c r="T23" s="21">
        <f t="shared" si="5"/>
        <v>3</v>
      </c>
      <c r="U23" s="21">
        <f t="shared" si="6"/>
        <v>0</v>
      </c>
      <c r="V23" s="21">
        <f t="shared" si="7"/>
        <v>0</v>
      </c>
      <c r="W23" s="21">
        <f t="shared" si="8"/>
        <v>1</v>
      </c>
      <c r="X23" s="23">
        <f t="shared" si="9"/>
        <v>29.017241379310345</v>
      </c>
      <c r="Y23" s="22"/>
      <c r="Z23" s="22">
        <f>'2017-18_working'!R23</f>
        <v>2</v>
      </c>
      <c r="AA23" s="22">
        <f>'2017-18_working'!S23</f>
        <v>1</v>
      </c>
      <c r="AB23" s="22">
        <f>'2017-18_working'!T23</f>
        <v>1</v>
      </c>
      <c r="AC23" s="22">
        <f>'2017-18_working'!U23</f>
        <v>0</v>
      </c>
      <c r="AD23" s="22">
        <f>'2017-18_working'!V23+'2017-18_working'!W23</f>
        <v>0</v>
      </c>
      <c r="AE23" s="22">
        <f>'2017-18_working'!X23</f>
        <v>0</v>
      </c>
      <c r="AF23" s="23">
        <f t="shared" si="11"/>
        <v>27.625</v>
      </c>
      <c r="AG23" s="22"/>
      <c r="AH23" s="22">
        <f>'2017-18_working'!Z23</f>
        <v>2</v>
      </c>
      <c r="AI23" s="22">
        <f>'2017-18_working'!AA23</f>
        <v>3</v>
      </c>
      <c r="AJ23" s="22">
        <f>'2017-18_working'!AB23</f>
        <v>7</v>
      </c>
      <c r="AK23" s="22">
        <f>'2017-18_working'!AC23</f>
        <v>8</v>
      </c>
      <c r="AL23" s="22">
        <f>'2017-18_working'!AD23+'2017-18_working'!AE23</f>
        <v>3</v>
      </c>
      <c r="AM23" s="22">
        <f>'2017-18_working'!AF23</f>
        <v>0</v>
      </c>
      <c r="AN23" s="23">
        <f t="shared" si="13"/>
        <v>42.847826086956516</v>
      </c>
      <c r="AO23" s="22"/>
      <c r="AP23" s="21">
        <f t="shared" si="14"/>
        <v>10</v>
      </c>
      <c r="AQ23" s="21">
        <f t="shared" si="15"/>
        <v>24</v>
      </c>
      <c r="AR23" s="21">
        <f t="shared" si="16"/>
        <v>11</v>
      </c>
      <c r="AS23" s="21">
        <f t="shared" si="17"/>
        <v>8</v>
      </c>
      <c r="AT23" s="21">
        <f t="shared" si="18"/>
        <v>3</v>
      </c>
      <c r="AU23" s="21">
        <f t="shared" si="19"/>
        <v>1</v>
      </c>
      <c r="AV23" s="23">
        <f t="shared" si="20"/>
        <v>34.598214285714285</v>
      </c>
      <c r="AW23" s="17"/>
      <c r="AX23" s="19">
        <f t="shared" si="26"/>
        <v>57</v>
      </c>
      <c r="AY23" s="19">
        <v>57</v>
      </c>
      <c r="AZ23" s="18">
        <f t="shared" si="27"/>
        <v>0</v>
      </c>
      <c r="BA23" s="17"/>
      <c r="BB23" s="17"/>
      <c r="BC23" s="17"/>
      <c r="BD23" s="17"/>
      <c r="BE23" s="17"/>
    </row>
    <row r="24" spans="1:57" s="7" customFormat="1" ht="15" customHeight="1" x14ac:dyDescent="0.35">
      <c r="A24" s="2" t="s">
        <v>29</v>
      </c>
      <c r="B24" s="22">
        <f>'2017-18_working'!B24</f>
        <v>1</v>
      </c>
      <c r="C24" s="22">
        <f>'2017-18_working'!C24</f>
        <v>16</v>
      </c>
      <c r="D24" s="22">
        <f>'2017-18_working'!D24</f>
        <v>4</v>
      </c>
      <c r="E24" s="22">
        <f>'2017-18_working'!E24</f>
        <v>1</v>
      </c>
      <c r="F24" s="22">
        <f>'2017-18_working'!F24+'2017-18_working'!G24</f>
        <v>0</v>
      </c>
      <c r="G24" s="22">
        <f>'2017-18_working'!H24</f>
        <v>0</v>
      </c>
      <c r="H24" s="23">
        <f t="shared" si="22"/>
        <v>32.38636363636364</v>
      </c>
      <c r="I24" s="22"/>
      <c r="J24" s="22">
        <f>'2017-18_working'!J24</f>
        <v>24</v>
      </c>
      <c r="K24" s="22">
        <f>'2017-18_working'!K24</f>
        <v>45</v>
      </c>
      <c r="L24" s="22">
        <f>'2017-18_working'!L24</f>
        <v>11</v>
      </c>
      <c r="M24" s="22">
        <f>'2017-18_working'!M24</f>
        <v>7</v>
      </c>
      <c r="N24" s="22">
        <f>'2017-18_working'!N24+'2017-18_working'!O24</f>
        <v>1</v>
      </c>
      <c r="O24" s="22">
        <f>'2017-18_working'!P24</f>
        <v>0</v>
      </c>
      <c r="P24" s="23">
        <f t="shared" si="2"/>
        <v>30.511363636363633</v>
      </c>
      <c r="Q24" s="22"/>
      <c r="R24" s="21">
        <f t="shared" si="3"/>
        <v>25</v>
      </c>
      <c r="S24" s="21">
        <f t="shared" si="4"/>
        <v>61</v>
      </c>
      <c r="T24" s="21">
        <f t="shared" si="5"/>
        <v>15</v>
      </c>
      <c r="U24" s="21">
        <f t="shared" si="6"/>
        <v>8</v>
      </c>
      <c r="V24" s="21">
        <f t="shared" si="7"/>
        <v>1</v>
      </c>
      <c r="W24" s="21">
        <f t="shared" si="8"/>
        <v>0</v>
      </c>
      <c r="X24" s="23">
        <f t="shared" si="9"/>
        <v>30.886363636363633</v>
      </c>
      <c r="Y24" s="22"/>
      <c r="Z24" s="22">
        <f>'2017-18_working'!R24</f>
        <v>1</v>
      </c>
      <c r="AA24" s="22">
        <f>'2017-18_working'!S24</f>
        <v>1</v>
      </c>
      <c r="AB24" s="22">
        <f>'2017-18_working'!T24</f>
        <v>0</v>
      </c>
      <c r="AC24" s="22">
        <f>'2017-18_working'!U24</f>
        <v>0</v>
      </c>
      <c r="AD24" s="22">
        <f>'2017-18_working'!V24+'2017-18_working'!W24</f>
        <v>0</v>
      </c>
      <c r="AE24" s="22">
        <f>'2017-18_working'!X24</f>
        <v>0</v>
      </c>
      <c r="AF24" s="23">
        <f t="shared" si="11"/>
        <v>25</v>
      </c>
      <c r="AG24" s="22"/>
      <c r="AH24" s="22">
        <f>'2017-18_working'!Z24</f>
        <v>8</v>
      </c>
      <c r="AI24" s="22">
        <f>'2017-18_working'!AA24</f>
        <v>15</v>
      </c>
      <c r="AJ24" s="22">
        <f>'2017-18_working'!AB24</f>
        <v>13</v>
      </c>
      <c r="AK24" s="22">
        <f>'2017-18_working'!AC24</f>
        <v>16</v>
      </c>
      <c r="AL24" s="22">
        <f>'2017-18_working'!AD24+'2017-18_working'!AE24</f>
        <v>9</v>
      </c>
      <c r="AM24" s="22">
        <f>'2017-18_working'!AF24</f>
        <v>0</v>
      </c>
      <c r="AN24" s="23">
        <f t="shared" si="13"/>
        <v>40.139344262295083</v>
      </c>
      <c r="AO24" s="22"/>
      <c r="AP24" s="21">
        <f t="shared" si="14"/>
        <v>34</v>
      </c>
      <c r="AQ24" s="21">
        <f t="shared" si="15"/>
        <v>77</v>
      </c>
      <c r="AR24" s="21">
        <f t="shared" si="16"/>
        <v>28</v>
      </c>
      <c r="AS24" s="21">
        <f t="shared" si="17"/>
        <v>24</v>
      </c>
      <c r="AT24" s="21">
        <f t="shared" si="18"/>
        <v>10</v>
      </c>
      <c r="AU24" s="21">
        <f t="shared" si="19"/>
        <v>0</v>
      </c>
      <c r="AV24" s="23">
        <f t="shared" si="20"/>
        <v>34.080924855491325</v>
      </c>
      <c r="AW24" s="17"/>
      <c r="AX24" s="19">
        <f t="shared" si="26"/>
        <v>173</v>
      </c>
      <c r="AY24" s="19">
        <v>174</v>
      </c>
      <c r="AZ24" s="18">
        <f t="shared" si="27"/>
        <v>-1</v>
      </c>
      <c r="BA24" s="17"/>
      <c r="BB24" s="17"/>
      <c r="BC24" s="17"/>
      <c r="BD24" s="17"/>
      <c r="BE24" s="17"/>
    </row>
    <row r="25" spans="1:57" s="7" customFormat="1" ht="15" customHeight="1" x14ac:dyDescent="0.35">
      <c r="A25" s="2" t="s">
        <v>30</v>
      </c>
      <c r="B25" s="22">
        <f>'2017-18_working'!B25</f>
        <v>5</v>
      </c>
      <c r="C25" s="22">
        <f>'2017-18_working'!C25</f>
        <v>24</v>
      </c>
      <c r="D25" s="22">
        <f>'2017-18_working'!D25</f>
        <v>5</v>
      </c>
      <c r="E25" s="22">
        <f>'2017-18_working'!E25</f>
        <v>1</v>
      </c>
      <c r="F25" s="22">
        <f>'2017-18_working'!F25+'2017-18_working'!G25</f>
        <v>0</v>
      </c>
      <c r="G25" s="22">
        <f>'2017-18_working'!H25</f>
        <v>0</v>
      </c>
      <c r="H25" s="23">
        <f t="shared" si="22"/>
        <v>30.657142857142858</v>
      </c>
      <c r="I25" s="22"/>
      <c r="J25" s="22">
        <f>'2017-18_working'!J25</f>
        <v>9</v>
      </c>
      <c r="K25" s="22">
        <f>'2017-18_working'!K25</f>
        <v>20</v>
      </c>
      <c r="L25" s="22">
        <f>'2017-18_working'!L25</f>
        <v>8</v>
      </c>
      <c r="M25" s="22">
        <f>'2017-18_working'!M25</f>
        <v>1</v>
      </c>
      <c r="N25" s="22">
        <f>'2017-18_working'!N25+'2017-18_working'!O25</f>
        <v>0</v>
      </c>
      <c r="O25" s="22">
        <f>'2017-18_working'!P25</f>
        <v>0</v>
      </c>
      <c r="P25" s="23">
        <f t="shared" si="2"/>
        <v>30.381578947368421</v>
      </c>
      <c r="Q25" s="22"/>
      <c r="R25" s="21">
        <f t="shared" si="3"/>
        <v>14</v>
      </c>
      <c r="S25" s="21">
        <f t="shared" si="4"/>
        <v>44</v>
      </c>
      <c r="T25" s="21">
        <f t="shared" si="5"/>
        <v>13</v>
      </c>
      <c r="U25" s="21">
        <f t="shared" si="6"/>
        <v>2</v>
      </c>
      <c r="V25" s="21">
        <f t="shared" si="7"/>
        <v>0</v>
      </c>
      <c r="W25" s="21">
        <f t="shared" si="8"/>
        <v>0</v>
      </c>
      <c r="X25" s="23">
        <f t="shared" si="9"/>
        <v>30.513698630136982</v>
      </c>
      <c r="Y25" s="22"/>
      <c r="Z25" s="22">
        <f>'2017-18_working'!R25</f>
        <v>3</v>
      </c>
      <c r="AA25" s="22">
        <f>'2017-18_working'!S25</f>
        <v>1</v>
      </c>
      <c r="AB25" s="22">
        <f>'2017-18_working'!T25</f>
        <v>2</v>
      </c>
      <c r="AC25" s="22">
        <f>'2017-18_working'!U25</f>
        <v>0</v>
      </c>
      <c r="AD25" s="22">
        <f>'2017-18_working'!V25+'2017-18_working'!W25</f>
        <v>0</v>
      </c>
      <c r="AE25" s="22">
        <f>'2017-18_working'!X25</f>
        <v>0</v>
      </c>
      <c r="AF25" s="23">
        <f t="shared" si="11"/>
        <v>28.5</v>
      </c>
      <c r="AG25" s="22"/>
      <c r="AH25" s="22">
        <f>'2017-18_working'!Z25</f>
        <v>0</v>
      </c>
      <c r="AI25" s="22">
        <f>'2017-18_working'!AA25</f>
        <v>5</v>
      </c>
      <c r="AJ25" s="22">
        <f>'2017-18_working'!AB25</f>
        <v>2</v>
      </c>
      <c r="AK25" s="22">
        <f>'2017-18_working'!AC25</f>
        <v>1</v>
      </c>
      <c r="AL25" s="22">
        <f>'2017-18_working'!AD25+'2017-18_working'!AE25</f>
        <v>1</v>
      </c>
      <c r="AM25" s="22">
        <f>'2017-18_working'!AF25</f>
        <v>0</v>
      </c>
      <c r="AN25" s="23">
        <f t="shared" si="13"/>
        <v>37.5</v>
      </c>
      <c r="AO25" s="22"/>
      <c r="AP25" s="21">
        <f t="shared" si="14"/>
        <v>17</v>
      </c>
      <c r="AQ25" s="21">
        <f t="shared" si="15"/>
        <v>50</v>
      </c>
      <c r="AR25" s="21">
        <f t="shared" si="16"/>
        <v>17</v>
      </c>
      <c r="AS25" s="21">
        <f t="shared" si="17"/>
        <v>3</v>
      </c>
      <c r="AT25" s="21">
        <f t="shared" si="18"/>
        <v>1</v>
      </c>
      <c r="AU25" s="21">
        <f t="shared" si="19"/>
        <v>0</v>
      </c>
      <c r="AV25" s="23">
        <f t="shared" si="20"/>
        <v>31.090909090909093</v>
      </c>
      <c r="AW25" s="17"/>
      <c r="AX25" s="19">
        <f t="shared" si="26"/>
        <v>88</v>
      </c>
      <c r="AY25" s="19">
        <v>88</v>
      </c>
      <c r="AZ25" s="18">
        <f t="shared" si="27"/>
        <v>0</v>
      </c>
      <c r="BA25" s="17"/>
      <c r="BB25" s="17"/>
      <c r="BC25" s="17"/>
      <c r="BD25" s="17"/>
      <c r="BE25" s="17"/>
    </row>
    <row r="26" spans="1:57" s="7" customFormat="1" ht="15" customHeight="1" x14ac:dyDescent="0.35">
      <c r="A26" s="2" t="s">
        <v>31</v>
      </c>
      <c r="B26" s="22">
        <f>'2017-18_working'!B26</f>
        <v>7</v>
      </c>
      <c r="C26" s="22">
        <f>'2017-18_working'!C26</f>
        <v>33</v>
      </c>
      <c r="D26" s="22">
        <f>'2017-18_working'!D26</f>
        <v>8</v>
      </c>
      <c r="E26" s="22">
        <f>'2017-18_working'!E26</f>
        <v>6</v>
      </c>
      <c r="F26" s="22">
        <f>'2017-18_working'!F26+'2017-18_working'!G26</f>
        <v>2</v>
      </c>
      <c r="G26" s="22">
        <f>'2017-18_working'!H26</f>
        <v>0</v>
      </c>
      <c r="H26" s="23">
        <f t="shared" si="22"/>
        <v>33.375</v>
      </c>
      <c r="I26" s="22"/>
      <c r="J26" s="22">
        <f>'2017-18_working'!J26</f>
        <v>18</v>
      </c>
      <c r="K26" s="22">
        <f>'2017-18_working'!K26</f>
        <v>38</v>
      </c>
      <c r="L26" s="22">
        <f>'2017-18_working'!L26</f>
        <v>31</v>
      </c>
      <c r="M26" s="22">
        <f>'2017-18_working'!M26</f>
        <v>11</v>
      </c>
      <c r="N26" s="22">
        <f>'2017-18_working'!N26+'2017-18_working'!O26</f>
        <v>1</v>
      </c>
      <c r="O26" s="22">
        <f>'2017-18_working'!P26</f>
        <v>0</v>
      </c>
      <c r="P26" s="23">
        <f t="shared" si="2"/>
        <v>34.01010101010101</v>
      </c>
      <c r="Q26" s="22"/>
      <c r="R26" s="21">
        <f t="shared" si="3"/>
        <v>25</v>
      </c>
      <c r="S26" s="21">
        <f t="shared" si="4"/>
        <v>71</v>
      </c>
      <c r="T26" s="21">
        <f t="shared" si="5"/>
        <v>39</v>
      </c>
      <c r="U26" s="21">
        <f t="shared" si="6"/>
        <v>17</v>
      </c>
      <c r="V26" s="21">
        <f t="shared" si="7"/>
        <v>3</v>
      </c>
      <c r="W26" s="21">
        <f t="shared" si="8"/>
        <v>0</v>
      </c>
      <c r="X26" s="23">
        <f t="shared" si="9"/>
        <v>33.780645161290323</v>
      </c>
      <c r="Y26" s="22"/>
      <c r="Z26" s="22">
        <f>'2017-18_working'!R26</f>
        <v>1</v>
      </c>
      <c r="AA26" s="22">
        <f>'2017-18_working'!S26</f>
        <v>1</v>
      </c>
      <c r="AB26" s="22">
        <f>'2017-18_working'!T26</f>
        <v>0</v>
      </c>
      <c r="AC26" s="22">
        <f>'2017-18_working'!U26</f>
        <v>0</v>
      </c>
      <c r="AD26" s="22">
        <f>'2017-18_working'!V26+'2017-18_working'!W26</f>
        <v>0</v>
      </c>
      <c r="AE26" s="22">
        <f>'2017-18_working'!X26</f>
        <v>0</v>
      </c>
      <c r="AF26" s="23">
        <f t="shared" si="11"/>
        <v>25</v>
      </c>
      <c r="AG26" s="22"/>
      <c r="AH26" s="22">
        <f>'2017-18_working'!Z26</f>
        <v>8</v>
      </c>
      <c r="AI26" s="22">
        <f>'2017-18_working'!AA26</f>
        <v>18</v>
      </c>
      <c r="AJ26" s="22">
        <f>'2017-18_working'!AB26</f>
        <v>10</v>
      </c>
      <c r="AK26" s="22">
        <f>'2017-18_working'!AC26</f>
        <v>10</v>
      </c>
      <c r="AL26" s="22">
        <f>'2017-18_working'!AD26+'2017-18_working'!AE26</f>
        <v>6</v>
      </c>
      <c r="AM26" s="22">
        <f>'2017-18_working'!AF26</f>
        <v>0</v>
      </c>
      <c r="AN26" s="23">
        <f t="shared" si="13"/>
        <v>37.42307692307692</v>
      </c>
      <c r="AO26" s="22"/>
      <c r="AP26" s="21">
        <f t="shared" si="14"/>
        <v>34</v>
      </c>
      <c r="AQ26" s="21">
        <f t="shared" si="15"/>
        <v>90</v>
      </c>
      <c r="AR26" s="21">
        <f t="shared" si="16"/>
        <v>49</v>
      </c>
      <c r="AS26" s="21">
        <f t="shared" si="17"/>
        <v>27</v>
      </c>
      <c r="AT26" s="21">
        <f t="shared" si="18"/>
        <v>9</v>
      </c>
      <c r="AU26" s="21">
        <f t="shared" si="19"/>
        <v>0</v>
      </c>
      <c r="AV26" s="23">
        <f t="shared" si="20"/>
        <v>34.602870813397132</v>
      </c>
      <c r="AW26" s="17"/>
      <c r="AX26" s="19">
        <f t="shared" si="26"/>
        <v>209</v>
      </c>
      <c r="AY26" s="19">
        <v>209</v>
      </c>
      <c r="AZ26" s="18">
        <f t="shared" si="27"/>
        <v>0</v>
      </c>
      <c r="BA26" s="17"/>
      <c r="BB26" s="17"/>
      <c r="BC26" s="17"/>
      <c r="BD26" s="17"/>
      <c r="BE26" s="17"/>
    </row>
    <row r="27" spans="1:57" s="7" customFormat="1" ht="15" customHeight="1" x14ac:dyDescent="0.35">
      <c r="A27" s="2" t="s">
        <v>32</v>
      </c>
      <c r="B27" s="22">
        <f>'2017-18_working'!B27</f>
        <v>2</v>
      </c>
      <c r="C27" s="22">
        <f>'2017-18_working'!C27</f>
        <v>9</v>
      </c>
      <c r="D27" s="22">
        <f>'2017-18_working'!D27</f>
        <v>8</v>
      </c>
      <c r="E27" s="22">
        <f>'2017-18_working'!E27</f>
        <v>1</v>
      </c>
      <c r="F27" s="22">
        <f>'2017-18_working'!F27+'2017-18_working'!G27</f>
        <v>1</v>
      </c>
      <c r="G27" s="22">
        <f>'2017-18_working'!H27</f>
        <v>0</v>
      </c>
      <c r="H27" s="23">
        <f t="shared" si="22"/>
        <v>35.261904761904759</v>
      </c>
      <c r="I27" s="22"/>
      <c r="J27" s="22">
        <f>'2017-18_working'!J27</f>
        <v>10</v>
      </c>
      <c r="K27" s="22">
        <f>'2017-18_working'!K27</f>
        <v>13</v>
      </c>
      <c r="L27" s="22">
        <f>'2017-18_working'!L27</f>
        <v>11</v>
      </c>
      <c r="M27" s="22">
        <f>'2017-18_working'!M27</f>
        <v>3</v>
      </c>
      <c r="N27" s="22">
        <f>'2017-18_working'!N27+'2017-18_working'!O27</f>
        <v>0</v>
      </c>
      <c r="O27" s="22">
        <f>'2017-18_working'!P27</f>
        <v>0</v>
      </c>
      <c r="P27" s="23">
        <f t="shared" si="2"/>
        <v>32.081081081081081</v>
      </c>
      <c r="Q27" s="22"/>
      <c r="R27" s="21">
        <f t="shared" si="3"/>
        <v>12</v>
      </c>
      <c r="S27" s="21">
        <f t="shared" si="4"/>
        <v>22</v>
      </c>
      <c r="T27" s="21">
        <f t="shared" si="5"/>
        <v>19</v>
      </c>
      <c r="U27" s="21">
        <f t="shared" si="6"/>
        <v>4</v>
      </c>
      <c r="V27" s="21">
        <f t="shared" si="7"/>
        <v>1</v>
      </c>
      <c r="W27" s="21">
        <f t="shared" si="8"/>
        <v>0</v>
      </c>
      <c r="X27" s="23">
        <f t="shared" si="9"/>
        <v>33.232758620689658</v>
      </c>
      <c r="Y27" s="22"/>
      <c r="Z27" s="22">
        <f>'2017-18_working'!R27</f>
        <v>0</v>
      </c>
      <c r="AA27" s="22">
        <f>'2017-18_working'!S27</f>
        <v>1</v>
      </c>
      <c r="AB27" s="22">
        <f>'2017-18_working'!T27</f>
        <v>0</v>
      </c>
      <c r="AC27" s="22">
        <f>'2017-18_working'!U27</f>
        <v>0</v>
      </c>
      <c r="AD27" s="22">
        <f>'2017-18_working'!V27+'2017-18_working'!W27</f>
        <v>1</v>
      </c>
      <c r="AE27" s="22">
        <f>'2017-18_working'!X27</f>
        <v>0</v>
      </c>
      <c r="AF27" s="23">
        <f t="shared" si="11"/>
        <v>43</v>
      </c>
      <c r="AG27" s="22"/>
      <c r="AH27" s="22">
        <f>'2017-18_working'!Z27</f>
        <v>3</v>
      </c>
      <c r="AI27" s="22">
        <f>'2017-18_working'!AA27</f>
        <v>2</v>
      </c>
      <c r="AJ27" s="22">
        <f>'2017-18_working'!AB27</f>
        <v>3</v>
      </c>
      <c r="AK27" s="22">
        <f>'2017-18_working'!AC27</f>
        <v>2</v>
      </c>
      <c r="AL27" s="22">
        <f>'2017-18_working'!AD27+'2017-18_working'!AE27</f>
        <v>4</v>
      </c>
      <c r="AM27" s="22">
        <f>'2017-18_working'!AF27</f>
        <v>0</v>
      </c>
      <c r="AN27" s="23">
        <f t="shared" si="13"/>
        <v>40.464285714285715</v>
      </c>
      <c r="AO27" s="22"/>
      <c r="AP27" s="21">
        <f t="shared" si="14"/>
        <v>15</v>
      </c>
      <c r="AQ27" s="21">
        <f t="shared" si="15"/>
        <v>25</v>
      </c>
      <c r="AR27" s="21">
        <f t="shared" si="16"/>
        <v>22</v>
      </c>
      <c r="AS27" s="21">
        <f t="shared" si="17"/>
        <v>6</v>
      </c>
      <c r="AT27" s="21">
        <f t="shared" si="18"/>
        <v>6</v>
      </c>
      <c r="AU27" s="21">
        <f t="shared" si="19"/>
        <v>0</v>
      </c>
      <c r="AV27" s="23">
        <f t="shared" si="20"/>
        <v>34.864864864864863</v>
      </c>
      <c r="AW27" s="17"/>
      <c r="AX27" s="19">
        <f t="shared" si="26"/>
        <v>74</v>
      </c>
      <c r="AY27" s="19">
        <v>74</v>
      </c>
      <c r="AZ27" s="18">
        <f t="shared" si="27"/>
        <v>0</v>
      </c>
      <c r="BA27" s="17"/>
      <c r="BB27" s="17"/>
      <c r="BC27" s="17"/>
      <c r="BD27" s="17"/>
      <c r="BE27" s="17"/>
    </row>
    <row r="28" spans="1:57" s="7" customFormat="1" ht="15" customHeight="1" x14ac:dyDescent="0.35">
      <c r="A28" s="2" t="s">
        <v>33</v>
      </c>
      <c r="B28" s="22">
        <f>'2017-18_working'!B28</f>
        <v>12</v>
      </c>
      <c r="C28" s="22">
        <f>'2017-18_working'!C28</f>
        <v>19</v>
      </c>
      <c r="D28" s="22">
        <f>'2017-18_working'!D28</f>
        <v>3</v>
      </c>
      <c r="E28" s="22">
        <f>'2017-18_working'!E28</f>
        <v>2</v>
      </c>
      <c r="F28" s="22">
        <f>'2017-18_working'!F28+'2017-18_working'!G28</f>
        <v>1</v>
      </c>
      <c r="G28" s="22">
        <f>'2017-18_working'!H28</f>
        <v>0</v>
      </c>
      <c r="H28" s="23">
        <f t="shared" si="22"/>
        <v>29.418918918918916</v>
      </c>
      <c r="I28" s="22"/>
      <c r="J28" s="22">
        <f>'2017-18_working'!J28</f>
        <v>8</v>
      </c>
      <c r="K28" s="22">
        <f>'2017-18_working'!K28</f>
        <v>12</v>
      </c>
      <c r="L28" s="22">
        <f>'2017-18_working'!L28</f>
        <v>10</v>
      </c>
      <c r="M28" s="22">
        <f>'2017-18_working'!M28</f>
        <v>4</v>
      </c>
      <c r="N28" s="22">
        <f>'2017-18_working'!N28+'2017-18_working'!O28</f>
        <v>1</v>
      </c>
      <c r="O28" s="22">
        <f>'2017-18_working'!P28</f>
        <v>0</v>
      </c>
      <c r="P28" s="23">
        <f t="shared" si="2"/>
        <v>33.800000000000004</v>
      </c>
      <c r="Q28" s="22"/>
      <c r="R28" s="21">
        <f t="shared" si="3"/>
        <v>20</v>
      </c>
      <c r="S28" s="21">
        <f t="shared" si="4"/>
        <v>31</v>
      </c>
      <c r="T28" s="21">
        <f t="shared" si="5"/>
        <v>13</v>
      </c>
      <c r="U28" s="21">
        <f t="shared" si="6"/>
        <v>6</v>
      </c>
      <c r="V28" s="21">
        <f t="shared" si="7"/>
        <v>2</v>
      </c>
      <c r="W28" s="21">
        <f t="shared" si="8"/>
        <v>0</v>
      </c>
      <c r="X28" s="23">
        <f t="shared" si="9"/>
        <v>31.548611111111107</v>
      </c>
      <c r="Y28" s="22"/>
      <c r="Z28" s="22">
        <f>'2017-18_working'!R28</f>
        <v>0</v>
      </c>
      <c r="AA28" s="22">
        <f>'2017-18_working'!S28</f>
        <v>0</v>
      </c>
      <c r="AB28" s="22">
        <f>'2017-18_working'!T28</f>
        <v>0</v>
      </c>
      <c r="AC28" s="22">
        <f>'2017-18_working'!U28</f>
        <v>0</v>
      </c>
      <c r="AD28" s="22">
        <f>'2017-18_working'!V28+'2017-18_working'!W28</f>
        <v>0</v>
      </c>
      <c r="AE28" s="22">
        <f>'2017-18_working'!X28</f>
        <v>0</v>
      </c>
      <c r="AF28" s="23" t="str">
        <f t="shared" si="11"/>
        <v>-</v>
      </c>
      <c r="AG28" s="22"/>
      <c r="AH28" s="22">
        <f>'2017-18_working'!Z28</f>
        <v>3</v>
      </c>
      <c r="AI28" s="22">
        <f>'2017-18_working'!AA28</f>
        <v>6</v>
      </c>
      <c r="AJ28" s="22">
        <f>'2017-18_working'!AB28</f>
        <v>4</v>
      </c>
      <c r="AK28" s="22">
        <f>'2017-18_working'!AC28</f>
        <v>3</v>
      </c>
      <c r="AL28" s="22">
        <f>'2017-18_working'!AD28+'2017-18_working'!AE28</f>
        <v>4</v>
      </c>
      <c r="AM28" s="22">
        <f>'2017-18_working'!AF28</f>
        <v>0</v>
      </c>
      <c r="AN28" s="23">
        <f t="shared" si="13"/>
        <v>38.875</v>
      </c>
      <c r="AO28" s="22"/>
      <c r="AP28" s="21">
        <f t="shared" si="14"/>
        <v>23</v>
      </c>
      <c r="AQ28" s="21">
        <f t="shared" si="15"/>
        <v>37</v>
      </c>
      <c r="AR28" s="21">
        <f t="shared" si="16"/>
        <v>17</v>
      </c>
      <c r="AS28" s="21">
        <f t="shared" si="17"/>
        <v>9</v>
      </c>
      <c r="AT28" s="21">
        <f t="shared" si="18"/>
        <v>6</v>
      </c>
      <c r="AU28" s="21">
        <f t="shared" si="19"/>
        <v>0</v>
      </c>
      <c r="AV28" s="23">
        <f t="shared" si="20"/>
        <v>33.141304347826086</v>
      </c>
      <c r="AW28" s="17"/>
      <c r="AX28" s="19">
        <f t="shared" si="26"/>
        <v>92</v>
      </c>
      <c r="AY28" s="19">
        <v>92</v>
      </c>
      <c r="AZ28" s="18">
        <f t="shared" si="27"/>
        <v>0</v>
      </c>
      <c r="BA28" s="17"/>
      <c r="BB28" s="17"/>
      <c r="BC28" s="17"/>
      <c r="BD28" s="17"/>
      <c r="BE28" s="17"/>
    </row>
    <row r="29" spans="1:57" s="7" customFormat="1" ht="15" customHeight="1" x14ac:dyDescent="0.35">
      <c r="A29" s="2" t="s">
        <v>34</v>
      </c>
      <c r="B29" s="22">
        <f>'2017-18_working'!B29</f>
        <v>2</v>
      </c>
      <c r="C29" s="22">
        <f>'2017-18_working'!C29</f>
        <v>15</v>
      </c>
      <c r="D29" s="22">
        <f>'2017-18_working'!D29</f>
        <v>5</v>
      </c>
      <c r="E29" s="22">
        <f>'2017-18_working'!E29</f>
        <v>0</v>
      </c>
      <c r="F29" s="22">
        <f>'2017-18_working'!F29+'2017-18_working'!G29</f>
        <v>0</v>
      </c>
      <c r="G29" s="22">
        <f>'2017-18_working'!H29</f>
        <v>0</v>
      </c>
      <c r="H29" s="23">
        <f t="shared" si="22"/>
        <v>31.477272727272727</v>
      </c>
      <c r="I29" s="22"/>
      <c r="J29" s="22">
        <f>'2017-18_working'!J29</f>
        <v>12</v>
      </c>
      <c r="K29" s="22">
        <f>'2017-18_working'!K29</f>
        <v>25</v>
      </c>
      <c r="L29" s="22">
        <f>'2017-18_working'!L29</f>
        <v>7</v>
      </c>
      <c r="M29" s="22">
        <f>'2017-18_working'!M29</f>
        <v>2</v>
      </c>
      <c r="N29" s="22">
        <f>'2017-18_working'!N29+'2017-18_working'!O29</f>
        <v>0</v>
      </c>
      <c r="O29" s="22">
        <f>'2017-18_working'!P29</f>
        <v>0</v>
      </c>
      <c r="P29" s="23">
        <f t="shared" si="2"/>
        <v>29.880434782608695</v>
      </c>
      <c r="Q29" s="22"/>
      <c r="R29" s="21">
        <f t="shared" si="3"/>
        <v>14</v>
      </c>
      <c r="S29" s="21">
        <f t="shared" si="4"/>
        <v>40</v>
      </c>
      <c r="T29" s="21">
        <f t="shared" si="5"/>
        <v>12</v>
      </c>
      <c r="U29" s="21">
        <f t="shared" si="6"/>
        <v>2</v>
      </c>
      <c r="V29" s="21">
        <f t="shared" si="7"/>
        <v>0</v>
      </c>
      <c r="W29" s="21">
        <f t="shared" si="8"/>
        <v>0</v>
      </c>
      <c r="X29" s="23">
        <f t="shared" si="9"/>
        <v>30.397058823529413</v>
      </c>
      <c r="Y29" s="22"/>
      <c r="Z29" s="22">
        <f>'2017-18_working'!R29</f>
        <v>0</v>
      </c>
      <c r="AA29" s="22">
        <f>'2017-18_working'!S29</f>
        <v>1</v>
      </c>
      <c r="AB29" s="22">
        <f>'2017-18_working'!T29</f>
        <v>1</v>
      </c>
      <c r="AC29" s="22">
        <f>'2017-18_working'!U29</f>
        <v>0</v>
      </c>
      <c r="AD29" s="22">
        <f>'2017-18_working'!V29+'2017-18_working'!W29</f>
        <v>0</v>
      </c>
      <c r="AE29" s="22">
        <f>'2017-18_working'!X29</f>
        <v>0</v>
      </c>
      <c r="AF29" s="23">
        <f t="shared" si="11"/>
        <v>35.25</v>
      </c>
      <c r="AG29" s="22"/>
      <c r="AH29" s="22">
        <f>'2017-18_working'!Z29</f>
        <v>5</v>
      </c>
      <c r="AI29" s="22">
        <f>'2017-18_working'!AA29</f>
        <v>10</v>
      </c>
      <c r="AJ29" s="22">
        <f>'2017-18_working'!AB29</f>
        <v>4</v>
      </c>
      <c r="AK29" s="22">
        <f>'2017-18_working'!AC29</f>
        <v>9</v>
      </c>
      <c r="AL29" s="22">
        <f>'2017-18_working'!AD29+'2017-18_working'!AE29</f>
        <v>6</v>
      </c>
      <c r="AM29" s="22">
        <f>'2017-18_working'!AF29</f>
        <v>0</v>
      </c>
      <c r="AN29" s="23">
        <f t="shared" si="13"/>
        <v>39.779411764705884</v>
      </c>
      <c r="AO29" s="22"/>
      <c r="AP29" s="21">
        <f t="shared" si="14"/>
        <v>19</v>
      </c>
      <c r="AQ29" s="21">
        <f t="shared" si="15"/>
        <v>51</v>
      </c>
      <c r="AR29" s="21">
        <f t="shared" si="16"/>
        <v>17</v>
      </c>
      <c r="AS29" s="21">
        <f t="shared" si="17"/>
        <v>11</v>
      </c>
      <c r="AT29" s="21">
        <f t="shared" si="18"/>
        <v>6</v>
      </c>
      <c r="AU29" s="21">
        <f t="shared" si="19"/>
        <v>0</v>
      </c>
      <c r="AV29" s="23">
        <f t="shared" si="20"/>
        <v>33.557692307692307</v>
      </c>
      <c r="AW29" s="17"/>
      <c r="AX29" s="19">
        <f t="shared" si="26"/>
        <v>104</v>
      </c>
      <c r="AY29" s="19">
        <v>104</v>
      </c>
      <c r="AZ29" s="18">
        <f t="shared" si="27"/>
        <v>0</v>
      </c>
      <c r="BA29" s="17"/>
      <c r="BB29" s="17"/>
      <c r="BC29" s="17"/>
      <c r="BD29" s="17"/>
      <c r="BE29" s="17"/>
    </row>
    <row r="30" spans="1:57" s="7" customFormat="1" ht="15" customHeight="1" x14ac:dyDescent="0.35">
      <c r="A30" s="2" t="s">
        <v>35</v>
      </c>
      <c r="B30" s="22">
        <f>'2017-18_working'!B30</f>
        <v>0</v>
      </c>
      <c r="C30" s="22">
        <f>'2017-18_working'!C30</f>
        <v>0</v>
      </c>
      <c r="D30" s="22">
        <f>'2017-18_working'!D30</f>
        <v>0</v>
      </c>
      <c r="E30" s="22">
        <f>'2017-18_working'!E30</f>
        <v>0</v>
      </c>
      <c r="F30" s="22">
        <f>'2017-18_working'!F30+'2017-18_working'!G30</f>
        <v>0</v>
      </c>
      <c r="G30" s="22">
        <f>'2017-18_working'!H30</f>
        <v>0</v>
      </c>
      <c r="H30" s="23" t="str">
        <f t="shared" si="22"/>
        <v>-</v>
      </c>
      <c r="I30" s="22"/>
      <c r="J30" s="22">
        <f>'2017-18_working'!J30</f>
        <v>0</v>
      </c>
      <c r="K30" s="22">
        <f>'2017-18_working'!K30</f>
        <v>0</v>
      </c>
      <c r="L30" s="22">
        <f>'2017-18_working'!L30</f>
        <v>0</v>
      </c>
      <c r="M30" s="22">
        <f>'2017-18_working'!M30</f>
        <v>0</v>
      </c>
      <c r="N30" s="22">
        <f>'2017-18_working'!N30+'2017-18_working'!O30</f>
        <v>0</v>
      </c>
      <c r="O30" s="22">
        <f>'2017-18_working'!P30</f>
        <v>0</v>
      </c>
      <c r="P30" s="23" t="str">
        <f t="shared" si="2"/>
        <v>-</v>
      </c>
      <c r="Q30" s="22"/>
      <c r="R30" s="21">
        <f t="shared" si="3"/>
        <v>0</v>
      </c>
      <c r="S30" s="21">
        <f t="shared" si="4"/>
        <v>0</v>
      </c>
      <c r="T30" s="21">
        <f t="shared" si="5"/>
        <v>0</v>
      </c>
      <c r="U30" s="21">
        <f t="shared" si="6"/>
        <v>0</v>
      </c>
      <c r="V30" s="21">
        <f t="shared" si="7"/>
        <v>0</v>
      </c>
      <c r="W30" s="21">
        <f t="shared" si="8"/>
        <v>0</v>
      </c>
      <c r="X30" s="23" t="str">
        <f t="shared" si="9"/>
        <v>-</v>
      </c>
      <c r="Y30" s="22"/>
      <c r="Z30" s="22">
        <f>'2017-18_working'!R30</f>
        <v>0</v>
      </c>
      <c r="AA30" s="22">
        <f>'2017-18_working'!S30</f>
        <v>0</v>
      </c>
      <c r="AB30" s="22">
        <f>'2017-18_working'!T30</f>
        <v>0</v>
      </c>
      <c r="AC30" s="22">
        <f>'2017-18_working'!U30</f>
        <v>0</v>
      </c>
      <c r="AD30" s="22">
        <f>'2017-18_working'!V30+'2017-18_working'!W30</f>
        <v>0</v>
      </c>
      <c r="AE30" s="22">
        <f>'2017-18_working'!X30</f>
        <v>0</v>
      </c>
      <c r="AF30" s="23" t="str">
        <f t="shared" si="11"/>
        <v>-</v>
      </c>
      <c r="AG30" s="22"/>
      <c r="AH30" s="22">
        <f>'2017-18_working'!Z30</f>
        <v>0</v>
      </c>
      <c r="AI30" s="22">
        <f>'2017-18_working'!AA30</f>
        <v>0</v>
      </c>
      <c r="AJ30" s="22">
        <f>'2017-18_working'!AB30</f>
        <v>0</v>
      </c>
      <c r="AK30" s="22">
        <f>'2017-18_working'!AC30</f>
        <v>1</v>
      </c>
      <c r="AL30" s="22">
        <f>'2017-18_working'!AD30+'2017-18_working'!AE30</f>
        <v>1</v>
      </c>
      <c r="AM30" s="22">
        <f>'2017-18_working'!AF30</f>
        <v>0</v>
      </c>
      <c r="AN30" s="23">
        <f t="shared" si="13"/>
        <v>53.25</v>
      </c>
      <c r="AO30" s="22"/>
      <c r="AP30" s="21">
        <f t="shared" si="14"/>
        <v>0</v>
      </c>
      <c r="AQ30" s="21">
        <f t="shared" si="15"/>
        <v>0</v>
      </c>
      <c r="AR30" s="21">
        <f t="shared" si="16"/>
        <v>0</v>
      </c>
      <c r="AS30" s="21">
        <f t="shared" si="17"/>
        <v>1</v>
      </c>
      <c r="AT30" s="21">
        <f t="shared" si="18"/>
        <v>1</v>
      </c>
      <c r="AU30" s="21">
        <f t="shared" si="19"/>
        <v>0</v>
      </c>
      <c r="AV30" s="23">
        <f t="shared" si="20"/>
        <v>53.25</v>
      </c>
      <c r="AW30" s="17"/>
      <c r="AX30" s="19">
        <f t="shared" si="26"/>
        <v>2</v>
      </c>
      <c r="AY30" s="19">
        <v>2</v>
      </c>
      <c r="AZ30" s="18">
        <f t="shared" si="27"/>
        <v>0</v>
      </c>
      <c r="BA30" s="17"/>
      <c r="BB30" s="17"/>
      <c r="BC30" s="17"/>
      <c r="BD30" s="17"/>
      <c r="BE30" s="17"/>
    </row>
    <row r="31" spans="1:57" s="7" customFormat="1" ht="15" customHeight="1" x14ac:dyDescent="0.35">
      <c r="A31" s="3" t="s">
        <v>36</v>
      </c>
      <c r="B31" s="22">
        <f>'2017-18_working'!B31</f>
        <v>2</v>
      </c>
      <c r="C31" s="22">
        <f>'2017-18_working'!C31</f>
        <v>21</v>
      </c>
      <c r="D31" s="22">
        <f>'2017-18_working'!D31</f>
        <v>4</v>
      </c>
      <c r="E31" s="22">
        <f>'2017-18_working'!E31</f>
        <v>2</v>
      </c>
      <c r="F31" s="22">
        <f>'2017-18_working'!F31+'2017-18_working'!G31</f>
        <v>0</v>
      </c>
      <c r="G31" s="22">
        <f>'2017-18_working'!H31</f>
        <v>0</v>
      </c>
      <c r="H31" s="23">
        <f t="shared" si="22"/>
        <v>32.172413793103452</v>
      </c>
      <c r="I31" s="22"/>
      <c r="J31" s="22">
        <f>'2017-18_working'!J31</f>
        <v>16</v>
      </c>
      <c r="K31" s="22">
        <f>'2017-18_working'!K31</f>
        <v>30</v>
      </c>
      <c r="L31" s="22">
        <f>'2017-18_working'!L31</f>
        <v>7</v>
      </c>
      <c r="M31" s="22">
        <f>'2017-18_working'!M31</f>
        <v>2</v>
      </c>
      <c r="N31" s="22">
        <f>'2017-18_working'!N31+'2017-18_working'!O31</f>
        <v>1</v>
      </c>
      <c r="O31" s="22">
        <f>'2017-18_working'!P31</f>
        <v>0</v>
      </c>
      <c r="P31" s="23">
        <f t="shared" si="2"/>
        <v>29.651785714285712</v>
      </c>
      <c r="Q31" s="22"/>
      <c r="R31" s="21">
        <f t="shared" si="3"/>
        <v>18</v>
      </c>
      <c r="S31" s="21">
        <f t="shared" si="4"/>
        <v>51</v>
      </c>
      <c r="T31" s="21">
        <f t="shared" si="5"/>
        <v>11</v>
      </c>
      <c r="U31" s="21">
        <f t="shared" si="6"/>
        <v>4</v>
      </c>
      <c r="V31" s="21">
        <f t="shared" si="7"/>
        <v>1</v>
      </c>
      <c r="W31" s="21">
        <f t="shared" si="8"/>
        <v>0</v>
      </c>
      <c r="X31" s="23">
        <f t="shared" si="9"/>
        <v>30.511764705882353</v>
      </c>
      <c r="Y31" s="22"/>
      <c r="Z31" s="22">
        <f>'2017-18_working'!R31</f>
        <v>1</v>
      </c>
      <c r="AA31" s="22">
        <f>'2017-18_working'!S31</f>
        <v>4</v>
      </c>
      <c r="AB31" s="22">
        <f>'2017-18_working'!T31</f>
        <v>2</v>
      </c>
      <c r="AC31" s="22">
        <f>'2017-18_working'!U31</f>
        <v>1</v>
      </c>
      <c r="AD31" s="22">
        <f>'2017-18_working'!V31+'2017-18_working'!W31</f>
        <v>0</v>
      </c>
      <c r="AE31" s="22">
        <f>'2017-18_working'!X31</f>
        <v>0</v>
      </c>
      <c r="AF31" s="23">
        <f t="shared" si="11"/>
        <v>33.9375</v>
      </c>
      <c r="AG31" s="22"/>
      <c r="AH31" s="22">
        <f>'2017-18_working'!Z31</f>
        <v>12</v>
      </c>
      <c r="AI31" s="22">
        <f>'2017-18_working'!AA31</f>
        <v>13</v>
      </c>
      <c r="AJ31" s="22">
        <f>'2017-18_working'!AB31</f>
        <v>14</v>
      </c>
      <c r="AK31" s="22">
        <f>'2017-18_working'!AC31</f>
        <v>9</v>
      </c>
      <c r="AL31" s="22">
        <f>'2017-18_working'!AD31+'2017-18_working'!AE31</f>
        <v>4</v>
      </c>
      <c r="AM31" s="22">
        <f>'2017-18_working'!AF31</f>
        <v>0</v>
      </c>
      <c r="AN31" s="23">
        <f t="shared" si="13"/>
        <v>36.067307692307693</v>
      </c>
      <c r="AO31" s="22"/>
      <c r="AP31" s="21">
        <f t="shared" si="14"/>
        <v>31</v>
      </c>
      <c r="AQ31" s="21">
        <f t="shared" si="15"/>
        <v>68</v>
      </c>
      <c r="AR31" s="21">
        <f t="shared" si="16"/>
        <v>27</v>
      </c>
      <c r="AS31" s="21">
        <f t="shared" si="17"/>
        <v>14</v>
      </c>
      <c r="AT31" s="21">
        <f t="shared" si="18"/>
        <v>5</v>
      </c>
      <c r="AU31" s="21">
        <f t="shared" si="19"/>
        <v>0</v>
      </c>
      <c r="AV31" s="23">
        <f t="shared" si="20"/>
        <v>32.693103448275863</v>
      </c>
      <c r="AW31" s="17"/>
      <c r="AX31" s="19">
        <f t="shared" si="26"/>
        <v>145</v>
      </c>
      <c r="AY31" s="19">
        <v>145</v>
      </c>
      <c r="AZ31" s="18">
        <f t="shared" si="27"/>
        <v>0</v>
      </c>
      <c r="BA31" s="17"/>
      <c r="BB31" s="17"/>
      <c r="BC31" s="17"/>
      <c r="BD31" s="17"/>
      <c r="BE31" s="17"/>
    </row>
    <row r="32" spans="1:57" s="7" customFormat="1" ht="15" customHeight="1" x14ac:dyDescent="0.35">
      <c r="A32" s="3" t="s">
        <v>37</v>
      </c>
      <c r="B32" s="22">
        <f>'2017-18_working'!B32</f>
        <v>4</v>
      </c>
      <c r="C32" s="22">
        <f>'2017-18_working'!C32</f>
        <v>37</v>
      </c>
      <c r="D32" s="22">
        <f>'2017-18_working'!D32</f>
        <v>9</v>
      </c>
      <c r="E32" s="22">
        <f>'2017-18_working'!E32</f>
        <v>6</v>
      </c>
      <c r="F32" s="22">
        <f>'2017-18_working'!F32+'2017-18_working'!G32</f>
        <v>0</v>
      </c>
      <c r="G32" s="22">
        <f>'2017-18_working'!H32</f>
        <v>0</v>
      </c>
      <c r="H32" s="23">
        <f t="shared" si="22"/>
        <v>33.169642857142854</v>
      </c>
      <c r="I32" s="22"/>
      <c r="J32" s="22">
        <f>'2017-18_working'!J32</f>
        <v>18</v>
      </c>
      <c r="K32" s="22">
        <f>'2017-18_working'!K32</f>
        <v>18</v>
      </c>
      <c r="L32" s="22">
        <f>'2017-18_working'!L32</f>
        <v>12</v>
      </c>
      <c r="M32" s="22">
        <f>'2017-18_working'!M32</f>
        <v>9</v>
      </c>
      <c r="N32" s="22">
        <f>'2017-18_working'!N32+'2017-18_working'!O32</f>
        <v>0</v>
      </c>
      <c r="O32" s="22">
        <f>'2017-18_working'!P32</f>
        <v>0</v>
      </c>
      <c r="P32" s="23">
        <f t="shared" si="2"/>
        <v>32.28947368421052</v>
      </c>
      <c r="Q32" s="22"/>
      <c r="R32" s="21">
        <f t="shared" si="3"/>
        <v>22</v>
      </c>
      <c r="S32" s="21">
        <f t="shared" si="4"/>
        <v>55</v>
      </c>
      <c r="T32" s="21">
        <f t="shared" si="5"/>
        <v>21</v>
      </c>
      <c r="U32" s="21">
        <f t="shared" si="6"/>
        <v>15</v>
      </c>
      <c r="V32" s="21">
        <f t="shared" si="7"/>
        <v>0</v>
      </c>
      <c r="W32" s="21">
        <f t="shared" si="8"/>
        <v>0</v>
      </c>
      <c r="X32" s="23">
        <f t="shared" si="9"/>
        <v>32.725663716814161</v>
      </c>
      <c r="Y32" s="22"/>
      <c r="Z32" s="22">
        <f>'2017-18_working'!R32</f>
        <v>0</v>
      </c>
      <c r="AA32" s="22">
        <f>'2017-18_working'!S32</f>
        <v>0</v>
      </c>
      <c r="AB32" s="22">
        <f>'2017-18_working'!T32</f>
        <v>0</v>
      </c>
      <c r="AC32" s="22">
        <f>'2017-18_working'!U32</f>
        <v>0</v>
      </c>
      <c r="AD32" s="22">
        <f>'2017-18_working'!V32+'2017-18_working'!W32</f>
        <v>0</v>
      </c>
      <c r="AE32" s="22">
        <f>'2017-18_working'!X32</f>
        <v>0</v>
      </c>
      <c r="AF32" s="23" t="str">
        <f t="shared" si="11"/>
        <v>-</v>
      </c>
      <c r="AG32" s="22"/>
      <c r="AH32" s="22">
        <f>'2017-18_working'!Z32</f>
        <v>11</v>
      </c>
      <c r="AI32" s="22">
        <f>'2017-18_working'!AA32</f>
        <v>14</v>
      </c>
      <c r="AJ32" s="22">
        <f>'2017-18_working'!AB32</f>
        <v>14</v>
      </c>
      <c r="AK32" s="22">
        <f>'2017-18_working'!AC32</f>
        <v>1</v>
      </c>
      <c r="AL32" s="22">
        <f>'2017-18_working'!AD32+'2017-18_working'!AE32</f>
        <v>5</v>
      </c>
      <c r="AM32" s="22">
        <f>'2017-18_working'!AF32</f>
        <v>0</v>
      </c>
      <c r="AN32" s="23">
        <f t="shared" si="13"/>
        <v>34.166666666666671</v>
      </c>
      <c r="AO32" s="22"/>
      <c r="AP32" s="21">
        <f t="shared" si="14"/>
        <v>33</v>
      </c>
      <c r="AQ32" s="21">
        <f t="shared" si="15"/>
        <v>69</v>
      </c>
      <c r="AR32" s="21">
        <f t="shared" si="16"/>
        <v>35</v>
      </c>
      <c r="AS32" s="21">
        <f t="shared" si="17"/>
        <v>16</v>
      </c>
      <c r="AT32" s="21">
        <f t="shared" si="18"/>
        <v>5</v>
      </c>
      <c r="AU32" s="21">
        <f t="shared" si="19"/>
        <v>0</v>
      </c>
      <c r="AV32" s="23">
        <f t="shared" si="20"/>
        <v>33.13607594936709</v>
      </c>
      <c r="AW32" s="17"/>
      <c r="AX32" s="19">
        <f t="shared" si="26"/>
        <v>158</v>
      </c>
      <c r="AY32" s="19">
        <v>158</v>
      </c>
      <c r="AZ32" s="18">
        <f t="shared" si="27"/>
        <v>0</v>
      </c>
      <c r="BA32" s="17"/>
      <c r="BB32" s="17"/>
      <c r="BC32" s="17"/>
      <c r="BD32" s="17"/>
      <c r="BE32" s="17"/>
    </row>
    <row r="33" spans="1:57" s="7" customFormat="1" ht="15" customHeight="1" x14ac:dyDescent="0.35">
      <c r="A33" s="2" t="s">
        <v>38</v>
      </c>
      <c r="B33" s="22">
        <f>'2017-18_working'!B33</f>
        <v>4</v>
      </c>
      <c r="C33" s="22">
        <f>'2017-18_working'!C33</f>
        <v>17</v>
      </c>
      <c r="D33" s="22">
        <f>'2017-18_working'!D33</f>
        <v>4</v>
      </c>
      <c r="E33" s="22">
        <f>'2017-18_working'!E33</f>
        <v>0</v>
      </c>
      <c r="F33" s="22">
        <f>'2017-18_working'!F33+'2017-18_working'!G33</f>
        <v>0</v>
      </c>
      <c r="G33" s="22">
        <f>'2017-18_working'!H33</f>
        <v>0</v>
      </c>
      <c r="H33" s="23">
        <f t="shared" si="22"/>
        <v>30.080000000000002</v>
      </c>
      <c r="I33" s="22"/>
      <c r="J33" s="22">
        <f>'2017-18_working'!J33</f>
        <v>4</v>
      </c>
      <c r="K33" s="22">
        <f>'2017-18_working'!K33</f>
        <v>13</v>
      </c>
      <c r="L33" s="22">
        <f>'2017-18_working'!L33</f>
        <v>8</v>
      </c>
      <c r="M33" s="22">
        <f>'2017-18_working'!M33</f>
        <v>2</v>
      </c>
      <c r="N33" s="22">
        <f>'2017-18_working'!N33+'2017-18_working'!O33</f>
        <v>0</v>
      </c>
      <c r="O33" s="22">
        <f>'2017-18_working'!P33</f>
        <v>0</v>
      </c>
      <c r="P33" s="23">
        <f t="shared" si="2"/>
        <v>33.148148148148145</v>
      </c>
      <c r="Q33" s="22"/>
      <c r="R33" s="21">
        <f t="shared" si="3"/>
        <v>8</v>
      </c>
      <c r="S33" s="21">
        <f t="shared" si="4"/>
        <v>30</v>
      </c>
      <c r="T33" s="21">
        <f t="shared" si="5"/>
        <v>12</v>
      </c>
      <c r="U33" s="21">
        <f t="shared" si="6"/>
        <v>2</v>
      </c>
      <c r="V33" s="21">
        <f t="shared" si="7"/>
        <v>0</v>
      </c>
      <c r="W33" s="21">
        <f t="shared" si="8"/>
        <v>0</v>
      </c>
      <c r="X33" s="23">
        <f t="shared" si="9"/>
        <v>31.673076923076923</v>
      </c>
      <c r="Y33" s="22"/>
      <c r="Z33" s="22">
        <f>'2017-18_working'!R33</f>
        <v>0</v>
      </c>
      <c r="AA33" s="22">
        <f>'2017-18_working'!S33</f>
        <v>2</v>
      </c>
      <c r="AB33" s="22">
        <f>'2017-18_working'!T33</f>
        <v>0</v>
      </c>
      <c r="AC33" s="22">
        <f>'2017-18_working'!U33</f>
        <v>0</v>
      </c>
      <c r="AD33" s="22">
        <f>'2017-18_working'!V33+'2017-18_working'!W33</f>
        <v>0</v>
      </c>
      <c r="AE33" s="22">
        <f>'2017-18_working'!X33</f>
        <v>0</v>
      </c>
      <c r="AF33" s="23">
        <f t="shared" si="11"/>
        <v>30</v>
      </c>
      <c r="AG33" s="22"/>
      <c r="AH33" s="22">
        <f>'2017-18_working'!Z33</f>
        <v>1</v>
      </c>
      <c r="AI33" s="22">
        <f>'2017-18_working'!AA33</f>
        <v>4</v>
      </c>
      <c r="AJ33" s="22">
        <f>'2017-18_working'!AB33</f>
        <v>2</v>
      </c>
      <c r="AK33" s="22">
        <f>'2017-18_working'!AC33</f>
        <v>5</v>
      </c>
      <c r="AL33" s="22">
        <f>'2017-18_working'!AD33+'2017-18_working'!AE33</f>
        <v>0</v>
      </c>
      <c r="AM33" s="22">
        <f>'2017-18_working'!AF33</f>
        <v>0</v>
      </c>
      <c r="AN33" s="23">
        <f t="shared" si="13"/>
        <v>39.458333333333329</v>
      </c>
      <c r="AO33" s="22"/>
      <c r="AP33" s="21">
        <f t="shared" si="14"/>
        <v>9</v>
      </c>
      <c r="AQ33" s="21">
        <f t="shared" si="15"/>
        <v>36</v>
      </c>
      <c r="AR33" s="21">
        <f t="shared" si="16"/>
        <v>14</v>
      </c>
      <c r="AS33" s="21">
        <f t="shared" si="17"/>
        <v>7</v>
      </c>
      <c r="AT33" s="21">
        <f t="shared" si="18"/>
        <v>0</v>
      </c>
      <c r="AU33" s="21">
        <f t="shared" si="19"/>
        <v>0</v>
      </c>
      <c r="AV33" s="23">
        <f t="shared" si="20"/>
        <v>33.037878787878789</v>
      </c>
      <c r="AW33" s="17"/>
      <c r="AX33" s="19">
        <f t="shared" si="26"/>
        <v>66</v>
      </c>
      <c r="AY33" s="19">
        <v>66</v>
      </c>
      <c r="AZ33" s="18">
        <f t="shared" si="27"/>
        <v>0</v>
      </c>
      <c r="BA33" s="17"/>
      <c r="BB33" s="17"/>
      <c r="BC33" s="17"/>
      <c r="BD33" s="17"/>
      <c r="BE33" s="17"/>
    </row>
    <row r="34" spans="1:57" s="7" customFormat="1" ht="15" customHeight="1" x14ac:dyDescent="0.35">
      <c r="A34" s="3" t="s">
        <v>39</v>
      </c>
      <c r="B34" s="22">
        <f>'2017-18_working'!B34</f>
        <v>0</v>
      </c>
      <c r="C34" s="22">
        <f>'2017-18_working'!C34</f>
        <v>4</v>
      </c>
      <c r="D34" s="22">
        <f>'2017-18_working'!D34</f>
        <v>3</v>
      </c>
      <c r="E34" s="22">
        <f>'2017-18_working'!E34</f>
        <v>3</v>
      </c>
      <c r="F34" s="22">
        <f>'2017-18_working'!F34+'2017-18_working'!G34</f>
        <v>0</v>
      </c>
      <c r="G34" s="22">
        <f>'2017-18_working'!H34</f>
        <v>0</v>
      </c>
      <c r="H34" s="23">
        <f t="shared" si="22"/>
        <v>39.299999999999997</v>
      </c>
      <c r="I34" s="22"/>
      <c r="J34" s="22">
        <f>'2017-18_working'!J34</f>
        <v>14</v>
      </c>
      <c r="K34" s="22">
        <f>'2017-18_working'!K34</f>
        <v>23</v>
      </c>
      <c r="L34" s="22">
        <f>'2017-18_working'!L34</f>
        <v>5</v>
      </c>
      <c r="M34" s="22">
        <f>'2017-18_working'!M34</f>
        <v>3</v>
      </c>
      <c r="N34" s="22">
        <f>'2017-18_working'!N34+'2017-18_working'!O34</f>
        <v>0</v>
      </c>
      <c r="O34" s="22">
        <f>'2017-18_working'!P34</f>
        <v>0</v>
      </c>
      <c r="P34" s="23">
        <f t="shared" si="2"/>
        <v>29.422222222222221</v>
      </c>
      <c r="Q34" s="22"/>
      <c r="R34" s="21">
        <f t="shared" si="3"/>
        <v>14</v>
      </c>
      <c r="S34" s="21">
        <f t="shared" si="4"/>
        <v>27</v>
      </c>
      <c r="T34" s="21">
        <f t="shared" si="5"/>
        <v>8</v>
      </c>
      <c r="U34" s="21">
        <f t="shared" si="6"/>
        <v>6</v>
      </c>
      <c r="V34" s="21">
        <f t="shared" si="7"/>
        <v>0</v>
      </c>
      <c r="W34" s="21">
        <f t="shared" si="8"/>
        <v>0</v>
      </c>
      <c r="X34" s="23">
        <f t="shared" si="9"/>
        <v>31.218181818181815</v>
      </c>
      <c r="Y34" s="22"/>
      <c r="Z34" s="22">
        <f>'2017-18_working'!R34</f>
        <v>2</v>
      </c>
      <c r="AA34" s="22">
        <f>'2017-18_working'!S34</f>
        <v>0</v>
      </c>
      <c r="AB34" s="22">
        <f>'2017-18_working'!T34</f>
        <v>0</v>
      </c>
      <c r="AC34" s="22">
        <f>'2017-18_working'!U34</f>
        <v>0</v>
      </c>
      <c r="AD34" s="22">
        <f>'2017-18_working'!V34+'2017-18_working'!W34</f>
        <v>0</v>
      </c>
      <c r="AE34" s="22">
        <f>'2017-18_working'!X34</f>
        <v>0</v>
      </c>
      <c r="AF34" s="23">
        <f t="shared" si="11"/>
        <v>20</v>
      </c>
      <c r="AG34" s="22"/>
      <c r="AH34" s="22">
        <f>'2017-18_working'!Z34</f>
        <v>0</v>
      </c>
      <c r="AI34" s="22">
        <f>'2017-18_working'!AA34</f>
        <v>3</v>
      </c>
      <c r="AJ34" s="22">
        <f>'2017-18_working'!AB34</f>
        <v>0</v>
      </c>
      <c r="AK34" s="22">
        <f>'2017-18_working'!AC34</f>
        <v>0</v>
      </c>
      <c r="AL34" s="22">
        <f>'2017-18_working'!AD34+'2017-18_working'!AE34</f>
        <v>0</v>
      </c>
      <c r="AM34" s="22">
        <f>'2017-18_working'!AF34</f>
        <v>0</v>
      </c>
      <c r="AN34" s="23">
        <f t="shared" si="13"/>
        <v>30</v>
      </c>
      <c r="AO34" s="22"/>
      <c r="AP34" s="21">
        <f t="shared" si="14"/>
        <v>16</v>
      </c>
      <c r="AQ34" s="21">
        <f t="shared" si="15"/>
        <v>30</v>
      </c>
      <c r="AR34" s="21">
        <f t="shared" si="16"/>
        <v>8</v>
      </c>
      <c r="AS34" s="21">
        <f t="shared" si="17"/>
        <v>6</v>
      </c>
      <c r="AT34" s="21">
        <f t="shared" si="18"/>
        <v>0</v>
      </c>
      <c r="AU34" s="21">
        <f t="shared" si="19"/>
        <v>0</v>
      </c>
      <c r="AV34" s="23">
        <f t="shared" si="20"/>
        <v>30.783333333333335</v>
      </c>
      <c r="AW34" s="17"/>
      <c r="AX34" s="19">
        <f t="shared" si="26"/>
        <v>60</v>
      </c>
      <c r="AY34" s="19">
        <v>60</v>
      </c>
      <c r="AZ34" s="18">
        <f t="shared" si="27"/>
        <v>0</v>
      </c>
      <c r="BA34" s="17"/>
      <c r="BB34" s="17"/>
      <c r="BC34" s="17"/>
      <c r="BD34" s="17"/>
      <c r="BE34" s="17"/>
    </row>
    <row r="35" spans="1:57" s="7" customFormat="1" ht="15" customHeight="1" x14ac:dyDescent="0.35">
      <c r="A35" s="3" t="s">
        <v>40</v>
      </c>
      <c r="B35" s="22">
        <f>'2017-18_working'!B35</f>
        <v>4</v>
      </c>
      <c r="C35" s="22">
        <f>'2017-18_working'!C35</f>
        <v>12</v>
      </c>
      <c r="D35" s="22">
        <f>'2017-18_working'!D35</f>
        <v>3</v>
      </c>
      <c r="E35" s="22">
        <f>'2017-18_working'!E35</f>
        <v>0</v>
      </c>
      <c r="F35" s="22">
        <f>'2017-18_working'!F35+'2017-18_working'!G35</f>
        <v>0</v>
      </c>
      <c r="G35" s="22">
        <f>'2017-18_working'!H35</f>
        <v>0</v>
      </c>
      <c r="H35" s="23">
        <f t="shared" si="22"/>
        <v>29.552631578947366</v>
      </c>
      <c r="I35" s="22"/>
      <c r="J35" s="22">
        <f>'2017-18_working'!J35</f>
        <v>15</v>
      </c>
      <c r="K35" s="22">
        <f>'2017-18_working'!K35</f>
        <v>29</v>
      </c>
      <c r="L35" s="22">
        <f>'2017-18_working'!L35</f>
        <v>8</v>
      </c>
      <c r="M35" s="22">
        <f>'2017-18_working'!M35</f>
        <v>3</v>
      </c>
      <c r="N35" s="22">
        <f>'2017-18_working'!N35+'2017-18_working'!O35</f>
        <v>1</v>
      </c>
      <c r="O35" s="22">
        <f>'2017-18_working'!P35</f>
        <v>0</v>
      </c>
      <c r="P35" s="23">
        <f t="shared" si="2"/>
        <v>30.383928571428569</v>
      </c>
      <c r="Q35" s="22"/>
      <c r="R35" s="21">
        <f t="shared" si="3"/>
        <v>19</v>
      </c>
      <c r="S35" s="21">
        <f t="shared" si="4"/>
        <v>41</v>
      </c>
      <c r="T35" s="21">
        <f t="shared" si="5"/>
        <v>11</v>
      </c>
      <c r="U35" s="21">
        <f t="shared" si="6"/>
        <v>3</v>
      </c>
      <c r="V35" s="21">
        <f t="shared" si="7"/>
        <v>1</v>
      </c>
      <c r="W35" s="21">
        <f t="shared" si="8"/>
        <v>0</v>
      </c>
      <c r="X35" s="23">
        <f t="shared" si="9"/>
        <v>30.173333333333332</v>
      </c>
      <c r="Y35" s="22"/>
      <c r="Z35" s="22">
        <f>'2017-18_working'!R35</f>
        <v>0</v>
      </c>
      <c r="AA35" s="22">
        <f>'2017-18_working'!S35</f>
        <v>2</v>
      </c>
      <c r="AB35" s="22">
        <f>'2017-18_working'!T35</f>
        <v>1</v>
      </c>
      <c r="AC35" s="22">
        <f>'2017-18_working'!U35</f>
        <v>1</v>
      </c>
      <c r="AD35" s="22">
        <f>'2017-18_working'!V35+'2017-18_working'!W35</f>
        <v>0</v>
      </c>
      <c r="AE35" s="22">
        <f>'2017-18_working'!X35</f>
        <v>0</v>
      </c>
      <c r="AF35" s="23">
        <f t="shared" si="11"/>
        <v>37.75</v>
      </c>
      <c r="AG35" s="22"/>
      <c r="AH35" s="22">
        <f>'2017-18_working'!Z35</f>
        <v>1</v>
      </c>
      <c r="AI35" s="22">
        <f>'2017-18_working'!AA35</f>
        <v>2</v>
      </c>
      <c r="AJ35" s="22">
        <f>'2017-18_working'!AB35</f>
        <v>4</v>
      </c>
      <c r="AK35" s="22">
        <f>'2017-18_working'!AC35</f>
        <v>6</v>
      </c>
      <c r="AL35" s="22">
        <f>'2017-18_working'!AD35+'2017-18_working'!AE35</f>
        <v>3</v>
      </c>
      <c r="AM35" s="22">
        <f>'2017-18_working'!AF35</f>
        <v>0</v>
      </c>
      <c r="AN35" s="23">
        <f t="shared" si="13"/>
        <v>44.5625</v>
      </c>
      <c r="AO35" s="22"/>
      <c r="AP35" s="21">
        <f t="shared" si="14"/>
        <v>20</v>
      </c>
      <c r="AQ35" s="21">
        <f t="shared" si="15"/>
        <v>45</v>
      </c>
      <c r="AR35" s="21">
        <f t="shared" si="16"/>
        <v>16</v>
      </c>
      <c r="AS35" s="21">
        <f t="shared" si="17"/>
        <v>10</v>
      </c>
      <c r="AT35" s="21">
        <f t="shared" si="18"/>
        <v>4</v>
      </c>
      <c r="AU35" s="21">
        <f t="shared" si="19"/>
        <v>0</v>
      </c>
      <c r="AV35" s="23">
        <f t="shared" si="20"/>
        <v>32.915789473684207</v>
      </c>
      <c r="AW35" s="17"/>
      <c r="AX35" s="19">
        <f t="shared" si="26"/>
        <v>95</v>
      </c>
      <c r="AY35" s="19">
        <v>95</v>
      </c>
      <c r="AZ35" s="18">
        <f t="shared" si="27"/>
        <v>0</v>
      </c>
      <c r="BA35" s="17"/>
      <c r="BB35" s="17"/>
      <c r="BC35" s="17"/>
      <c r="BD35" s="17"/>
      <c r="BE35" s="17"/>
    </row>
    <row r="36" spans="1:57" s="7" customFormat="1" ht="15" customHeight="1" x14ac:dyDescent="0.35">
      <c r="A36" s="2" t="s">
        <v>41</v>
      </c>
      <c r="B36" s="22">
        <f>'2017-18_working'!B36</f>
        <v>0</v>
      </c>
      <c r="C36" s="22">
        <f>'2017-18_working'!C36</f>
        <v>0</v>
      </c>
      <c r="D36" s="22">
        <f>'2017-18_working'!D36</f>
        <v>0</v>
      </c>
      <c r="E36" s="22">
        <f>'2017-18_working'!E36</f>
        <v>0</v>
      </c>
      <c r="F36" s="22">
        <f>'2017-18_working'!F36+'2017-18_working'!G36</f>
        <v>0</v>
      </c>
      <c r="G36" s="22">
        <f>'2017-18_working'!H36</f>
        <v>0</v>
      </c>
      <c r="H36" s="23" t="str">
        <f t="shared" si="22"/>
        <v>-</v>
      </c>
      <c r="I36" s="22"/>
      <c r="J36" s="22">
        <f>'2017-18_working'!J36</f>
        <v>0</v>
      </c>
      <c r="K36" s="22">
        <f>'2017-18_working'!K36</f>
        <v>0</v>
      </c>
      <c r="L36" s="22">
        <f>'2017-18_working'!L36</f>
        <v>0</v>
      </c>
      <c r="M36" s="22">
        <f>'2017-18_working'!M36</f>
        <v>0</v>
      </c>
      <c r="N36" s="22">
        <f>'2017-18_working'!N36+'2017-18_working'!O36</f>
        <v>0</v>
      </c>
      <c r="O36" s="22">
        <f>'2017-18_working'!P36</f>
        <v>0</v>
      </c>
      <c r="P36" s="23" t="str">
        <f t="shared" si="2"/>
        <v>-</v>
      </c>
      <c r="Q36" s="22"/>
      <c r="R36" s="21">
        <f t="shared" si="3"/>
        <v>0</v>
      </c>
      <c r="S36" s="21">
        <f t="shared" si="4"/>
        <v>0</v>
      </c>
      <c r="T36" s="21">
        <f t="shared" si="5"/>
        <v>0</v>
      </c>
      <c r="U36" s="21">
        <f t="shared" si="6"/>
        <v>0</v>
      </c>
      <c r="V36" s="21">
        <f t="shared" si="7"/>
        <v>0</v>
      </c>
      <c r="W36" s="21">
        <f t="shared" si="8"/>
        <v>0</v>
      </c>
      <c r="X36" s="23" t="str">
        <f t="shared" si="9"/>
        <v>-</v>
      </c>
      <c r="Y36" s="22"/>
      <c r="Z36" s="22">
        <f>'2017-18_working'!R36</f>
        <v>1</v>
      </c>
      <c r="AA36" s="22">
        <f>'2017-18_working'!S36</f>
        <v>4</v>
      </c>
      <c r="AB36" s="22">
        <f>'2017-18_working'!T36</f>
        <v>5</v>
      </c>
      <c r="AC36" s="22">
        <f>'2017-18_working'!U36</f>
        <v>0</v>
      </c>
      <c r="AD36" s="22">
        <f>'2017-18_working'!V36+'2017-18_working'!W36</f>
        <v>0</v>
      </c>
      <c r="AE36" s="22">
        <f>'2017-18_working'!X36</f>
        <v>0</v>
      </c>
      <c r="AF36" s="23">
        <f t="shared" si="11"/>
        <v>34.25</v>
      </c>
      <c r="AG36" s="22"/>
      <c r="AH36" s="22">
        <f>'2017-18_working'!Z36</f>
        <v>0</v>
      </c>
      <c r="AI36" s="22">
        <f>'2017-18_working'!AA36</f>
        <v>0</v>
      </c>
      <c r="AJ36" s="22">
        <f>'2017-18_working'!AB36</f>
        <v>0</v>
      </c>
      <c r="AK36" s="22">
        <f>'2017-18_working'!AC36</f>
        <v>0</v>
      </c>
      <c r="AL36" s="22">
        <f>'2017-18_working'!AD36+'2017-18_working'!AE36</f>
        <v>0</v>
      </c>
      <c r="AM36" s="22">
        <f>'2017-18_working'!AF36</f>
        <v>0</v>
      </c>
      <c r="AN36" s="23" t="str">
        <f t="shared" si="13"/>
        <v>-</v>
      </c>
      <c r="AO36" s="22"/>
      <c r="AP36" s="21">
        <f t="shared" si="14"/>
        <v>1</v>
      </c>
      <c r="AQ36" s="21">
        <f t="shared" si="15"/>
        <v>4</v>
      </c>
      <c r="AR36" s="21">
        <f t="shared" si="16"/>
        <v>5</v>
      </c>
      <c r="AS36" s="21">
        <f t="shared" si="17"/>
        <v>0</v>
      </c>
      <c r="AT36" s="21">
        <f t="shared" si="18"/>
        <v>0</v>
      </c>
      <c r="AU36" s="21">
        <f t="shared" si="19"/>
        <v>0</v>
      </c>
      <c r="AV36" s="23">
        <f t="shared" si="20"/>
        <v>34.25</v>
      </c>
      <c r="AW36" s="17"/>
      <c r="AX36" s="19">
        <f t="shared" si="26"/>
        <v>10</v>
      </c>
      <c r="AY36" s="19">
        <v>10</v>
      </c>
      <c r="AZ36" s="18">
        <f t="shared" si="27"/>
        <v>0</v>
      </c>
      <c r="BA36" s="17"/>
      <c r="BB36" s="17"/>
      <c r="BC36" s="17"/>
      <c r="BD36" s="17"/>
      <c r="BE36" s="17"/>
    </row>
    <row r="37" spans="1:57" s="7" customFormat="1" ht="15" customHeight="1" x14ac:dyDescent="0.35">
      <c r="A37" s="3" t="s">
        <v>42</v>
      </c>
      <c r="B37" s="22">
        <f>'2017-18_working'!B37</f>
        <v>0</v>
      </c>
      <c r="C37" s="22">
        <f>'2017-18_working'!C37</f>
        <v>1</v>
      </c>
      <c r="D37" s="22">
        <f>'2017-18_working'!D37</f>
        <v>1</v>
      </c>
      <c r="E37" s="22">
        <f>'2017-18_working'!E37</f>
        <v>2</v>
      </c>
      <c r="F37" s="22">
        <f>'2017-18_working'!F37+'2017-18_working'!G37</f>
        <v>0</v>
      </c>
      <c r="G37" s="22">
        <f>'2017-18_working'!H37</f>
        <v>0</v>
      </c>
      <c r="H37" s="23">
        <f t="shared" si="22"/>
        <v>42.875</v>
      </c>
      <c r="I37" s="22"/>
      <c r="J37" s="22">
        <f>'2017-18_working'!J37</f>
        <v>12</v>
      </c>
      <c r="K37" s="22">
        <f>'2017-18_working'!K37</f>
        <v>31</v>
      </c>
      <c r="L37" s="22">
        <f>'2017-18_working'!L37</f>
        <v>9</v>
      </c>
      <c r="M37" s="22">
        <f>'2017-18_working'!M37</f>
        <v>1</v>
      </c>
      <c r="N37" s="22">
        <f>'2017-18_working'!N37+'2017-18_working'!O37</f>
        <v>0</v>
      </c>
      <c r="O37" s="22">
        <f>'2017-18_working'!P37</f>
        <v>0</v>
      </c>
      <c r="P37" s="23">
        <f t="shared" si="2"/>
        <v>29.90566037735849</v>
      </c>
      <c r="Q37" s="22"/>
      <c r="R37" s="21">
        <f t="shared" si="3"/>
        <v>12</v>
      </c>
      <c r="S37" s="21">
        <f t="shared" si="4"/>
        <v>32</v>
      </c>
      <c r="T37" s="21">
        <f t="shared" si="5"/>
        <v>10</v>
      </c>
      <c r="U37" s="21">
        <f t="shared" si="6"/>
        <v>3</v>
      </c>
      <c r="V37" s="21">
        <f t="shared" si="7"/>
        <v>0</v>
      </c>
      <c r="W37" s="21">
        <f t="shared" si="8"/>
        <v>0</v>
      </c>
      <c r="X37" s="23">
        <f t="shared" si="9"/>
        <v>30.815789473684209</v>
      </c>
      <c r="Y37" s="22"/>
      <c r="Z37" s="22">
        <f>'2017-18_working'!R37</f>
        <v>0</v>
      </c>
      <c r="AA37" s="22">
        <f>'2017-18_working'!S37</f>
        <v>2</v>
      </c>
      <c r="AB37" s="22">
        <f>'2017-18_working'!T37</f>
        <v>0</v>
      </c>
      <c r="AC37" s="22">
        <f>'2017-18_working'!U37</f>
        <v>0</v>
      </c>
      <c r="AD37" s="22">
        <f>'2017-18_working'!V37+'2017-18_working'!W37</f>
        <v>1</v>
      </c>
      <c r="AE37" s="22">
        <f>'2017-18_working'!X37</f>
        <v>0</v>
      </c>
      <c r="AF37" s="23">
        <f t="shared" si="11"/>
        <v>38.666666666666664</v>
      </c>
      <c r="AG37" s="22"/>
      <c r="AH37" s="22">
        <f>'2017-18_working'!Z37</f>
        <v>0</v>
      </c>
      <c r="AI37" s="22">
        <f>'2017-18_working'!AA37</f>
        <v>6</v>
      </c>
      <c r="AJ37" s="22">
        <f>'2017-18_working'!AB37</f>
        <v>8</v>
      </c>
      <c r="AK37" s="22">
        <f>'2017-18_working'!AC37</f>
        <v>5</v>
      </c>
      <c r="AL37" s="22">
        <f>'2017-18_working'!AD37+'2017-18_working'!AE37</f>
        <v>1</v>
      </c>
      <c r="AM37" s="22">
        <f>'2017-18_working'!AF37</f>
        <v>0</v>
      </c>
      <c r="AN37" s="23">
        <f t="shared" si="13"/>
        <v>40.625</v>
      </c>
      <c r="AO37" s="22"/>
      <c r="AP37" s="21">
        <f t="shared" si="14"/>
        <v>12</v>
      </c>
      <c r="AQ37" s="21">
        <f t="shared" si="15"/>
        <v>40</v>
      </c>
      <c r="AR37" s="21">
        <f t="shared" si="16"/>
        <v>18</v>
      </c>
      <c r="AS37" s="21">
        <f t="shared" si="17"/>
        <v>8</v>
      </c>
      <c r="AT37" s="21">
        <f t="shared" si="18"/>
        <v>2</v>
      </c>
      <c r="AU37" s="21">
        <f t="shared" si="19"/>
        <v>0</v>
      </c>
      <c r="AV37" s="23">
        <f t="shared" si="20"/>
        <v>33.5625</v>
      </c>
      <c r="AW37" s="17"/>
      <c r="AX37" s="19">
        <f t="shared" si="26"/>
        <v>80</v>
      </c>
      <c r="AY37" s="19">
        <v>80</v>
      </c>
      <c r="AZ37" s="18">
        <f t="shared" si="27"/>
        <v>0</v>
      </c>
      <c r="BA37" s="17"/>
      <c r="BB37" s="17"/>
      <c r="BC37" s="17"/>
      <c r="BD37" s="17"/>
      <c r="BE37" s="17"/>
    </row>
    <row r="38" spans="1:57" s="7" customFormat="1" ht="15" customHeight="1" x14ac:dyDescent="0.35">
      <c r="A38" s="3" t="s">
        <v>43</v>
      </c>
      <c r="B38" s="22">
        <f>'2017-18_working'!B38</f>
        <v>2</v>
      </c>
      <c r="C38" s="22">
        <f>'2017-18_working'!C38</f>
        <v>8</v>
      </c>
      <c r="D38" s="22">
        <f>'2017-18_working'!D38</f>
        <v>3</v>
      </c>
      <c r="E38" s="22">
        <f>'2017-18_working'!E38</f>
        <v>0</v>
      </c>
      <c r="F38" s="22">
        <f>'2017-18_working'!F38+'2017-18_working'!G38</f>
        <v>0</v>
      </c>
      <c r="G38" s="22">
        <f>'2017-18_working'!H38</f>
        <v>0</v>
      </c>
      <c r="H38" s="23">
        <f t="shared" si="22"/>
        <v>30.884615384615387</v>
      </c>
      <c r="I38" s="22"/>
      <c r="J38" s="22">
        <f>'2017-18_working'!J38</f>
        <v>5</v>
      </c>
      <c r="K38" s="22">
        <f>'2017-18_working'!K38</f>
        <v>23</v>
      </c>
      <c r="L38" s="22">
        <f>'2017-18_working'!L38</f>
        <v>5</v>
      </c>
      <c r="M38" s="22">
        <f>'2017-18_working'!M38</f>
        <v>1</v>
      </c>
      <c r="N38" s="22">
        <f>'2017-18_working'!N38+'2017-18_working'!O38</f>
        <v>0</v>
      </c>
      <c r="O38" s="22">
        <f>'2017-18_working'!P38</f>
        <v>0</v>
      </c>
      <c r="P38" s="23">
        <f t="shared" si="2"/>
        <v>30.676470588235297</v>
      </c>
      <c r="Q38" s="22"/>
      <c r="R38" s="21">
        <f t="shared" si="3"/>
        <v>7</v>
      </c>
      <c r="S38" s="21">
        <f t="shared" si="4"/>
        <v>31</v>
      </c>
      <c r="T38" s="21">
        <f t="shared" si="5"/>
        <v>8</v>
      </c>
      <c r="U38" s="21">
        <f t="shared" si="6"/>
        <v>1</v>
      </c>
      <c r="V38" s="21">
        <f t="shared" si="7"/>
        <v>0</v>
      </c>
      <c r="W38" s="21">
        <f t="shared" si="8"/>
        <v>0</v>
      </c>
      <c r="X38" s="23">
        <f t="shared" si="9"/>
        <v>30.734042553191486</v>
      </c>
      <c r="Y38" s="22"/>
      <c r="Z38" s="22">
        <f>'2017-18_working'!R38</f>
        <v>0</v>
      </c>
      <c r="AA38" s="22">
        <f>'2017-18_working'!S38</f>
        <v>0</v>
      </c>
      <c r="AB38" s="22">
        <f>'2017-18_working'!T38</f>
        <v>0</v>
      </c>
      <c r="AC38" s="22">
        <f>'2017-18_working'!U38</f>
        <v>0</v>
      </c>
      <c r="AD38" s="22">
        <f>'2017-18_working'!V38+'2017-18_working'!W38</f>
        <v>0</v>
      </c>
      <c r="AE38" s="22">
        <f>'2017-18_working'!X38</f>
        <v>0</v>
      </c>
      <c r="AF38" s="23" t="str">
        <f t="shared" si="11"/>
        <v>-</v>
      </c>
      <c r="AG38" s="22"/>
      <c r="AH38" s="22">
        <f>'2017-18_working'!Z38</f>
        <v>2</v>
      </c>
      <c r="AI38" s="22">
        <f>'2017-18_working'!AA38</f>
        <v>1</v>
      </c>
      <c r="AJ38" s="22">
        <f>'2017-18_working'!AB38</f>
        <v>2</v>
      </c>
      <c r="AK38" s="22">
        <f>'2017-18_working'!AC38</f>
        <v>3</v>
      </c>
      <c r="AL38" s="22">
        <f>'2017-18_working'!AD38+'2017-18_working'!AE38</f>
        <v>2</v>
      </c>
      <c r="AM38" s="22">
        <f>'2017-18_working'!AF38</f>
        <v>0</v>
      </c>
      <c r="AN38" s="23">
        <f t="shared" si="13"/>
        <v>41.45</v>
      </c>
      <c r="AO38" s="22"/>
      <c r="AP38" s="21">
        <f t="shared" si="14"/>
        <v>9</v>
      </c>
      <c r="AQ38" s="21">
        <f t="shared" si="15"/>
        <v>32</v>
      </c>
      <c r="AR38" s="21">
        <f t="shared" si="16"/>
        <v>10</v>
      </c>
      <c r="AS38" s="21">
        <f t="shared" si="17"/>
        <v>4</v>
      </c>
      <c r="AT38" s="21">
        <f t="shared" si="18"/>
        <v>2</v>
      </c>
      <c r="AU38" s="21">
        <f t="shared" si="19"/>
        <v>0</v>
      </c>
      <c r="AV38" s="23">
        <f t="shared" si="20"/>
        <v>32.614035087719301</v>
      </c>
      <c r="AW38" s="17"/>
      <c r="AX38" s="19">
        <f t="shared" si="26"/>
        <v>57</v>
      </c>
      <c r="AY38" s="19">
        <v>57</v>
      </c>
      <c r="AZ38" s="18">
        <f t="shared" si="27"/>
        <v>0</v>
      </c>
      <c r="BA38" s="17"/>
      <c r="BB38" s="17"/>
      <c r="BC38" s="17"/>
      <c r="BD38" s="17"/>
      <c r="BE38" s="17"/>
    </row>
    <row r="39" spans="1:57" s="7" customFormat="1" ht="15" customHeight="1" x14ac:dyDescent="0.35">
      <c r="A39" s="3" t="s">
        <v>44</v>
      </c>
      <c r="B39" s="22">
        <f>'2017-18_working'!B39</f>
        <v>0</v>
      </c>
      <c r="C39" s="22">
        <f>'2017-18_working'!C39</f>
        <v>1</v>
      </c>
      <c r="D39" s="22">
        <f>'2017-18_working'!D39</f>
        <v>0</v>
      </c>
      <c r="E39" s="22">
        <f>'2017-18_working'!E39</f>
        <v>0</v>
      </c>
      <c r="F39" s="22">
        <f>'2017-18_working'!F39+'2017-18_working'!G39</f>
        <v>0</v>
      </c>
      <c r="G39" s="22">
        <f>'2017-18_working'!H39</f>
        <v>0</v>
      </c>
      <c r="H39" s="23">
        <f t="shared" si="22"/>
        <v>30</v>
      </c>
      <c r="I39" s="22"/>
      <c r="J39" s="22">
        <f>'2017-18_working'!J39</f>
        <v>5</v>
      </c>
      <c r="K39" s="22">
        <f>'2017-18_working'!K39</f>
        <v>10</v>
      </c>
      <c r="L39" s="22">
        <f>'2017-18_working'!L39</f>
        <v>1</v>
      </c>
      <c r="M39" s="22">
        <f>'2017-18_working'!M39</f>
        <v>2</v>
      </c>
      <c r="N39" s="22">
        <f>'2017-18_working'!N39+'2017-18_working'!O39</f>
        <v>0</v>
      </c>
      <c r="O39" s="22">
        <f>'2017-18_working'!P39</f>
        <v>0</v>
      </c>
      <c r="P39" s="23">
        <f t="shared" si="2"/>
        <v>30.083333333333332</v>
      </c>
      <c r="Q39" s="22"/>
      <c r="R39" s="21">
        <f t="shared" si="3"/>
        <v>5</v>
      </c>
      <c r="S39" s="21">
        <f t="shared" si="4"/>
        <v>11</v>
      </c>
      <c r="T39" s="21">
        <f t="shared" si="5"/>
        <v>1</v>
      </c>
      <c r="U39" s="21">
        <f t="shared" si="6"/>
        <v>2</v>
      </c>
      <c r="V39" s="21">
        <f t="shared" si="7"/>
        <v>0</v>
      </c>
      <c r="W39" s="21">
        <f t="shared" si="8"/>
        <v>0</v>
      </c>
      <c r="X39" s="23">
        <f t="shared" si="9"/>
        <v>30.078947368421055</v>
      </c>
      <c r="Y39" s="22"/>
      <c r="Z39" s="22">
        <f>'2017-18_working'!R39</f>
        <v>0</v>
      </c>
      <c r="AA39" s="22">
        <f>'2017-18_working'!S39</f>
        <v>0</v>
      </c>
      <c r="AB39" s="22">
        <f>'2017-18_working'!T39</f>
        <v>0</v>
      </c>
      <c r="AC39" s="22">
        <f>'2017-18_working'!U39</f>
        <v>1</v>
      </c>
      <c r="AD39" s="22">
        <f>'2017-18_working'!V39+'2017-18_working'!W39</f>
        <v>0</v>
      </c>
      <c r="AE39" s="22">
        <f>'2017-18_working'!X39</f>
        <v>0</v>
      </c>
      <c r="AF39" s="23">
        <f t="shared" si="11"/>
        <v>50.5</v>
      </c>
      <c r="AG39" s="22"/>
      <c r="AH39" s="22">
        <f>'2017-18_working'!Z39</f>
        <v>0</v>
      </c>
      <c r="AI39" s="22">
        <f>'2017-18_working'!AA39</f>
        <v>1</v>
      </c>
      <c r="AJ39" s="22">
        <f>'2017-18_working'!AB39</f>
        <v>2</v>
      </c>
      <c r="AK39" s="22">
        <f>'2017-18_working'!AC39</f>
        <v>1</v>
      </c>
      <c r="AL39" s="22">
        <f>'2017-18_working'!AD39+'2017-18_working'!AE39</f>
        <v>0</v>
      </c>
      <c r="AM39" s="22">
        <f>'2017-18_working'!AF39</f>
        <v>0</v>
      </c>
      <c r="AN39" s="23">
        <f t="shared" si="13"/>
        <v>40.375</v>
      </c>
      <c r="AO39" s="22"/>
      <c r="AP39" s="21">
        <f t="shared" si="14"/>
        <v>5</v>
      </c>
      <c r="AQ39" s="21">
        <f t="shared" si="15"/>
        <v>12</v>
      </c>
      <c r="AR39" s="21">
        <f t="shared" si="16"/>
        <v>3</v>
      </c>
      <c r="AS39" s="21">
        <f t="shared" si="17"/>
        <v>4</v>
      </c>
      <c r="AT39" s="21">
        <f t="shared" si="18"/>
        <v>0</v>
      </c>
      <c r="AU39" s="21">
        <f t="shared" si="19"/>
        <v>0</v>
      </c>
      <c r="AV39" s="23">
        <f t="shared" si="20"/>
        <v>32.645833333333336</v>
      </c>
      <c r="AW39" s="17"/>
      <c r="AX39" s="19">
        <f t="shared" si="26"/>
        <v>24</v>
      </c>
      <c r="AY39" s="19">
        <v>24</v>
      </c>
      <c r="AZ39" s="18">
        <f t="shared" si="27"/>
        <v>0</v>
      </c>
      <c r="BA39" s="17"/>
      <c r="BB39" s="17"/>
      <c r="BC39" s="17"/>
      <c r="BD39" s="17"/>
      <c r="BE39" s="17"/>
    </row>
    <row r="40" spans="1:57" s="7" customFormat="1" ht="15" customHeight="1" x14ac:dyDescent="0.35">
      <c r="A40" s="2" t="s">
        <v>45</v>
      </c>
      <c r="B40" s="22">
        <f>'2017-18_working'!B40</f>
        <v>1</v>
      </c>
      <c r="C40" s="22">
        <f>'2017-18_working'!C40</f>
        <v>9</v>
      </c>
      <c r="D40" s="22">
        <f>'2017-18_working'!D40</f>
        <v>2</v>
      </c>
      <c r="E40" s="22">
        <f>'2017-18_working'!E40</f>
        <v>1</v>
      </c>
      <c r="F40" s="22">
        <f>'2017-18_working'!F40+'2017-18_working'!G40</f>
        <v>0</v>
      </c>
      <c r="G40" s="22">
        <f>'2017-18_working'!H40</f>
        <v>0</v>
      </c>
      <c r="H40" s="23">
        <f t="shared" si="22"/>
        <v>32.423076923076927</v>
      </c>
      <c r="I40" s="22"/>
      <c r="J40" s="22">
        <f>'2017-18_working'!J40</f>
        <v>7</v>
      </c>
      <c r="K40" s="22">
        <f>'2017-18_working'!K40</f>
        <v>15</v>
      </c>
      <c r="L40" s="22">
        <f>'2017-18_working'!L40</f>
        <v>12</v>
      </c>
      <c r="M40" s="22">
        <f>'2017-18_working'!M40</f>
        <v>2</v>
      </c>
      <c r="N40" s="22">
        <f>'2017-18_working'!N40+'2017-18_working'!O40</f>
        <v>0</v>
      </c>
      <c r="O40" s="22">
        <f>'2017-18_working'!P40</f>
        <v>0</v>
      </c>
      <c r="P40" s="23">
        <f t="shared" ref="P40:P56" si="28">IF(SUM(J40:N40)=0,"-",20*(J40/SUM($J40:$N40))+30*(K40/SUM($J40:$N40))+40.5*(L40/SUM($J40:$N40))+50.5*(M40/SUM($J40:$N40))+56*(N40/SUM($J40:$N40)))</f>
        <v>32.694444444444443</v>
      </c>
      <c r="Q40" s="22"/>
      <c r="R40" s="21">
        <f t="shared" ref="R40:R56" si="29">B40+J40</f>
        <v>8</v>
      </c>
      <c r="S40" s="21">
        <f t="shared" ref="S40:S56" si="30">C40+K40</f>
        <v>24</v>
      </c>
      <c r="T40" s="21">
        <f t="shared" ref="T40:T56" si="31">D40+L40</f>
        <v>14</v>
      </c>
      <c r="U40" s="21">
        <f t="shared" ref="U40:U56" si="32">E40+M40</f>
        <v>3</v>
      </c>
      <c r="V40" s="21">
        <f t="shared" ref="V40:V56" si="33">F40+N40</f>
        <v>0</v>
      </c>
      <c r="W40" s="21">
        <f t="shared" ref="W40:W56" si="34">G40+O40</f>
        <v>0</v>
      </c>
      <c r="X40" s="23">
        <f t="shared" ref="X40:X56" si="35">IF(SUM(R40:V40)=0,"-",20*(R40/SUM($R40:$V40))+30*(S40/SUM($R40:$V40))+40.5*(T40/SUM($R40:$V40))+50.5*(U40/SUM($R40:$V40))+56*(V40/SUM($R40:$V40)))</f>
        <v>32.622448979591837</v>
      </c>
      <c r="Y40" s="22"/>
      <c r="Z40" s="22">
        <f>'2017-18_working'!R40</f>
        <v>0</v>
      </c>
      <c r="AA40" s="22">
        <f>'2017-18_working'!S40</f>
        <v>1</v>
      </c>
      <c r="AB40" s="22">
        <f>'2017-18_working'!T40</f>
        <v>0</v>
      </c>
      <c r="AC40" s="22">
        <f>'2017-18_working'!U40</f>
        <v>0</v>
      </c>
      <c r="AD40" s="22">
        <f>'2017-18_working'!V40+'2017-18_working'!W40</f>
        <v>0</v>
      </c>
      <c r="AE40" s="22">
        <f>'2017-18_working'!X40</f>
        <v>0</v>
      </c>
      <c r="AF40" s="23">
        <f t="shared" ref="AF40:AF56" si="36">IF(SUM(Z40:AD40)=0,"-",20*(Z40/SUM($Z40:$AD40))+30*(AA40/SUM($Z40:$AD40))+40.5*(AB40/SUM($Z40:$AD40))+50.5*(AC40/SUM($Z40:$AD40))+56*(AD40/SUM($Z40:$AD40)))</f>
        <v>30</v>
      </c>
      <c r="AG40" s="22"/>
      <c r="AH40" s="22">
        <f>'2017-18_working'!Z40</f>
        <v>4</v>
      </c>
      <c r="AI40" s="22">
        <f>'2017-18_working'!AA40</f>
        <v>5</v>
      </c>
      <c r="AJ40" s="22">
        <f>'2017-18_working'!AB40</f>
        <v>5</v>
      </c>
      <c r="AK40" s="22">
        <f>'2017-18_working'!AC40</f>
        <v>4</v>
      </c>
      <c r="AL40" s="22">
        <f>'2017-18_working'!AD40+'2017-18_working'!AE40</f>
        <v>1</v>
      </c>
      <c r="AM40" s="22">
        <f>'2017-18_working'!AF40</f>
        <v>0</v>
      </c>
      <c r="AN40" s="23">
        <f t="shared" ref="AN40:AN56" si="37">IF(SUM(AH40:AL40)=0,"-",20*(AH40/SUM($AH40:$AL40))+30*(AI40/SUM($AH40:$AL40))+40.5*(AJ40/SUM($AH40:$AL40))+50.5*(AK40/SUM($AH40:$AL40))+56*(AL40/SUM($AH40:$AL40)))</f>
        <v>36.34210526315789</v>
      </c>
      <c r="AO40" s="22"/>
      <c r="AP40" s="21">
        <f t="shared" ref="AP40:AP56" si="38">AH40+Z40+R40</f>
        <v>12</v>
      </c>
      <c r="AQ40" s="21">
        <f t="shared" ref="AQ40:AQ56" si="39">AI40+AA40+S40</f>
        <v>30</v>
      </c>
      <c r="AR40" s="21">
        <f t="shared" ref="AR40:AR56" si="40">AJ40+AB40+T40</f>
        <v>19</v>
      </c>
      <c r="AS40" s="21">
        <f t="shared" ref="AS40:AS56" si="41">AK40+AC40+U40</f>
        <v>7</v>
      </c>
      <c r="AT40" s="21">
        <f t="shared" ref="AT40:AT56" si="42">AL40+AD40+V40</f>
        <v>1</v>
      </c>
      <c r="AU40" s="21">
        <f t="shared" ref="AU40:AU56" si="43">AM40+AE40+W40</f>
        <v>0</v>
      </c>
      <c r="AV40" s="23">
        <f t="shared" ref="AV40:AV56" si="44">IF(SUM(AP40:AT40)=0,"-",20*(AP40/SUM($AP40:$AT40))+30*(AQ40/SUM($AP40:$AT40))+40.5*(AR40/SUM($AP40:$AT40))+50.5*(AS40/SUM($AP40:$AT40))+56*(AT40/SUM($AP40:$AT40)))</f>
        <v>33.608695652173907</v>
      </c>
      <c r="AW40" s="17"/>
      <c r="AX40" s="19">
        <f t="shared" si="26"/>
        <v>69</v>
      </c>
      <c r="AY40" s="19">
        <v>69</v>
      </c>
      <c r="AZ40" s="18">
        <f t="shared" si="27"/>
        <v>0</v>
      </c>
      <c r="BA40" s="17"/>
      <c r="BB40" s="17"/>
      <c r="BC40" s="17"/>
      <c r="BD40" s="17"/>
      <c r="BE40" s="17"/>
    </row>
    <row r="41" spans="1:57" s="7" customFormat="1" ht="15" customHeight="1" x14ac:dyDescent="0.35">
      <c r="A41" s="2" t="s">
        <v>46</v>
      </c>
      <c r="B41" s="22">
        <f>'2017-18_working'!B41</f>
        <v>0</v>
      </c>
      <c r="C41" s="22">
        <f>'2017-18_working'!C41</f>
        <v>0</v>
      </c>
      <c r="D41" s="22">
        <f>'2017-18_working'!D41</f>
        <v>0</v>
      </c>
      <c r="E41" s="22">
        <f>'2017-18_working'!E41</f>
        <v>0</v>
      </c>
      <c r="F41" s="22">
        <f>'2017-18_working'!F41+'2017-18_working'!G41</f>
        <v>0</v>
      </c>
      <c r="G41" s="22">
        <f>'2017-18_working'!H41</f>
        <v>0</v>
      </c>
      <c r="H41" s="23" t="str">
        <f t="shared" si="22"/>
        <v>-</v>
      </c>
      <c r="I41" s="22"/>
      <c r="J41" s="22">
        <f>'2017-18_working'!J41</f>
        <v>12</v>
      </c>
      <c r="K41" s="22">
        <f>'2017-18_working'!K41</f>
        <v>31</v>
      </c>
      <c r="L41" s="22">
        <f>'2017-18_working'!L41</f>
        <v>23</v>
      </c>
      <c r="M41" s="22">
        <f>'2017-18_working'!M41</f>
        <v>8</v>
      </c>
      <c r="N41" s="22">
        <f>'2017-18_working'!N41+'2017-18_working'!O41</f>
        <v>0</v>
      </c>
      <c r="O41" s="22">
        <f>'2017-18_working'!P41</f>
        <v>0</v>
      </c>
      <c r="P41" s="23">
        <f t="shared" si="28"/>
        <v>33.858108108108105</v>
      </c>
      <c r="Q41" s="22"/>
      <c r="R41" s="21">
        <f t="shared" si="29"/>
        <v>12</v>
      </c>
      <c r="S41" s="21">
        <f t="shared" si="30"/>
        <v>31</v>
      </c>
      <c r="T41" s="21">
        <f t="shared" si="31"/>
        <v>23</v>
      </c>
      <c r="U41" s="21">
        <f t="shared" si="32"/>
        <v>8</v>
      </c>
      <c r="V41" s="21">
        <f t="shared" si="33"/>
        <v>0</v>
      </c>
      <c r="W41" s="21">
        <f t="shared" si="34"/>
        <v>0</v>
      </c>
      <c r="X41" s="23">
        <f t="shared" si="35"/>
        <v>33.858108108108105</v>
      </c>
      <c r="Y41" s="22"/>
      <c r="Z41" s="22">
        <f>'2017-18_working'!R41</f>
        <v>0</v>
      </c>
      <c r="AA41" s="22">
        <f>'2017-18_working'!S41</f>
        <v>0</v>
      </c>
      <c r="AB41" s="22">
        <f>'2017-18_working'!T41</f>
        <v>0</v>
      </c>
      <c r="AC41" s="22">
        <f>'2017-18_working'!U41</f>
        <v>0</v>
      </c>
      <c r="AD41" s="22">
        <f>'2017-18_working'!V41+'2017-18_working'!W41</f>
        <v>0</v>
      </c>
      <c r="AE41" s="22">
        <f>'2017-18_working'!X41</f>
        <v>0</v>
      </c>
      <c r="AF41" s="23" t="str">
        <f t="shared" si="36"/>
        <v>-</v>
      </c>
      <c r="AG41" s="22"/>
      <c r="AH41" s="22">
        <f>'2017-18_working'!Z41</f>
        <v>0</v>
      </c>
      <c r="AI41" s="22">
        <f>'2017-18_working'!AA41</f>
        <v>2</v>
      </c>
      <c r="AJ41" s="22">
        <f>'2017-18_working'!AB41</f>
        <v>0</v>
      </c>
      <c r="AK41" s="22">
        <f>'2017-18_working'!AC41</f>
        <v>1</v>
      </c>
      <c r="AL41" s="22">
        <f>'2017-18_working'!AD41+'2017-18_working'!AE41</f>
        <v>1</v>
      </c>
      <c r="AM41" s="22">
        <f>'2017-18_working'!AF41</f>
        <v>0</v>
      </c>
      <c r="AN41" s="23">
        <f t="shared" si="37"/>
        <v>41.625</v>
      </c>
      <c r="AO41" s="22"/>
      <c r="AP41" s="21">
        <f t="shared" si="38"/>
        <v>12</v>
      </c>
      <c r="AQ41" s="21">
        <f t="shared" si="39"/>
        <v>33</v>
      </c>
      <c r="AR41" s="21">
        <f t="shared" si="40"/>
        <v>23</v>
      </c>
      <c r="AS41" s="21">
        <f t="shared" si="41"/>
        <v>9</v>
      </c>
      <c r="AT41" s="21">
        <f t="shared" si="42"/>
        <v>1</v>
      </c>
      <c r="AU41" s="21">
        <f t="shared" si="43"/>
        <v>0</v>
      </c>
      <c r="AV41" s="23">
        <f t="shared" si="44"/>
        <v>34.256410256410255</v>
      </c>
      <c r="AW41" s="17"/>
      <c r="AX41" s="19">
        <f t="shared" si="26"/>
        <v>78</v>
      </c>
      <c r="AY41" s="19">
        <v>78</v>
      </c>
      <c r="AZ41" s="18">
        <f t="shared" si="27"/>
        <v>0</v>
      </c>
      <c r="BA41" s="17"/>
      <c r="BB41" s="17"/>
      <c r="BC41" s="17"/>
      <c r="BD41" s="17"/>
      <c r="BE41" s="17"/>
    </row>
    <row r="42" spans="1:57" s="7" customFormat="1" ht="15" customHeight="1" x14ac:dyDescent="0.35">
      <c r="A42" s="2" t="s">
        <v>47</v>
      </c>
      <c r="B42" s="22">
        <f>'2017-18_working'!B42</f>
        <v>0</v>
      </c>
      <c r="C42" s="22">
        <f>'2017-18_working'!C42</f>
        <v>1</v>
      </c>
      <c r="D42" s="22">
        <f>'2017-18_working'!D42</f>
        <v>3</v>
      </c>
      <c r="E42" s="22">
        <f>'2017-18_working'!E42</f>
        <v>1</v>
      </c>
      <c r="F42" s="22">
        <f>'2017-18_working'!F42+'2017-18_working'!G42</f>
        <v>0</v>
      </c>
      <c r="G42" s="22">
        <f>'2017-18_working'!H42</f>
        <v>0</v>
      </c>
      <c r="H42" s="23">
        <f t="shared" si="22"/>
        <v>40.400000000000006</v>
      </c>
      <c r="I42" s="22"/>
      <c r="J42" s="22">
        <f>'2017-18_working'!J42</f>
        <v>5</v>
      </c>
      <c r="K42" s="22">
        <f>'2017-18_working'!K42</f>
        <v>12</v>
      </c>
      <c r="L42" s="22">
        <f>'2017-18_working'!L42</f>
        <v>9</v>
      </c>
      <c r="M42" s="22">
        <f>'2017-18_working'!M42</f>
        <v>0</v>
      </c>
      <c r="N42" s="22">
        <f>'2017-18_working'!N42+'2017-18_working'!O42</f>
        <v>0</v>
      </c>
      <c r="O42" s="22">
        <f>'2017-18_working'!P42</f>
        <v>0</v>
      </c>
      <c r="P42" s="23">
        <f t="shared" si="28"/>
        <v>31.71153846153846</v>
      </c>
      <c r="Q42" s="22"/>
      <c r="R42" s="21">
        <f t="shared" si="29"/>
        <v>5</v>
      </c>
      <c r="S42" s="21">
        <f t="shared" si="30"/>
        <v>13</v>
      </c>
      <c r="T42" s="21">
        <f t="shared" si="31"/>
        <v>12</v>
      </c>
      <c r="U42" s="21">
        <f t="shared" si="32"/>
        <v>1</v>
      </c>
      <c r="V42" s="21">
        <f t="shared" si="33"/>
        <v>0</v>
      </c>
      <c r="W42" s="21">
        <f t="shared" si="34"/>
        <v>0</v>
      </c>
      <c r="X42" s="23">
        <f t="shared" si="35"/>
        <v>33.112903225806448</v>
      </c>
      <c r="Y42" s="22"/>
      <c r="Z42" s="22">
        <f>'2017-18_working'!R42</f>
        <v>0</v>
      </c>
      <c r="AA42" s="22">
        <f>'2017-18_working'!S42</f>
        <v>0</v>
      </c>
      <c r="AB42" s="22">
        <f>'2017-18_working'!T42</f>
        <v>1</v>
      </c>
      <c r="AC42" s="22">
        <f>'2017-18_working'!U42</f>
        <v>0</v>
      </c>
      <c r="AD42" s="22">
        <f>'2017-18_working'!V42+'2017-18_working'!W42</f>
        <v>0</v>
      </c>
      <c r="AE42" s="22">
        <f>'2017-18_working'!X42</f>
        <v>0</v>
      </c>
      <c r="AF42" s="23">
        <f t="shared" si="36"/>
        <v>40.5</v>
      </c>
      <c r="AG42" s="22"/>
      <c r="AH42" s="22">
        <f>'2017-18_working'!Z42</f>
        <v>2</v>
      </c>
      <c r="AI42" s="22">
        <f>'2017-18_working'!AA42</f>
        <v>2</v>
      </c>
      <c r="AJ42" s="22">
        <f>'2017-18_working'!AB42</f>
        <v>3</v>
      </c>
      <c r="AK42" s="22">
        <f>'2017-18_working'!AC42</f>
        <v>2</v>
      </c>
      <c r="AL42" s="22">
        <f>'2017-18_working'!AD42+'2017-18_working'!AE42</f>
        <v>0</v>
      </c>
      <c r="AM42" s="22">
        <f>'2017-18_working'!AF42</f>
        <v>0</v>
      </c>
      <c r="AN42" s="23">
        <f t="shared" si="37"/>
        <v>35.833333333333329</v>
      </c>
      <c r="AO42" s="22"/>
      <c r="AP42" s="21">
        <f t="shared" si="38"/>
        <v>7</v>
      </c>
      <c r="AQ42" s="21">
        <f t="shared" si="39"/>
        <v>15</v>
      </c>
      <c r="AR42" s="21">
        <f t="shared" si="40"/>
        <v>16</v>
      </c>
      <c r="AS42" s="21">
        <f t="shared" si="41"/>
        <v>3</v>
      </c>
      <c r="AT42" s="21">
        <f t="shared" si="42"/>
        <v>0</v>
      </c>
      <c r="AU42" s="21">
        <f t="shared" si="43"/>
        <v>0</v>
      </c>
      <c r="AV42" s="23">
        <f t="shared" si="44"/>
        <v>33.890243902439025</v>
      </c>
      <c r="AW42" s="17"/>
      <c r="AX42" s="19">
        <f t="shared" si="26"/>
        <v>41</v>
      </c>
      <c r="AY42" s="19">
        <v>41</v>
      </c>
      <c r="AZ42" s="18">
        <f t="shared" si="27"/>
        <v>0</v>
      </c>
      <c r="BA42" s="17"/>
      <c r="BB42" s="17"/>
      <c r="BC42" s="17"/>
      <c r="BD42" s="17"/>
      <c r="BE42" s="17"/>
    </row>
    <row r="43" spans="1:57" s="7" customFormat="1" ht="15" customHeight="1" x14ac:dyDescent="0.35">
      <c r="A43" s="2" t="s">
        <v>48</v>
      </c>
      <c r="B43" s="22">
        <f>'2017-18_working'!B43</f>
        <v>3</v>
      </c>
      <c r="C43" s="22">
        <f>'2017-18_working'!C43</f>
        <v>4</v>
      </c>
      <c r="D43" s="22">
        <f>'2017-18_working'!D43</f>
        <v>1</v>
      </c>
      <c r="E43" s="22">
        <f>'2017-18_working'!E43</f>
        <v>0</v>
      </c>
      <c r="F43" s="22">
        <f>'2017-18_working'!F43+'2017-18_working'!G43</f>
        <v>0</v>
      </c>
      <c r="G43" s="22">
        <f>'2017-18_working'!H43</f>
        <v>0</v>
      </c>
      <c r="H43" s="23">
        <f t="shared" si="22"/>
        <v>27.5625</v>
      </c>
      <c r="I43" s="22"/>
      <c r="J43" s="22">
        <f>'2017-18_working'!J43</f>
        <v>4</v>
      </c>
      <c r="K43" s="22">
        <f>'2017-18_working'!K43</f>
        <v>10</v>
      </c>
      <c r="L43" s="22">
        <f>'2017-18_working'!L43</f>
        <v>2</v>
      </c>
      <c r="M43" s="22">
        <f>'2017-18_working'!M43</f>
        <v>0</v>
      </c>
      <c r="N43" s="22">
        <f>'2017-18_working'!N43+'2017-18_working'!O43</f>
        <v>0</v>
      </c>
      <c r="O43" s="22">
        <f>'2017-18_working'!P43</f>
        <v>0</v>
      </c>
      <c r="P43" s="23">
        <f t="shared" si="28"/>
        <v>28.8125</v>
      </c>
      <c r="Q43" s="22"/>
      <c r="R43" s="21">
        <f t="shared" si="29"/>
        <v>7</v>
      </c>
      <c r="S43" s="21">
        <f t="shared" si="30"/>
        <v>14</v>
      </c>
      <c r="T43" s="21">
        <f t="shared" si="31"/>
        <v>3</v>
      </c>
      <c r="U43" s="21">
        <f t="shared" si="32"/>
        <v>0</v>
      </c>
      <c r="V43" s="21">
        <f t="shared" si="33"/>
        <v>0</v>
      </c>
      <c r="W43" s="21">
        <f t="shared" si="34"/>
        <v>0</v>
      </c>
      <c r="X43" s="23">
        <f t="shared" si="35"/>
        <v>28.395833333333336</v>
      </c>
      <c r="Y43" s="22"/>
      <c r="Z43" s="22">
        <f>'2017-18_working'!R43</f>
        <v>0</v>
      </c>
      <c r="AA43" s="22">
        <f>'2017-18_working'!S43</f>
        <v>0</v>
      </c>
      <c r="AB43" s="22">
        <f>'2017-18_working'!T43</f>
        <v>0</v>
      </c>
      <c r="AC43" s="22">
        <f>'2017-18_working'!U43</f>
        <v>0</v>
      </c>
      <c r="AD43" s="22">
        <f>'2017-18_working'!V43+'2017-18_working'!W43</f>
        <v>0</v>
      </c>
      <c r="AE43" s="22">
        <f>'2017-18_working'!X43</f>
        <v>0</v>
      </c>
      <c r="AF43" s="23" t="str">
        <f t="shared" si="36"/>
        <v>-</v>
      </c>
      <c r="AG43" s="22"/>
      <c r="AH43" s="22">
        <f>'2017-18_working'!Z43</f>
        <v>1</v>
      </c>
      <c r="AI43" s="22">
        <f>'2017-18_working'!AA43</f>
        <v>3</v>
      </c>
      <c r="AJ43" s="22">
        <f>'2017-18_working'!AB43</f>
        <v>3</v>
      </c>
      <c r="AK43" s="22">
        <f>'2017-18_working'!AC43</f>
        <v>3</v>
      </c>
      <c r="AL43" s="22">
        <f>'2017-18_working'!AD43+'2017-18_working'!AE43</f>
        <v>0</v>
      </c>
      <c r="AM43" s="22">
        <f>'2017-18_working'!AF43</f>
        <v>0</v>
      </c>
      <c r="AN43" s="23">
        <f t="shared" si="37"/>
        <v>38.299999999999997</v>
      </c>
      <c r="AO43" s="22"/>
      <c r="AP43" s="21">
        <f t="shared" si="38"/>
        <v>8</v>
      </c>
      <c r="AQ43" s="21">
        <f t="shared" si="39"/>
        <v>17</v>
      </c>
      <c r="AR43" s="21">
        <f t="shared" si="40"/>
        <v>6</v>
      </c>
      <c r="AS43" s="21">
        <f t="shared" si="41"/>
        <v>3</v>
      </c>
      <c r="AT43" s="21">
        <f t="shared" si="42"/>
        <v>0</v>
      </c>
      <c r="AU43" s="21">
        <f t="shared" si="43"/>
        <v>0</v>
      </c>
      <c r="AV43" s="23">
        <f t="shared" si="44"/>
        <v>31.308823529411768</v>
      </c>
      <c r="AW43" s="17"/>
      <c r="AX43" s="19">
        <f t="shared" si="26"/>
        <v>34</v>
      </c>
      <c r="AY43" s="19">
        <v>34</v>
      </c>
      <c r="AZ43" s="18">
        <f t="shared" si="27"/>
        <v>0</v>
      </c>
      <c r="BA43" s="17"/>
      <c r="BB43" s="17"/>
      <c r="BC43" s="17"/>
      <c r="BD43" s="17"/>
      <c r="BE43" s="17"/>
    </row>
    <row r="44" spans="1:57" s="7" customFormat="1" ht="15" customHeight="1" x14ac:dyDescent="0.35">
      <c r="A44" s="2" t="s">
        <v>49</v>
      </c>
      <c r="B44" s="22">
        <f>'2017-18_working'!B44</f>
        <v>0</v>
      </c>
      <c r="C44" s="22">
        <f>'2017-18_working'!C44</f>
        <v>1</v>
      </c>
      <c r="D44" s="22">
        <f>'2017-18_working'!D44</f>
        <v>1</v>
      </c>
      <c r="E44" s="22">
        <f>'2017-18_working'!E44</f>
        <v>0</v>
      </c>
      <c r="F44" s="22">
        <f>'2017-18_working'!F44+'2017-18_working'!G44</f>
        <v>0</v>
      </c>
      <c r="G44" s="22">
        <f>'2017-18_working'!H44</f>
        <v>0</v>
      </c>
      <c r="H44" s="23">
        <f t="shared" si="22"/>
        <v>35.25</v>
      </c>
      <c r="I44" s="22"/>
      <c r="J44" s="22">
        <f>'2017-18_working'!J44</f>
        <v>10</v>
      </c>
      <c r="K44" s="22">
        <f>'2017-18_working'!K44</f>
        <v>20</v>
      </c>
      <c r="L44" s="22">
        <f>'2017-18_working'!L44</f>
        <v>13</v>
      </c>
      <c r="M44" s="22">
        <f>'2017-18_working'!M44</f>
        <v>6</v>
      </c>
      <c r="N44" s="22">
        <f>'2017-18_working'!N44+'2017-18_working'!O44</f>
        <v>0</v>
      </c>
      <c r="O44" s="22">
        <f>'2017-18_working'!P44</f>
        <v>0</v>
      </c>
      <c r="P44" s="23">
        <f t="shared" si="28"/>
        <v>33.255102040816325</v>
      </c>
      <c r="Q44" s="22"/>
      <c r="R44" s="21">
        <f t="shared" si="29"/>
        <v>10</v>
      </c>
      <c r="S44" s="21">
        <f t="shared" si="30"/>
        <v>21</v>
      </c>
      <c r="T44" s="21">
        <f t="shared" si="31"/>
        <v>14</v>
      </c>
      <c r="U44" s="21">
        <f t="shared" si="32"/>
        <v>6</v>
      </c>
      <c r="V44" s="21">
        <f t="shared" si="33"/>
        <v>0</v>
      </c>
      <c r="W44" s="21">
        <f t="shared" si="34"/>
        <v>0</v>
      </c>
      <c r="X44" s="23">
        <f t="shared" si="35"/>
        <v>33.333333333333329</v>
      </c>
      <c r="Y44" s="22"/>
      <c r="Z44" s="22">
        <f>'2017-18_working'!R44</f>
        <v>0</v>
      </c>
      <c r="AA44" s="22">
        <f>'2017-18_working'!S44</f>
        <v>0</v>
      </c>
      <c r="AB44" s="22">
        <f>'2017-18_working'!T44</f>
        <v>0</v>
      </c>
      <c r="AC44" s="22">
        <f>'2017-18_working'!U44</f>
        <v>0</v>
      </c>
      <c r="AD44" s="22">
        <f>'2017-18_working'!V44+'2017-18_working'!W44</f>
        <v>0</v>
      </c>
      <c r="AE44" s="22">
        <f>'2017-18_working'!X44</f>
        <v>0</v>
      </c>
      <c r="AF44" s="23" t="str">
        <f t="shared" si="36"/>
        <v>-</v>
      </c>
      <c r="AG44" s="22"/>
      <c r="AH44" s="22">
        <f>'2017-18_working'!Z44</f>
        <v>1</v>
      </c>
      <c r="AI44" s="22">
        <f>'2017-18_working'!AA44</f>
        <v>3</v>
      </c>
      <c r="AJ44" s="22">
        <f>'2017-18_working'!AB44</f>
        <v>0</v>
      </c>
      <c r="AK44" s="22">
        <f>'2017-18_working'!AC44</f>
        <v>1</v>
      </c>
      <c r="AL44" s="22">
        <f>'2017-18_working'!AD44+'2017-18_working'!AE44</f>
        <v>1</v>
      </c>
      <c r="AM44" s="22">
        <f>'2017-18_working'!AF44</f>
        <v>0</v>
      </c>
      <c r="AN44" s="23">
        <f t="shared" si="37"/>
        <v>36.083333333333329</v>
      </c>
      <c r="AO44" s="22"/>
      <c r="AP44" s="21">
        <f t="shared" si="38"/>
        <v>11</v>
      </c>
      <c r="AQ44" s="21">
        <f t="shared" si="39"/>
        <v>24</v>
      </c>
      <c r="AR44" s="21">
        <f t="shared" si="40"/>
        <v>14</v>
      </c>
      <c r="AS44" s="21">
        <f t="shared" si="41"/>
        <v>7</v>
      </c>
      <c r="AT44" s="21">
        <f t="shared" si="42"/>
        <v>1</v>
      </c>
      <c r="AU44" s="21">
        <f t="shared" si="43"/>
        <v>0</v>
      </c>
      <c r="AV44" s="23">
        <f t="shared" si="44"/>
        <v>33.622807017543856</v>
      </c>
      <c r="AW44" s="17"/>
      <c r="AX44" s="19">
        <f t="shared" si="26"/>
        <v>57</v>
      </c>
      <c r="AY44" s="19">
        <v>57</v>
      </c>
      <c r="AZ44" s="18">
        <f t="shared" si="27"/>
        <v>0</v>
      </c>
      <c r="BA44" s="17"/>
      <c r="BB44" s="17"/>
      <c r="BC44" s="17"/>
      <c r="BD44" s="17"/>
      <c r="BE44" s="17"/>
    </row>
    <row r="45" spans="1:57" s="7" customFormat="1" ht="15" customHeight="1" x14ac:dyDescent="0.35">
      <c r="A45" s="2" t="s">
        <v>50</v>
      </c>
      <c r="B45" s="22">
        <f>'2017-18_working'!B45</f>
        <v>1</v>
      </c>
      <c r="C45" s="22">
        <f>'2017-18_working'!C45</f>
        <v>2</v>
      </c>
      <c r="D45" s="22">
        <f>'2017-18_working'!D45</f>
        <v>2</v>
      </c>
      <c r="E45" s="22">
        <f>'2017-18_working'!E45</f>
        <v>2</v>
      </c>
      <c r="F45" s="22">
        <f>'2017-18_working'!F45+'2017-18_working'!G45</f>
        <v>1</v>
      </c>
      <c r="G45" s="22">
        <f>'2017-18_working'!H45</f>
        <v>0</v>
      </c>
      <c r="H45" s="23">
        <f t="shared" si="22"/>
        <v>39.75</v>
      </c>
      <c r="I45" s="22"/>
      <c r="J45" s="22">
        <f>'2017-18_working'!J45</f>
        <v>3</v>
      </c>
      <c r="K45" s="22">
        <f>'2017-18_working'!K45</f>
        <v>0</v>
      </c>
      <c r="L45" s="22">
        <f>'2017-18_working'!L45</f>
        <v>2</v>
      </c>
      <c r="M45" s="22">
        <f>'2017-18_working'!M45</f>
        <v>3</v>
      </c>
      <c r="N45" s="22">
        <f>'2017-18_working'!N45+'2017-18_working'!O45</f>
        <v>1</v>
      </c>
      <c r="O45" s="22">
        <f>'2017-18_working'!P45</f>
        <v>0</v>
      </c>
      <c r="P45" s="23">
        <f t="shared" si="28"/>
        <v>38.722222222222221</v>
      </c>
      <c r="Q45" s="22"/>
      <c r="R45" s="21">
        <f t="shared" si="29"/>
        <v>4</v>
      </c>
      <c r="S45" s="21">
        <f t="shared" si="30"/>
        <v>2</v>
      </c>
      <c r="T45" s="21">
        <f t="shared" si="31"/>
        <v>4</v>
      </c>
      <c r="U45" s="21">
        <f t="shared" si="32"/>
        <v>5</v>
      </c>
      <c r="V45" s="21">
        <f t="shared" si="33"/>
        <v>2</v>
      </c>
      <c r="W45" s="21">
        <f t="shared" si="34"/>
        <v>0</v>
      </c>
      <c r="X45" s="23">
        <f t="shared" si="35"/>
        <v>39.205882352941174</v>
      </c>
      <c r="Y45" s="22"/>
      <c r="Z45" s="22">
        <f>'2017-18_working'!R45</f>
        <v>1</v>
      </c>
      <c r="AA45" s="22">
        <f>'2017-18_working'!S45</f>
        <v>2</v>
      </c>
      <c r="AB45" s="22">
        <f>'2017-18_working'!T45</f>
        <v>0</v>
      </c>
      <c r="AC45" s="22">
        <f>'2017-18_working'!U45</f>
        <v>0</v>
      </c>
      <c r="AD45" s="22">
        <f>'2017-18_working'!V45+'2017-18_working'!W45</f>
        <v>0</v>
      </c>
      <c r="AE45" s="22">
        <f>'2017-18_working'!X45</f>
        <v>0</v>
      </c>
      <c r="AF45" s="23">
        <f t="shared" si="36"/>
        <v>26.666666666666664</v>
      </c>
      <c r="AG45" s="22"/>
      <c r="AH45" s="22">
        <f>'2017-18_working'!Z45</f>
        <v>0</v>
      </c>
      <c r="AI45" s="22">
        <f>'2017-18_working'!AA45</f>
        <v>0</v>
      </c>
      <c r="AJ45" s="22">
        <f>'2017-18_working'!AB45</f>
        <v>0</v>
      </c>
      <c r="AK45" s="22">
        <f>'2017-18_working'!AC45</f>
        <v>1</v>
      </c>
      <c r="AL45" s="22">
        <f>'2017-18_working'!AD45+'2017-18_working'!AE45</f>
        <v>0</v>
      </c>
      <c r="AM45" s="22">
        <f>'2017-18_working'!AF45</f>
        <v>0</v>
      </c>
      <c r="AN45" s="23">
        <f t="shared" si="37"/>
        <v>50.5</v>
      </c>
      <c r="AO45" s="22"/>
      <c r="AP45" s="21">
        <f t="shared" si="38"/>
        <v>5</v>
      </c>
      <c r="AQ45" s="21">
        <f t="shared" si="39"/>
        <v>4</v>
      </c>
      <c r="AR45" s="21">
        <f t="shared" si="40"/>
        <v>4</v>
      </c>
      <c r="AS45" s="21">
        <f t="shared" si="41"/>
        <v>6</v>
      </c>
      <c r="AT45" s="21">
        <f t="shared" si="42"/>
        <v>2</v>
      </c>
      <c r="AU45" s="21">
        <f t="shared" si="43"/>
        <v>0</v>
      </c>
      <c r="AV45" s="23">
        <f t="shared" si="44"/>
        <v>37.952380952380956</v>
      </c>
      <c r="AW45" s="17"/>
      <c r="AX45" s="19">
        <f t="shared" si="26"/>
        <v>21</v>
      </c>
      <c r="AY45" s="19">
        <v>21</v>
      </c>
      <c r="AZ45" s="18">
        <f t="shared" si="27"/>
        <v>0</v>
      </c>
      <c r="BA45" s="17"/>
      <c r="BB45" s="17"/>
      <c r="BC45" s="17"/>
      <c r="BD45" s="17"/>
      <c r="BE45" s="17"/>
    </row>
    <row r="46" spans="1:57" s="7" customFormat="1" ht="15" customHeight="1" x14ac:dyDescent="0.35">
      <c r="A46" s="2" t="s">
        <v>51</v>
      </c>
      <c r="B46" s="22">
        <f>'2017-18_working'!B46</f>
        <v>3</v>
      </c>
      <c r="C46" s="22">
        <f>'2017-18_working'!C46</f>
        <v>19</v>
      </c>
      <c r="D46" s="22">
        <f>'2017-18_working'!D46</f>
        <v>5</v>
      </c>
      <c r="E46" s="22">
        <f>'2017-18_working'!E46</f>
        <v>3</v>
      </c>
      <c r="F46" s="22">
        <f>'2017-18_working'!F46+'2017-18_working'!G46</f>
        <v>1</v>
      </c>
      <c r="G46" s="22">
        <f>'2017-18_working'!H46</f>
        <v>0</v>
      </c>
      <c r="H46" s="23">
        <f t="shared" si="22"/>
        <v>33.548387096774192</v>
      </c>
      <c r="I46" s="22"/>
      <c r="J46" s="22">
        <f>'2017-18_working'!J46</f>
        <v>3</v>
      </c>
      <c r="K46" s="22">
        <f>'2017-18_working'!K46</f>
        <v>11</v>
      </c>
      <c r="L46" s="22">
        <f>'2017-18_working'!L46</f>
        <v>2</v>
      </c>
      <c r="M46" s="22">
        <f>'2017-18_working'!M46</f>
        <v>4</v>
      </c>
      <c r="N46" s="22">
        <f>'2017-18_working'!N46+'2017-18_working'!O46</f>
        <v>0</v>
      </c>
      <c r="O46" s="22">
        <f>'2017-18_working'!P46</f>
        <v>0</v>
      </c>
      <c r="P46" s="23">
        <f t="shared" si="28"/>
        <v>33.650000000000006</v>
      </c>
      <c r="Q46" s="22"/>
      <c r="R46" s="21">
        <f t="shared" si="29"/>
        <v>6</v>
      </c>
      <c r="S46" s="21">
        <f t="shared" si="30"/>
        <v>30</v>
      </c>
      <c r="T46" s="21">
        <f t="shared" si="31"/>
        <v>7</v>
      </c>
      <c r="U46" s="21">
        <f t="shared" si="32"/>
        <v>7</v>
      </c>
      <c r="V46" s="21">
        <f t="shared" si="33"/>
        <v>1</v>
      </c>
      <c r="W46" s="21">
        <f t="shared" si="34"/>
        <v>0</v>
      </c>
      <c r="X46" s="23">
        <f t="shared" si="35"/>
        <v>33.588235294117652</v>
      </c>
      <c r="Y46" s="22"/>
      <c r="Z46" s="22">
        <f>'2017-18_working'!R46</f>
        <v>0</v>
      </c>
      <c r="AA46" s="22">
        <f>'2017-18_working'!S46</f>
        <v>2</v>
      </c>
      <c r="AB46" s="22">
        <f>'2017-18_working'!T46</f>
        <v>0</v>
      </c>
      <c r="AC46" s="22">
        <f>'2017-18_working'!U46</f>
        <v>1</v>
      </c>
      <c r="AD46" s="22">
        <f>'2017-18_working'!V46+'2017-18_working'!W46</f>
        <v>0</v>
      </c>
      <c r="AE46" s="22">
        <f>'2017-18_working'!X46</f>
        <v>0</v>
      </c>
      <c r="AF46" s="23">
        <f t="shared" si="36"/>
        <v>36.833333333333329</v>
      </c>
      <c r="AG46" s="22"/>
      <c r="AH46" s="22">
        <f>'2017-18_working'!Z46</f>
        <v>1</v>
      </c>
      <c r="AI46" s="22">
        <f>'2017-18_working'!AA46</f>
        <v>5</v>
      </c>
      <c r="AJ46" s="22">
        <f>'2017-18_working'!AB46</f>
        <v>9</v>
      </c>
      <c r="AK46" s="22">
        <f>'2017-18_working'!AC46</f>
        <v>3</v>
      </c>
      <c r="AL46" s="22">
        <f>'2017-18_working'!AD46+'2017-18_working'!AE46</f>
        <v>2</v>
      </c>
      <c r="AM46" s="22">
        <f>'2017-18_working'!AF46</f>
        <v>0</v>
      </c>
      <c r="AN46" s="23">
        <f t="shared" si="37"/>
        <v>39.9</v>
      </c>
      <c r="AO46" s="22"/>
      <c r="AP46" s="21">
        <f t="shared" si="38"/>
        <v>7</v>
      </c>
      <c r="AQ46" s="21">
        <f t="shared" si="39"/>
        <v>37</v>
      </c>
      <c r="AR46" s="21">
        <f t="shared" si="40"/>
        <v>16</v>
      </c>
      <c r="AS46" s="21">
        <f t="shared" si="41"/>
        <v>11</v>
      </c>
      <c r="AT46" s="21">
        <f t="shared" si="42"/>
        <v>3</v>
      </c>
      <c r="AU46" s="21">
        <f t="shared" si="43"/>
        <v>0</v>
      </c>
      <c r="AV46" s="23">
        <f t="shared" si="44"/>
        <v>35.425675675675677</v>
      </c>
      <c r="AW46" s="17"/>
      <c r="AX46" s="19">
        <f t="shared" si="26"/>
        <v>74</v>
      </c>
      <c r="AY46" s="19">
        <v>74</v>
      </c>
      <c r="AZ46" s="18">
        <f t="shared" si="27"/>
        <v>0</v>
      </c>
      <c r="BA46" s="17"/>
      <c r="BB46" s="17"/>
      <c r="BC46" s="17"/>
      <c r="BD46" s="17"/>
      <c r="BE46" s="17"/>
    </row>
    <row r="47" spans="1:57" s="7" customFormat="1" ht="15" customHeight="1" x14ac:dyDescent="0.35">
      <c r="A47" s="2" t="s">
        <v>52</v>
      </c>
      <c r="B47" s="22">
        <f>'2017-18_working'!B47</f>
        <v>4</v>
      </c>
      <c r="C47" s="22">
        <f>'2017-18_working'!C47</f>
        <v>16</v>
      </c>
      <c r="D47" s="22">
        <f>'2017-18_working'!D47</f>
        <v>4</v>
      </c>
      <c r="E47" s="22">
        <f>'2017-18_working'!E47</f>
        <v>0</v>
      </c>
      <c r="F47" s="22">
        <f>'2017-18_working'!F47+'2017-18_working'!G47</f>
        <v>0</v>
      </c>
      <c r="G47" s="22">
        <f>'2017-18_working'!H47</f>
        <v>0</v>
      </c>
      <c r="H47" s="23">
        <f t="shared" si="22"/>
        <v>30.083333333333332</v>
      </c>
      <c r="I47" s="22"/>
      <c r="J47" s="22">
        <f>'2017-18_working'!J47</f>
        <v>19</v>
      </c>
      <c r="K47" s="22">
        <f>'2017-18_working'!K47</f>
        <v>20</v>
      </c>
      <c r="L47" s="22">
        <f>'2017-18_working'!L47</f>
        <v>5</v>
      </c>
      <c r="M47" s="22">
        <f>'2017-18_working'!M47</f>
        <v>1</v>
      </c>
      <c r="N47" s="22">
        <f>'2017-18_working'!N47+'2017-18_working'!O47</f>
        <v>0</v>
      </c>
      <c r="O47" s="22">
        <f>'2017-18_working'!P47</f>
        <v>2</v>
      </c>
      <c r="P47" s="23">
        <f t="shared" si="28"/>
        <v>27.400000000000002</v>
      </c>
      <c r="Q47" s="22"/>
      <c r="R47" s="21">
        <f t="shared" si="29"/>
        <v>23</v>
      </c>
      <c r="S47" s="21">
        <f t="shared" si="30"/>
        <v>36</v>
      </c>
      <c r="T47" s="21">
        <f t="shared" si="31"/>
        <v>9</v>
      </c>
      <c r="U47" s="21">
        <f t="shared" si="32"/>
        <v>1</v>
      </c>
      <c r="V47" s="21">
        <f t="shared" si="33"/>
        <v>0</v>
      </c>
      <c r="W47" s="21">
        <f t="shared" si="34"/>
        <v>2</v>
      </c>
      <c r="X47" s="23">
        <f t="shared" si="35"/>
        <v>28.333333333333336</v>
      </c>
      <c r="Y47" s="22"/>
      <c r="Z47" s="22">
        <f>'2017-18_working'!R47</f>
        <v>0</v>
      </c>
      <c r="AA47" s="22">
        <f>'2017-18_working'!S47</f>
        <v>0</v>
      </c>
      <c r="AB47" s="22">
        <f>'2017-18_working'!T47</f>
        <v>0</v>
      </c>
      <c r="AC47" s="22">
        <f>'2017-18_working'!U47</f>
        <v>0</v>
      </c>
      <c r="AD47" s="22">
        <f>'2017-18_working'!V47+'2017-18_working'!W47</f>
        <v>0</v>
      </c>
      <c r="AE47" s="22">
        <f>'2017-18_working'!X47</f>
        <v>0</v>
      </c>
      <c r="AF47" s="23" t="str">
        <f t="shared" si="36"/>
        <v>-</v>
      </c>
      <c r="AG47" s="22"/>
      <c r="AH47" s="22">
        <f>'2017-18_working'!Z47</f>
        <v>1</v>
      </c>
      <c r="AI47" s="22">
        <f>'2017-18_working'!AA47</f>
        <v>1</v>
      </c>
      <c r="AJ47" s="22">
        <f>'2017-18_working'!AB47</f>
        <v>2</v>
      </c>
      <c r="AK47" s="22">
        <f>'2017-18_working'!AC47</f>
        <v>2</v>
      </c>
      <c r="AL47" s="22">
        <f>'2017-18_working'!AD47+'2017-18_working'!AE47</f>
        <v>4</v>
      </c>
      <c r="AM47" s="22">
        <f>'2017-18_working'!AF47</f>
        <v>0</v>
      </c>
      <c r="AN47" s="23">
        <f t="shared" si="37"/>
        <v>45.600000000000009</v>
      </c>
      <c r="AO47" s="22"/>
      <c r="AP47" s="21">
        <f t="shared" si="38"/>
        <v>24</v>
      </c>
      <c r="AQ47" s="21">
        <f t="shared" si="39"/>
        <v>37</v>
      </c>
      <c r="AR47" s="21">
        <f t="shared" si="40"/>
        <v>11</v>
      </c>
      <c r="AS47" s="21">
        <f t="shared" si="41"/>
        <v>3</v>
      </c>
      <c r="AT47" s="21">
        <f t="shared" si="42"/>
        <v>4</v>
      </c>
      <c r="AU47" s="21">
        <f t="shared" si="43"/>
        <v>2</v>
      </c>
      <c r="AV47" s="23">
        <f t="shared" si="44"/>
        <v>30.518987341772153</v>
      </c>
      <c r="AW47" s="17"/>
      <c r="AX47" s="19">
        <f t="shared" si="26"/>
        <v>81</v>
      </c>
      <c r="AY47" s="19">
        <v>81</v>
      </c>
      <c r="AZ47" s="18">
        <f t="shared" si="27"/>
        <v>0</v>
      </c>
      <c r="BA47" s="17"/>
      <c r="BB47" s="17"/>
      <c r="BC47" s="17"/>
      <c r="BD47" s="17"/>
      <c r="BE47" s="17"/>
    </row>
    <row r="48" spans="1:57" s="7" customFormat="1" ht="15" customHeight="1" x14ac:dyDescent="0.35">
      <c r="A48" s="2" t="s">
        <v>53</v>
      </c>
      <c r="B48" s="22">
        <f>'2017-18_working'!B48</f>
        <v>0</v>
      </c>
      <c r="C48" s="22">
        <f>'2017-18_working'!C48</f>
        <v>0</v>
      </c>
      <c r="D48" s="22">
        <f>'2017-18_working'!D48</f>
        <v>0</v>
      </c>
      <c r="E48" s="22">
        <f>'2017-18_working'!E48</f>
        <v>0</v>
      </c>
      <c r="F48" s="22">
        <f>'2017-18_working'!F48+'2017-18_working'!G48</f>
        <v>0</v>
      </c>
      <c r="G48" s="22">
        <f>'2017-18_working'!H48</f>
        <v>0</v>
      </c>
      <c r="H48" s="23" t="str">
        <f t="shared" si="22"/>
        <v>-</v>
      </c>
      <c r="I48" s="22"/>
      <c r="J48" s="22">
        <f>'2017-18_working'!J48</f>
        <v>0</v>
      </c>
      <c r="K48" s="22">
        <f>'2017-18_working'!K48</f>
        <v>1</v>
      </c>
      <c r="L48" s="22">
        <f>'2017-18_working'!L48</f>
        <v>1</v>
      </c>
      <c r="M48" s="22">
        <f>'2017-18_working'!M48</f>
        <v>0</v>
      </c>
      <c r="N48" s="22">
        <f>'2017-18_working'!N48+'2017-18_working'!O48</f>
        <v>0</v>
      </c>
      <c r="O48" s="22">
        <f>'2017-18_working'!P48</f>
        <v>0</v>
      </c>
      <c r="P48" s="23">
        <f t="shared" si="28"/>
        <v>35.25</v>
      </c>
      <c r="Q48" s="22"/>
      <c r="R48" s="21">
        <f t="shared" si="29"/>
        <v>0</v>
      </c>
      <c r="S48" s="21">
        <f t="shared" si="30"/>
        <v>1</v>
      </c>
      <c r="T48" s="21">
        <f t="shared" si="31"/>
        <v>1</v>
      </c>
      <c r="U48" s="21">
        <f t="shared" si="32"/>
        <v>0</v>
      </c>
      <c r="V48" s="21">
        <f t="shared" si="33"/>
        <v>0</v>
      </c>
      <c r="W48" s="21">
        <f t="shared" si="34"/>
        <v>0</v>
      </c>
      <c r="X48" s="23">
        <f t="shared" si="35"/>
        <v>35.25</v>
      </c>
      <c r="Y48" s="22"/>
      <c r="Z48" s="22">
        <f>'2017-18_working'!R48</f>
        <v>0</v>
      </c>
      <c r="AA48" s="22">
        <f>'2017-18_working'!S48</f>
        <v>0</v>
      </c>
      <c r="AB48" s="22">
        <f>'2017-18_working'!T48</f>
        <v>0</v>
      </c>
      <c r="AC48" s="22">
        <f>'2017-18_working'!U48</f>
        <v>0</v>
      </c>
      <c r="AD48" s="22">
        <f>'2017-18_working'!V48+'2017-18_working'!W48</f>
        <v>0</v>
      </c>
      <c r="AE48" s="22">
        <f>'2017-18_working'!X48</f>
        <v>0</v>
      </c>
      <c r="AF48" s="23" t="str">
        <f t="shared" si="36"/>
        <v>-</v>
      </c>
      <c r="AG48" s="22"/>
      <c r="AH48" s="22">
        <f>'2017-18_working'!Z48</f>
        <v>0</v>
      </c>
      <c r="AI48" s="22">
        <f>'2017-18_working'!AA48</f>
        <v>0</v>
      </c>
      <c r="AJ48" s="22">
        <f>'2017-18_working'!AB48</f>
        <v>0</v>
      </c>
      <c r="AK48" s="22">
        <f>'2017-18_working'!AC48</f>
        <v>0</v>
      </c>
      <c r="AL48" s="22">
        <f>'2017-18_working'!AD48+'2017-18_working'!AE48</f>
        <v>0</v>
      </c>
      <c r="AM48" s="22">
        <f>'2017-18_working'!AF48</f>
        <v>0</v>
      </c>
      <c r="AN48" s="23" t="str">
        <f t="shared" si="37"/>
        <v>-</v>
      </c>
      <c r="AO48" s="22"/>
      <c r="AP48" s="21">
        <f t="shared" si="38"/>
        <v>0</v>
      </c>
      <c r="AQ48" s="21">
        <f t="shared" si="39"/>
        <v>1</v>
      </c>
      <c r="AR48" s="21">
        <f t="shared" si="40"/>
        <v>1</v>
      </c>
      <c r="AS48" s="21">
        <f t="shared" si="41"/>
        <v>0</v>
      </c>
      <c r="AT48" s="21">
        <f t="shared" si="42"/>
        <v>0</v>
      </c>
      <c r="AU48" s="21">
        <f t="shared" si="43"/>
        <v>0</v>
      </c>
      <c r="AV48" s="23">
        <f t="shared" si="44"/>
        <v>35.25</v>
      </c>
      <c r="AW48" s="17"/>
      <c r="AX48" s="19">
        <f t="shared" si="26"/>
        <v>2</v>
      </c>
      <c r="AY48" s="19">
        <v>2</v>
      </c>
      <c r="AZ48" s="18">
        <f t="shared" si="27"/>
        <v>0</v>
      </c>
      <c r="BA48" s="17"/>
      <c r="BB48" s="17"/>
      <c r="BC48" s="17"/>
      <c r="BD48" s="17"/>
      <c r="BE48" s="17"/>
    </row>
    <row r="49" spans="1:57" s="7" customFormat="1" ht="15" customHeight="1" x14ac:dyDescent="0.35">
      <c r="A49" s="20" t="s">
        <v>54</v>
      </c>
      <c r="B49" s="21">
        <f>SUM(B50:B56)</f>
        <v>99</v>
      </c>
      <c r="C49" s="21">
        <f t="shared" ref="C49:G49" si="45">SUM(C50:C56)</f>
        <v>273</v>
      </c>
      <c r="D49" s="21">
        <f t="shared" si="45"/>
        <v>57</v>
      </c>
      <c r="E49" s="21">
        <f t="shared" si="45"/>
        <v>10</v>
      </c>
      <c r="F49" s="21">
        <f t="shared" si="45"/>
        <v>1</v>
      </c>
      <c r="G49" s="21">
        <f t="shared" si="45"/>
        <v>0</v>
      </c>
      <c r="H49" s="23">
        <f t="shared" si="22"/>
        <v>29.635227272727274</v>
      </c>
      <c r="I49" s="21"/>
      <c r="J49" s="21">
        <f>SUM(J50:J56)</f>
        <v>10</v>
      </c>
      <c r="K49" s="21">
        <f t="shared" ref="K49:O49" si="46">SUM(K50:K56)</f>
        <v>27</v>
      </c>
      <c r="L49" s="21">
        <f t="shared" si="46"/>
        <v>11</v>
      </c>
      <c r="M49" s="21">
        <f t="shared" si="46"/>
        <v>7</v>
      </c>
      <c r="N49" s="21">
        <f t="shared" si="46"/>
        <v>0</v>
      </c>
      <c r="O49" s="21">
        <f t="shared" si="46"/>
        <v>0</v>
      </c>
      <c r="P49" s="23">
        <f t="shared" si="28"/>
        <v>32.890909090909091</v>
      </c>
      <c r="Q49" s="21"/>
      <c r="R49" s="21">
        <f t="shared" si="29"/>
        <v>109</v>
      </c>
      <c r="S49" s="21">
        <f t="shared" si="30"/>
        <v>300</v>
      </c>
      <c r="T49" s="21">
        <f t="shared" si="31"/>
        <v>68</v>
      </c>
      <c r="U49" s="21">
        <f t="shared" si="32"/>
        <v>17</v>
      </c>
      <c r="V49" s="21">
        <f t="shared" si="33"/>
        <v>1</v>
      </c>
      <c r="W49" s="21">
        <f t="shared" si="34"/>
        <v>0</v>
      </c>
      <c r="X49" s="23">
        <f t="shared" si="35"/>
        <v>29.996969696969696</v>
      </c>
      <c r="Y49" s="21"/>
      <c r="Z49" s="21">
        <f>SUM(Z50:Z56)</f>
        <v>5</v>
      </c>
      <c r="AA49" s="21">
        <f t="shared" ref="AA49:AE49" si="47">SUM(AA50:AA56)</f>
        <v>17</v>
      </c>
      <c r="AB49" s="21">
        <f t="shared" si="47"/>
        <v>8</v>
      </c>
      <c r="AC49" s="21">
        <f t="shared" si="47"/>
        <v>3</v>
      </c>
      <c r="AD49" s="21">
        <f t="shared" si="47"/>
        <v>0</v>
      </c>
      <c r="AE49" s="21">
        <f t="shared" si="47"/>
        <v>0</v>
      </c>
      <c r="AF49" s="23">
        <f t="shared" si="36"/>
        <v>32.893939393939398</v>
      </c>
      <c r="AG49" s="21"/>
      <c r="AH49" s="21">
        <f>SUM(AH50:AH56)</f>
        <v>53</v>
      </c>
      <c r="AI49" s="21">
        <f t="shared" ref="AI49:AM49" si="48">SUM(AI50:AI56)</f>
        <v>100</v>
      </c>
      <c r="AJ49" s="21">
        <f t="shared" si="48"/>
        <v>66</v>
      </c>
      <c r="AK49" s="21">
        <f t="shared" si="48"/>
        <v>60</v>
      </c>
      <c r="AL49" s="21">
        <f t="shared" si="48"/>
        <v>23</v>
      </c>
      <c r="AM49" s="21">
        <f t="shared" si="48"/>
        <v>0</v>
      </c>
      <c r="AN49" s="23">
        <f t="shared" si="37"/>
        <v>36.592715231788077</v>
      </c>
      <c r="AO49" s="21"/>
      <c r="AP49" s="21">
        <f t="shared" si="38"/>
        <v>167</v>
      </c>
      <c r="AQ49" s="21">
        <f t="shared" si="39"/>
        <v>417</v>
      </c>
      <c r="AR49" s="21">
        <f t="shared" si="40"/>
        <v>142</v>
      </c>
      <c r="AS49" s="21">
        <f t="shared" si="41"/>
        <v>80</v>
      </c>
      <c r="AT49" s="21">
        <f t="shared" si="42"/>
        <v>24</v>
      </c>
      <c r="AU49" s="21">
        <f t="shared" si="43"/>
        <v>0</v>
      </c>
      <c r="AV49" s="23">
        <f t="shared" si="44"/>
        <v>32.512048192771083</v>
      </c>
      <c r="AW49" s="17"/>
      <c r="AX49" s="19">
        <f t="shared" si="26"/>
        <v>830</v>
      </c>
      <c r="AY49" s="19">
        <v>830</v>
      </c>
      <c r="AZ49" s="18">
        <f t="shared" si="27"/>
        <v>0</v>
      </c>
      <c r="BA49" s="17"/>
      <c r="BB49" s="17"/>
      <c r="BC49" s="17"/>
      <c r="BD49" s="17"/>
      <c r="BE49" s="17"/>
    </row>
    <row r="50" spans="1:57" s="7" customFormat="1" ht="15" customHeight="1" x14ac:dyDescent="0.35">
      <c r="A50" s="2" t="s">
        <v>55</v>
      </c>
      <c r="B50" s="22">
        <f>'2017-18_working'!B50</f>
        <v>11</v>
      </c>
      <c r="C50" s="22">
        <f>'2017-18_working'!C50</f>
        <v>35</v>
      </c>
      <c r="D50" s="22">
        <f>'2017-18_working'!D50</f>
        <v>9</v>
      </c>
      <c r="E50" s="22">
        <f>'2017-18_working'!E50</f>
        <v>0</v>
      </c>
      <c r="F50" s="22">
        <f>'2017-18_working'!F50+'2017-18_working'!G50</f>
        <v>0</v>
      </c>
      <c r="G50" s="22">
        <f>'2017-18_working'!H50</f>
        <v>0</v>
      </c>
      <c r="H50" s="23">
        <f t="shared" si="22"/>
        <v>29.718181818181819</v>
      </c>
      <c r="I50" s="22"/>
      <c r="J50" s="22">
        <f>'2017-18_working'!J50</f>
        <v>0</v>
      </c>
      <c r="K50" s="22">
        <f>'2017-18_working'!K50</f>
        <v>0</v>
      </c>
      <c r="L50" s="22">
        <f>'2017-18_working'!L50</f>
        <v>0</v>
      </c>
      <c r="M50" s="22">
        <f>'2017-18_working'!M50</f>
        <v>0</v>
      </c>
      <c r="N50" s="22">
        <f>'2017-18_working'!N50+'2017-18_working'!O50</f>
        <v>0</v>
      </c>
      <c r="O50" s="22">
        <f>'2017-18_working'!P50</f>
        <v>0</v>
      </c>
      <c r="P50" s="23" t="str">
        <f t="shared" si="28"/>
        <v>-</v>
      </c>
      <c r="Q50" s="22"/>
      <c r="R50" s="21">
        <f t="shared" si="29"/>
        <v>11</v>
      </c>
      <c r="S50" s="21">
        <f t="shared" si="30"/>
        <v>35</v>
      </c>
      <c r="T50" s="21">
        <f t="shared" si="31"/>
        <v>9</v>
      </c>
      <c r="U50" s="21">
        <f t="shared" si="32"/>
        <v>0</v>
      </c>
      <c r="V50" s="21">
        <f t="shared" si="33"/>
        <v>0</v>
      </c>
      <c r="W50" s="21">
        <f t="shared" si="34"/>
        <v>0</v>
      </c>
      <c r="X50" s="23">
        <f t="shared" si="35"/>
        <v>29.718181818181819</v>
      </c>
      <c r="Y50" s="22"/>
      <c r="Z50" s="22">
        <f>'2017-18_working'!R50</f>
        <v>0</v>
      </c>
      <c r="AA50" s="22">
        <f>'2017-18_working'!S50</f>
        <v>0</v>
      </c>
      <c r="AB50" s="22">
        <f>'2017-18_working'!T50</f>
        <v>0</v>
      </c>
      <c r="AC50" s="22">
        <f>'2017-18_working'!U50</f>
        <v>0</v>
      </c>
      <c r="AD50" s="22">
        <f>'2017-18_working'!V50+'2017-18_working'!W50</f>
        <v>0</v>
      </c>
      <c r="AE50" s="22">
        <f>'2017-18_working'!X50</f>
        <v>0</v>
      </c>
      <c r="AF50" s="23" t="str">
        <f t="shared" si="36"/>
        <v>-</v>
      </c>
      <c r="AG50" s="22"/>
      <c r="AH50" s="22">
        <f>'2017-18_working'!Z50</f>
        <v>16</v>
      </c>
      <c r="AI50" s="22">
        <f>'2017-18_working'!AA50</f>
        <v>27</v>
      </c>
      <c r="AJ50" s="22">
        <f>'2017-18_working'!AB50</f>
        <v>16</v>
      </c>
      <c r="AK50" s="22">
        <f>'2017-18_working'!AC50</f>
        <v>17</v>
      </c>
      <c r="AL50" s="22">
        <f>'2017-18_working'!AD50+'2017-18_working'!AE50</f>
        <v>4</v>
      </c>
      <c r="AM50" s="22">
        <f>'2017-18_working'!AF50</f>
        <v>0</v>
      </c>
      <c r="AN50" s="23">
        <f t="shared" si="37"/>
        <v>35.756249999999994</v>
      </c>
      <c r="AO50" s="22"/>
      <c r="AP50" s="21">
        <f t="shared" si="38"/>
        <v>27</v>
      </c>
      <c r="AQ50" s="21">
        <f t="shared" si="39"/>
        <v>62</v>
      </c>
      <c r="AR50" s="21">
        <f t="shared" si="40"/>
        <v>25</v>
      </c>
      <c r="AS50" s="21">
        <f t="shared" si="41"/>
        <v>17</v>
      </c>
      <c r="AT50" s="21">
        <f t="shared" si="42"/>
        <v>4</v>
      </c>
      <c r="AU50" s="21">
        <f t="shared" si="43"/>
        <v>0</v>
      </c>
      <c r="AV50" s="23">
        <f t="shared" si="44"/>
        <v>33.296296296296298</v>
      </c>
      <c r="AW50" s="17"/>
      <c r="AX50" s="19">
        <f t="shared" si="26"/>
        <v>135</v>
      </c>
      <c r="AY50" s="19">
        <v>135</v>
      </c>
      <c r="AZ50" s="18">
        <f t="shared" si="27"/>
        <v>0</v>
      </c>
      <c r="BA50" s="17"/>
      <c r="BB50" s="17"/>
      <c r="BC50" s="17"/>
      <c r="BD50" s="17"/>
      <c r="BE50" s="17"/>
    </row>
    <row r="51" spans="1:57" s="7" customFormat="1" ht="15" customHeight="1" x14ac:dyDescent="0.35">
      <c r="A51" s="2" t="s">
        <v>56</v>
      </c>
      <c r="B51" s="22">
        <f>'2017-18_working'!B51</f>
        <v>7</v>
      </c>
      <c r="C51" s="22">
        <f>'2017-18_working'!C51</f>
        <v>21</v>
      </c>
      <c r="D51" s="22">
        <f>'2017-18_working'!D51</f>
        <v>4</v>
      </c>
      <c r="E51" s="22">
        <f>'2017-18_working'!E51</f>
        <v>0</v>
      </c>
      <c r="F51" s="22">
        <f>'2017-18_working'!F51+'2017-18_working'!G51</f>
        <v>0</v>
      </c>
      <c r="G51" s="22">
        <f>'2017-18_working'!H51</f>
        <v>0</v>
      </c>
      <c r="H51" s="23">
        <f t="shared" si="22"/>
        <v>29.125</v>
      </c>
      <c r="I51" s="22"/>
      <c r="J51" s="22">
        <f>'2017-18_working'!J51</f>
        <v>4</v>
      </c>
      <c r="K51" s="22">
        <f>'2017-18_working'!K51</f>
        <v>11</v>
      </c>
      <c r="L51" s="22">
        <f>'2017-18_working'!L51</f>
        <v>1</v>
      </c>
      <c r="M51" s="22">
        <f>'2017-18_working'!M51</f>
        <v>0</v>
      </c>
      <c r="N51" s="22">
        <f>'2017-18_working'!N51+'2017-18_working'!O51</f>
        <v>0</v>
      </c>
      <c r="O51" s="22">
        <f>'2017-18_working'!P51</f>
        <v>0</v>
      </c>
      <c r="P51" s="23">
        <f t="shared" si="28"/>
        <v>28.15625</v>
      </c>
      <c r="Q51" s="22"/>
      <c r="R51" s="21">
        <f t="shared" si="29"/>
        <v>11</v>
      </c>
      <c r="S51" s="21">
        <f t="shared" si="30"/>
        <v>32</v>
      </c>
      <c r="T51" s="21">
        <f t="shared" si="31"/>
        <v>5</v>
      </c>
      <c r="U51" s="21">
        <f t="shared" si="32"/>
        <v>0</v>
      </c>
      <c r="V51" s="21">
        <f t="shared" si="33"/>
        <v>0</v>
      </c>
      <c r="W51" s="21">
        <f t="shared" si="34"/>
        <v>0</v>
      </c>
      <c r="X51" s="23">
        <f t="shared" si="35"/>
        <v>28.802083333333332</v>
      </c>
      <c r="Y51" s="22"/>
      <c r="Z51" s="22">
        <f>'2017-18_working'!R51</f>
        <v>1</v>
      </c>
      <c r="AA51" s="22">
        <f>'2017-18_working'!S51</f>
        <v>4</v>
      </c>
      <c r="AB51" s="22">
        <f>'2017-18_working'!T51</f>
        <v>2</v>
      </c>
      <c r="AC51" s="22">
        <f>'2017-18_working'!U51</f>
        <v>0</v>
      </c>
      <c r="AD51" s="22">
        <f>'2017-18_working'!V51+'2017-18_working'!W51</f>
        <v>0</v>
      </c>
      <c r="AE51" s="22">
        <f>'2017-18_working'!X51</f>
        <v>0</v>
      </c>
      <c r="AF51" s="23">
        <f t="shared" si="36"/>
        <v>31.571428571428569</v>
      </c>
      <c r="AG51" s="22"/>
      <c r="AH51" s="22">
        <f>'2017-18_working'!Z51</f>
        <v>12</v>
      </c>
      <c r="AI51" s="22">
        <f>'2017-18_working'!AA51</f>
        <v>1</v>
      </c>
      <c r="AJ51" s="22">
        <f>'2017-18_working'!AB51</f>
        <v>1</v>
      </c>
      <c r="AK51" s="22">
        <f>'2017-18_working'!AC51</f>
        <v>2</v>
      </c>
      <c r="AL51" s="22">
        <f>'2017-18_working'!AD51+'2017-18_working'!AE51</f>
        <v>1</v>
      </c>
      <c r="AM51" s="22">
        <f>'2017-18_working'!AF51</f>
        <v>0</v>
      </c>
      <c r="AN51" s="23">
        <f t="shared" si="37"/>
        <v>27.5</v>
      </c>
      <c r="AO51" s="22"/>
      <c r="AP51" s="21">
        <f t="shared" si="38"/>
        <v>24</v>
      </c>
      <c r="AQ51" s="21">
        <f t="shared" si="39"/>
        <v>37</v>
      </c>
      <c r="AR51" s="21">
        <f t="shared" si="40"/>
        <v>8</v>
      </c>
      <c r="AS51" s="21">
        <f t="shared" si="41"/>
        <v>2</v>
      </c>
      <c r="AT51" s="21">
        <f t="shared" si="42"/>
        <v>1</v>
      </c>
      <c r="AU51" s="21">
        <f t="shared" si="43"/>
        <v>0</v>
      </c>
      <c r="AV51" s="23">
        <f t="shared" si="44"/>
        <v>28.763888888888886</v>
      </c>
      <c r="AW51" s="17"/>
      <c r="AX51" s="19">
        <f t="shared" si="26"/>
        <v>72</v>
      </c>
      <c r="AY51" s="19">
        <v>72</v>
      </c>
      <c r="AZ51" s="18">
        <f t="shared" si="27"/>
        <v>0</v>
      </c>
      <c r="BA51" s="17"/>
      <c r="BB51" s="17"/>
      <c r="BC51" s="17"/>
      <c r="BD51" s="17"/>
      <c r="BE51" s="17"/>
    </row>
    <row r="52" spans="1:57" s="7" customFormat="1" ht="15" customHeight="1" x14ac:dyDescent="0.35">
      <c r="A52" s="2" t="s">
        <v>57</v>
      </c>
      <c r="B52" s="22">
        <f>'2017-18_working'!B52</f>
        <v>0</v>
      </c>
      <c r="C52" s="22">
        <f>'2017-18_working'!C52</f>
        <v>17</v>
      </c>
      <c r="D52" s="22">
        <f>'2017-18_working'!D52</f>
        <v>11</v>
      </c>
      <c r="E52" s="22">
        <f>'2017-18_working'!E52</f>
        <v>4</v>
      </c>
      <c r="F52" s="22">
        <f>'2017-18_working'!F52+'2017-18_working'!G52</f>
        <v>0</v>
      </c>
      <c r="G52" s="22">
        <f>'2017-18_working'!H52</f>
        <v>0</v>
      </c>
      <c r="H52" s="23">
        <f t="shared" si="22"/>
        <v>36.171875</v>
      </c>
      <c r="I52" s="22"/>
      <c r="J52" s="22">
        <f>'2017-18_working'!J52</f>
        <v>2</v>
      </c>
      <c r="K52" s="22">
        <f>'2017-18_working'!K52</f>
        <v>9</v>
      </c>
      <c r="L52" s="22">
        <f>'2017-18_working'!L52</f>
        <v>9</v>
      </c>
      <c r="M52" s="22">
        <f>'2017-18_working'!M52</f>
        <v>6</v>
      </c>
      <c r="N52" s="22">
        <f>'2017-18_working'!N52+'2017-18_working'!O52</f>
        <v>0</v>
      </c>
      <c r="O52" s="22">
        <f>'2017-18_working'!P52</f>
        <v>0</v>
      </c>
      <c r="P52" s="23">
        <f t="shared" si="28"/>
        <v>37.596153846153847</v>
      </c>
      <c r="Q52" s="22"/>
      <c r="R52" s="21">
        <f t="shared" si="29"/>
        <v>2</v>
      </c>
      <c r="S52" s="21">
        <f t="shared" si="30"/>
        <v>26</v>
      </c>
      <c r="T52" s="21">
        <f t="shared" si="31"/>
        <v>20</v>
      </c>
      <c r="U52" s="21">
        <f t="shared" si="32"/>
        <v>10</v>
      </c>
      <c r="V52" s="21">
        <f t="shared" si="33"/>
        <v>0</v>
      </c>
      <c r="W52" s="21">
        <f t="shared" si="34"/>
        <v>0</v>
      </c>
      <c r="X52" s="23">
        <f t="shared" si="35"/>
        <v>36.810344827586206</v>
      </c>
      <c r="Y52" s="22"/>
      <c r="Z52" s="22">
        <f>'2017-18_working'!R52</f>
        <v>2</v>
      </c>
      <c r="AA52" s="22">
        <f>'2017-18_working'!S52</f>
        <v>1</v>
      </c>
      <c r="AB52" s="22">
        <f>'2017-18_working'!T52</f>
        <v>0</v>
      </c>
      <c r="AC52" s="22">
        <f>'2017-18_working'!U52</f>
        <v>0</v>
      </c>
      <c r="AD52" s="22">
        <f>'2017-18_working'!V52+'2017-18_working'!W52</f>
        <v>0</v>
      </c>
      <c r="AE52" s="22">
        <f>'2017-18_working'!X52</f>
        <v>0</v>
      </c>
      <c r="AF52" s="23">
        <f t="shared" si="36"/>
        <v>23.333333333333332</v>
      </c>
      <c r="AG52" s="22"/>
      <c r="AH52" s="22">
        <f>'2017-18_working'!Z52</f>
        <v>12</v>
      </c>
      <c r="AI52" s="22">
        <f>'2017-18_working'!AA52</f>
        <v>11</v>
      </c>
      <c r="AJ52" s="22">
        <f>'2017-18_working'!AB52</f>
        <v>6</v>
      </c>
      <c r="AK52" s="22">
        <f>'2017-18_working'!AC52</f>
        <v>6</v>
      </c>
      <c r="AL52" s="22">
        <f>'2017-18_working'!AD52+'2017-18_working'!AE52</f>
        <v>2</v>
      </c>
      <c r="AM52" s="22">
        <f>'2017-18_working'!AF52</f>
        <v>0</v>
      </c>
      <c r="AN52" s="23">
        <f t="shared" si="37"/>
        <v>33.189189189189193</v>
      </c>
      <c r="AO52" s="22"/>
      <c r="AP52" s="21">
        <f t="shared" si="38"/>
        <v>16</v>
      </c>
      <c r="AQ52" s="21">
        <f t="shared" si="39"/>
        <v>38</v>
      </c>
      <c r="AR52" s="21">
        <f t="shared" si="40"/>
        <v>26</v>
      </c>
      <c r="AS52" s="21">
        <f t="shared" si="41"/>
        <v>16</v>
      </c>
      <c r="AT52" s="21">
        <f t="shared" si="42"/>
        <v>2</v>
      </c>
      <c r="AU52" s="21">
        <f t="shared" si="43"/>
        <v>0</v>
      </c>
      <c r="AV52" s="23">
        <f t="shared" si="44"/>
        <v>35.030612244897966</v>
      </c>
      <c r="AW52" s="17"/>
      <c r="AX52" s="19">
        <f t="shared" si="26"/>
        <v>98</v>
      </c>
      <c r="AY52" s="19">
        <v>98</v>
      </c>
      <c r="AZ52" s="18">
        <f t="shared" si="27"/>
        <v>0</v>
      </c>
      <c r="BA52" s="17"/>
      <c r="BB52" s="17"/>
      <c r="BC52" s="17"/>
      <c r="BD52" s="17"/>
      <c r="BE52" s="17"/>
    </row>
    <row r="53" spans="1:57" s="7" customFormat="1" ht="15" customHeight="1" x14ac:dyDescent="0.35">
      <c r="A53" s="2" t="s">
        <v>58</v>
      </c>
      <c r="B53" s="22">
        <f>'2017-18_working'!B53</f>
        <v>0</v>
      </c>
      <c r="C53" s="22">
        <f>'2017-18_working'!C53</f>
        <v>3</v>
      </c>
      <c r="D53" s="22">
        <f>'2017-18_working'!D53</f>
        <v>2</v>
      </c>
      <c r="E53" s="22">
        <f>'2017-18_working'!E53</f>
        <v>0</v>
      </c>
      <c r="F53" s="22">
        <f>'2017-18_working'!F53+'2017-18_working'!G53</f>
        <v>1</v>
      </c>
      <c r="G53" s="22">
        <f>'2017-18_working'!H53</f>
        <v>0</v>
      </c>
      <c r="H53" s="23">
        <f t="shared" si="22"/>
        <v>37.833333333333329</v>
      </c>
      <c r="I53" s="22"/>
      <c r="J53" s="22">
        <f>'2017-18_working'!J53</f>
        <v>3</v>
      </c>
      <c r="K53" s="22">
        <f>'2017-18_working'!K53</f>
        <v>3</v>
      </c>
      <c r="L53" s="22">
        <f>'2017-18_working'!L53</f>
        <v>0</v>
      </c>
      <c r="M53" s="22">
        <f>'2017-18_working'!M53</f>
        <v>0</v>
      </c>
      <c r="N53" s="22">
        <f>'2017-18_working'!N53+'2017-18_working'!O53</f>
        <v>0</v>
      </c>
      <c r="O53" s="22">
        <f>'2017-18_working'!P53</f>
        <v>0</v>
      </c>
      <c r="P53" s="23">
        <f t="shared" si="28"/>
        <v>25</v>
      </c>
      <c r="Q53" s="22"/>
      <c r="R53" s="21">
        <f t="shared" si="29"/>
        <v>3</v>
      </c>
      <c r="S53" s="21">
        <f t="shared" si="30"/>
        <v>6</v>
      </c>
      <c r="T53" s="21">
        <f t="shared" si="31"/>
        <v>2</v>
      </c>
      <c r="U53" s="21">
        <f t="shared" si="32"/>
        <v>0</v>
      </c>
      <c r="V53" s="21">
        <f t="shared" si="33"/>
        <v>1</v>
      </c>
      <c r="W53" s="21">
        <f t="shared" si="34"/>
        <v>0</v>
      </c>
      <c r="X53" s="23">
        <f t="shared" si="35"/>
        <v>31.416666666666664</v>
      </c>
      <c r="Y53" s="22"/>
      <c r="Z53" s="22">
        <f>'2017-18_working'!R53</f>
        <v>0</v>
      </c>
      <c r="AA53" s="22">
        <f>'2017-18_working'!S53</f>
        <v>0</v>
      </c>
      <c r="AB53" s="22">
        <f>'2017-18_working'!T53</f>
        <v>1</v>
      </c>
      <c r="AC53" s="22">
        <f>'2017-18_working'!U53</f>
        <v>0</v>
      </c>
      <c r="AD53" s="22">
        <f>'2017-18_working'!V53+'2017-18_working'!W53</f>
        <v>0</v>
      </c>
      <c r="AE53" s="22">
        <f>'2017-18_working'!X53</f>
        <v>0</v>
      </c>
      <c r="AF53" s="23">
        <f t="shared" si="36"/>
        <v>40.5</v>
      </c>
      <c r="AG53" s="22"/>
      <c r="AH53" s="22">
        <f>'2017-18_working'!Z53</f>
        <v>1</v>
      </c>
      <c r="AI53" s="22">
        <f>'2017-18_working'!AA53</f>
        <v>9</v>
      </c>
      <c r="AJ53" s="22">
        <f>'2017-18_working'!AB53</f>
        <v>8</v>
      </c>
      <c r="AK53" s="22">
        <f>'2017-18_working'!AC53</f>
        <v>3</v>
      </c>
      <c r="AL53" s="22">
        <f>'2017-18_working'!AD53+'2017-18_working'!AE53</f>
        <v>4</v>
      </c>
      <c r="AM53" s="22">
        <f>'2017-18_working'!AF53</f>
        <v>0</v>
      </c>
      <c r="AN53" s="23">
        <f t="shared" si="37"/>
        <v>39.58</v>
      </c>
      <c r="AO53" s="22"/>
      <c r="AP53" s="21">
        <f t="shared" si="38"/>
        <v>4</v>
      </c>
      <c r="AQ53" s="21">
        <f t="shared" si="39"/>
        <v>15</v>
      </c>
      <c r="AR53" s="21">
        <f t="shared" si="40"/>
        <v>11</v>
      </c>
      <c r="AS53" s="21">
        <f t="shared" si="41"/>
        <v>3</v>
      </c>
      <c r="AT53" s="21">
        <f t="shared" si="42"/>
        <v>5</v>
      </c>
      <c r="AU53" s="21">
        <f t="shared" si="43"/>
        <v>0</v>
      </c>
      <c r="AV53" s="23">
        <f t="shared" si="44"/>
        <v>37.026315789473685</v>
      </c>
      <c r="AW53" s="17"/>
      <c r="AX53" s="19">
        <f t="shared" si="26"/>
        <v>38</v>
      </c>
      <c r="AY53" s="19">
        <v>38</v>
      </c>
      <c r="AZ53" s="18">
        <f t="shared" si="27"/>
        <v>0</v>
      </c>
      <c r="BA53" s="17"/>
      <c r="BB53" s="17"/>
      <c r="BC53" s="17"/>
      <c r="BD53" s="17"/>
      <c r="BE53" s="17"/>
    </row>
    <row r="54" spans="1:57" s="7" customFormat="1" ht="15" customHeight="1" x14ac:dyDescent="0.35">
      <c r="A54" s="2" t="s">
        <v>59</v>
      </c>
      <c r="B54" s="22">
        <f>'2017-18_working'!B54</f>
        <v>29</v>
      </c>
      <c r="C54" s="22">
        <f>'2017-18_working'!C54</f>
        <v>40</v>
      </c>
      <c r="D54" s="22">
        <f>'2017-18_working'!D54</f>
        <v>4</v>
      </c>
      <c r="E54" s="22">
        <f>'2017-18_working'!E54</f>
        <v>0</v>
      </c>
      <c r="F54" s="22">
        <f>'2017-18_working'!F54+'2017-18_working'!G54</f>
        <v>0</v>
      </c>
      <c r="G54" s="22">
        <f>'2017-18_working'!H54</f>
        <v>0</v>
      </c>
      <c r="H54" s="23">
        <f t="shared" si="22"/>
        <v>26.602739726027394</v>
      </c>
      <c r="I54" s="22"/>
      <c r="J54" s="22">
        <f>'2017-18_working'!J54</f>
        <v>0</v>
      </c>
      <c r="K54" s="22">
        <f>'2017-18_working'!K54</f>
        <v>0</v>
      </c>
      <c r="L54" s="22">
        <f>'2017-18_working'!L54</f>
        <v>0</v>
      </c>
      <c r="M54" s="22">
        <f>'2017-18_working'!M54</f>
        <v>0</v>
      </c>
      <c r="N54" s="22">
        <f>'2017-18_working'!N54+'2017-18_working'!O54</f>
        <v>0</v>
      </c>
      <c r="O54" s="22">
        <f>'2017-18_working'!P54</f>
        <v>0</v>
      </c>
      <c r="P54" s="23" t="str">
        <f t="shared" si="28"/>
        <v>-</v>
      </c>
      <c r="Q54" s="22"/>
      <c r="R54" s="21">
        <f t="shared" si="29"/>
        <v>29</v>
      </c>
      <c r="S54" s="21">
        <f t="shared" si="30"/>
        <v>40</v>
      </c>
      <c r="T54" s="21">
        <f t="shared" si="31"/>
        <v>4</v>
      </c>
      <c r="U54" s="21">
        <f t="shared" si="32"/>
        <v>0</v>
      </c>
      <c r="V54" s="21">
        <f t="shared" si="33"/>
        <v>0</v>
      </c>
      <c r="W54" s="21">
        <f t="shared" si="34"/>
        <v>0</v>
      </c>
      <c r="X54" s="23">
        <f t="shared" si="35"/>
        <v>26.602739726027394</v>
      </c>
      <c r="Y54" s="22"/>
      <c r="Z54" s="22">
        <f>'2017-18_working'!R54</f>
        <v>0</v>
      </c>
      <c r="AA54" s="22">
        <f>'2017-18_working'!S54</f>
        <v>1</v>
      </c>
      <c r="AB54" s="22">
        <f>'2017-18_working'!T54</f>
        <v>1</v>
      </c>
      <c r="AC54" s="22">
        <f>'2017-18_working'!U54</f>
        <v>0</v>
      </c>
      <c r="AD54" s="22">
        <f>'2017-18_working'!V54+'2017-18_working'!W54</f>
        <v>0</v>
      </c>
      <c r="AE54" s="22">
        <f>'2017-18_working'!X54</f>
        <v>0</v>
      </c>
      <c r="AF54" s="23">
        <f t="shared" si="36"/>
        <v>35.25</v>
      </c>
      <c r="AG54" s="22"/>
      <c r="AH54" s="22">
        <f>'2017-18_working'!Z54</f>
        <v>3</v>
      </c>
      <c r="AI54" s="22">
        <f>'2017-18_working'!AA54</f>
        <v>5</v>
      </c>
      <c r="AJ54" s="22">
        <f>'2017-18_working'!AB54</f>
        <v>5</v>
      </c>
      <c r="AK54" s="22">
        <f>'2017-18_working'!AC54</f>
        <v>6</v>
      </c>
      <c r="AL54" s="22">
        <f>'2017-18_working'!AD54+'2017-18_working'!AE54</f>
        <v>0</v>
      </c>
      <c r="AM54" s="22">
        <f>'2017-18_working'!AF54</f>
        <v>0</v>
      </c>
      <c r="AN54" s="23">
        <f t="shared" si="37"/>
        <v>37.657894736842103</v>
      </c>
      <c r="AO54" s="22"/>
      <c r="AP54" s="21">
        <f t="shared" si="38"/>
        <v>32</v>
      </c>
      <c r="AQ54" s="21">
        <f t="shared" si="39"/>
        <v>46</v>
      </c>
      <c r="AR54" s="21">
        <f t="shared" si="40"/>
        <v>10</v>
      </c>
      <c r="AS54" s="21">
        <f t="shared" si="41"/>
        <v>6</v>
      </c>
      <c r="AT54" s="21">
        <f t="shared" si="42"/>
        <v>0</v>
      </c>
      <c r="AU54" s="21">
        <f t="shared" si="43"/>
        <v>0</v>
      </c>
      <c r="AV54" s="23">
        <f t="shared" si="44"/>
        <v>29.021276595744681</v>
      </c>
      <c r="AW54" s="17"/>
      <c r="AX54" s="19">
        <f t="shared" si="26"/>
        <v>94</v>
      </c>
      <c r="AY54" s="19">
        <v>94</v>
      </c>
      <c r="AZ54" s="18">
        <f t="shared" si="27"/>
        <v>0</v>
      </c>
      <c r="BA54" s="17"/>
      <c r="BB54" s="17"/>
      <c r="BC54" s="17"/>
      <c r="BD54" s="17"/>
      <c r="BE54" s="17"/>
    </row>
    <row r="55" spans="1:57" s="7" customFormat="1" ht="15" customHeight="1" x14ac:dyDescent="0.35">
      <c r="A55" s="2" t="s">
        <v>60</v>
      </c>
      <c r="B55" s="22">
        <f>'2017-18_working'!B55</f>
        <v>6</v>
      </c>
      <c r="C55" s="22">
        <f>'2017-18_working'!C55</f>
        <v>24</v>
      </c>
      <c r="D55" s="22">
        <f>'2017-18_working'!D55</f>
        <v>5</v>
      </c>
      <c r="E55" s="22">
        <f>'2017-18_working'!E55</f>
        <v>1</v>
      </c>
      <c r="F55" s="22">
        <f>'2017-18_working'!F55+'2017-18_working'!G55</f>
        <v>0</v>
      </c>
      <c r="G55" s="22">
        <f>'2017-18_working'!H55</f>
        <v>0</v>
      </c>
      <c r="H55" s="23">
        <f t="shared" si="22"/>
        <v>30.361111111111111</v>
      </c>
      <c r="I55" s="22"/>
      <c r="J55" s="22">
        <f>'2017-18_working'!J55</f>
        <v>1</v>
      </c>
      <c r="K55" s="22">
        <f>'2017-18_working'!K55</f>
        <v>4</v>
      </c>
      <c r="L55" s="22">
        <f>'2017-18_working'!L55</f>
        <v>1</v>
      </c>
      <c r="M55" s="22">
        <f>'2017-18_working'!M55</f>
        <v>1</v>
      </c>
      <c r="N55" s="22">
        <f>'2017-18_working'!N55+'2017-18_working'!O55</f>
        <v>0</v>
      </c>
      <c r="O55" s="22">
        <f>'2017-18_working'!P55</f>
        <v>0</v>
      </c>
      <c r="P55" s="23">
        <f t="shared" si="28"/>
        <v>33</v>
      </c>
      <c r="Q55" s="22"/>
      <c r="R55" s="21">
        <f t="shared" si="29"/>
        <v>7</v>
      </c>
      <c r="S55" s="21">
        <f t="shared" si="30"/>
        <v>28</v>
      </c>
      <c r="T55" s="21">
        <f t="shared" si="31"/>
        <v>6</v>
      </c>
      <c r="U55" s="21">
        <f t="shared" si="32"/>
        <v>2</v>
      </c>
      <c r="V55" s="21">
        <f t="shared" si="33"/>
        <v>0</v>
      </c>
      <c r="W55" s="21">
        <f t="shared" si="34"/>
        <v>0</v>
      </c>
      <c r="X55" s="23">
        <f t="shared" si="35"/>
        <v>30.79069767441861</v>
      </c>
      <c r="Y55" s="22"/>
      <c r="Z55" s="22">
        <f>'2017-18_working'!R55</f>
        <v>0</v>
      </c>
      <c r="AA55" s="22">
        <f>'2017-18_working'!S55</f>
        <v>0</v>
      </c>
      <c r="AB55" s="22">
        <f>'2017-18_working'!T55</f>
        <v>0</v>
      </c>
      <c r="AC55" s="22">
        <f>'2017-18_working'!U55</f>
        <v>0</v>
      </c>
      <c r="AD55" s="22">
        <f>'2017-18_working'!V55+'2017-18_working'!W55</f>
        <v>0</v>
      </c>
      <c r="AE55" s="22">
        <f>'2017-18_working'!X55</f>
        <v>0</v>
      </c>
      <c r="AF55" s="23" t="str">
        <f t="shared" si="36"/>
        <v>-</v>
      </c>
      <c r="AG55" s="22"/>
      <c r="AH55" s="22">
        <f>'2017-18_working'!Z55</f>
        <v>4</v>
      </c>
      <c r="AI55" s="22">
        <f>'2017-18_working'!AA55</f>
        <v>13</v>
      </c>
      <c r="AJ55" s="22">
        <f>'2017-18_working'!AB55</f>
        <v>15</v>
      </c>
      <c r="AK55" s="22">
        <f>'2017-18_working'!AC55</f>
        <v>12</v>
      </c>
      <c r="AL55" s="22">
        <f>'2017-18_working'!AD55+'2017-18_working'!AE55</f>
        <v>6</v>
      </c>
      <c r="AM55" s="22">
        <f>'2017-18_working'!AF55</f>
        <v>0</v>
      </c>
      <c r="AN55" s="23">
        <f t="shared" si="37"/>
        <v>40.39</v>
      </c>
      <c r="AO55" s="22"/>
      <c r="AP55" s="21">
        <f t="shared" si="38"/>
        <v>11</v>
      </c>
      <c r="AQ55" s="21">
        <f t="shared" si="39"/>
        <v>41</v>
      </c>
      <c r="AR55" s="21">
        <f t="shared" si="40"/>
        <v>21</v>
      </c>
      <c r="AS55" s="21">
        <f t="shared" si="41"/>
        <v>14</v>
      </c>
      <c r="AT55" s="21">
        <f t="shared" si="42"/>
        <v>6</v>
      </c>
      <c r="AU55" s="21">
        <f t="shared" si="43"/>
        <v>0</v>
      </c>
      <c r="AV55" s="23">
        <f t="shared" si="44"/>
        <v>35.951612903225801</v>
      </c>
      <c r="AW55" s="17"/>
      <c r="AX55" s="19">
        <f t="shared" si="26"/>
        <v>93</v>
      </c>
      <c r="AY55" s="19">
        <v>93</v>
      </c>
      <c r="AZ55" s="18">
        <f t="shared" si="27"/>
        <v>0</v>
      </c>
      <c r="BA55" s="17"/>
      <c r="BB55" s="17"/>
      <c r="BC55" s="17"/>
      <c r="BD55" s="17"/>
      <c r="BE55" s="17"/>
    </row>
    <row r="56" spans="1:57" s="7" customFormat="1" ht="15" customHeight="1" thickBot="1" x14ac:dyDescent="0.4">
      <c r="A56" s="25" t="s">
        <v>61</v>
      </c>
      <c r="B56" s="22">
        <f>'2017-18_working'!B56</f>
        <v>46</v>
      </c>
      <c r="C56" s="22">
        <f>'2017-18_working'!C56</f>
        <v>133</v>
      </c>
      <c r="D56" s="22">
        <f>'2017-18_working'!D56</f>
        <v>22</v>
      </c>
      <c r="E56" s="22">
        <f>'2017-18_working'!E56</f>
        <v>5</v>
      </c>
      <c r="F56" s="22">
        <f>'2017-18_working'!F56+'2017-18_working'!G56</f>
        <v>0</v>
      </c>
      <c r="G56" s="22">
        <f>'2017-18_working'!H56</f>
        <v>0</v>
      </c>
      <c r="H56" s="23">
        <f t="shared" si="22"/>
        <v>29.385922330097088</v>
      </c>
      <c r="I56" s="26"/>
      <c r="J56" s="22">
        <f>'2017-18_working'!J56</f>
        <v>0</v>
      </c>
      <c r="K56" s="22">
        <f>'2017-18_working'!K56</f>
        <v>0</v>
      </c>
      <c r="L56" s="22">
        <f>'2017-18_working'!L56</f>
        <v>0</v>
      </c>
      <c r="M56" s="22">
        <f>'2017-18_working'!M56</f>
        <v>0</v>
      </c>
      <c r="N56" s="22">
        <f>'2017-18_working'!N56+'2017-18_working'!O56</f>
        <v>0</v>
      </c>
      <c r="O56" s="22">
        <f>'2017-18_working'!P56</f>
        <v>0</v>
      </c>
      <c r="P56" s="23" t="str">
        <f t="shared" si="28"/>
        <v>-</v>
      </c>
      <c r="Q56" s="26"/>
      <c r="R56" s="21">
        <f t="shared" si="29"/>
        <v>46</v>
      </c>
      <c r="S56" s="21">
        <f t="shared" si="30"/>
        <v>133</v>
      </c>
      <c r="T56" s="21">
        <f t="shared" si="31"/>
        <v>22</v>
      </c>
      <c r="U56" s="21">
        <f t="shared" si="32"/>
        <v>5</v>
      </c>
      <c r="V56" s="21">
        <f t="shared" si="33"/>
        <v>0</v>
      </c>
      <c r="W56" s="21">
        <f t="shared" si="34"/>
        <v>0</v>
      </c>
      <c r="X56" s="23">
        <f t="shared" si="35"/>
        <v>29.385922330097088</v>
      </c>
      <c r="Y56" s="26"/>
      <c r="Z56" s="22">
        <f>'2017-18_working'!R56</f>
        <v>2</v>
      </c>
      <c r="AA56" s="22">
        <f>'2017-18_working'!S56</f>
        <v>11</v>
      </c>
      <c r="AB56" s="22">
        <f>'2017-18_working'!T56</f>
        <v>4</v>
      </c>
      <c r="AC56" s="22">
        <f>'2017-18_working'!U56</f>
        <v>3</v>
      </c>
      <c r="AD56" s="22">
        <f>'2017-18_working'!V56+'2017-18_working'!W56</f>
        <v>0</v>
      </c>
      <c r="AE56" s="22">
        <f>'2017-18_working'!X56</f>
        <v>0</v>
      </c>
      <c r="AF56" s="23">
        <f t="shared" si="36"/>
        <v>34.174999999999997</v>
      </c>
      <c r="AG56" s="26"/>
      <c r="AH56" s="22">
        <f>'2017-18_working'!Z56</f>
        <v>5</v>
      </c>
      <c r="AI56" s="22">
        <f>'2017-18_working'!AA56</f>
        <v>34</v>
      </c>
      <c r="AJ56" s="22">
        <f>'2017-18_working'!AB56</f>
        <v>15</v>
      </c>
      <c r="AK56" s="22">
        <f>'2017-18_working'!AC56</f>
        <v>14</v>
      </c>
      <c r="AL56" s="22">
        <f>'2017-18_working'!AD56+'2017-18_working'!AE56</f>
        <v>6</v>
      </c>
      <c r="AM56" s="22">
        <f>'2017-18_working'!AF56</f>
        <v>0</v>
      </c>
      <c r="AN56" s="23">
        <f t="shared" si="37"/>
        <v>37.439189189189193</v>
      </c>
      <c r="AO56" s="26"/>
      <c r="AP56" s="21">
        <f t="shared" si="38"/>
        <v>53</v>
      </c>
      <c r="AQ56" s="21">
        <f t="shared" si="39"/>
        <v>178</v>
      </c>
      <c r="AR56" s="21">
        <f t="shared" si="40"/>
        <v>41</v>
      </c>
      <c r="AS56" s="21">
        <f t="shared" si="41"/>
        <v>22</v>
      </c>
      <c r="AT56" s="21">
        <f t="shared" si="42"/>
        <v>6</v>
      </c>
      <c r="AU56" s="21">
        <f t="shared" si="43"/>
        <v>0</v>
      </c>
      <c r="AV56" s="23">
        <f t="shared" si="44"/>
        <v>31.69166666666667</v>
      </c>
      <c r="AW56" s="17"/>
      <c r="AX56" s="19">
        <f t="shared" si="26"/>
        <v>300</v>
      </c>
      <c r="AY56" s="19">
        <v>300</v>
      </c>
      <c r="AZ56" s="18">
        <f t="shared" si="27"/>
        <v>0</v>
      </c>
      <c r="BA56" s="17"/>
      <c r="BB56" s="17"/>
      <c r="BC56" s="17"/>
      <c r="BD56" s="17"/>
      <c r="BE56" s="17"/>
    </row>
    <row r="57" spans="1:57" s="7" customFormat="1" ht="15" customHeight="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17"/>
      <c r="AX57" s="17"/>
      <c r="AY57" s="17"/>
      <c r="AZ57" s="17"/>
      <c r="BA57" s="17"/>
      <c r="BB57" s="17"/>
      <c r="BC57" s="17"/>
      <c r="BD57" s="17"/>
      <c r="BE57" s="17"/>
    </row>
  </sheetData>
  <mergeCells count="8">
    <mergeCell ref="A1:AV1"/>
    <mergeCell ref="B5:AV5"/>
    <mergeCell ref="B6:G6"/>
    <mergeCell ref="J6:P6"/>
    <mergeCell ref="R6:W6"/>
    <mergeCell ref="Z6:AE6"/>
    <mergeCell ref="AH6:AM6"/>
    <mergeCell ref="AP6:AV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B1755-9DB9-4B3D-9D87-D1E336F8A34C}">
  <dimension ref="A1:AJ56"/>
  <sheetViews>
    <sheetView workbookViewId="0">
      <pane xSplit="1" ySplit="7" topLeftCell="B8" activePane="bottomRight" state="frozen"/>
      <selection activeCell="A4" sqref="A4:L4"/>
      <selection pane="topRight" activeCell="A4" sqref="A4:L4"/>
      <selection pane="bottomLeft" activeCell="A4" sqref="A4:L4"/>
      <selection pane="bottomRight" activeCell="A4" sqref="A4:L4"/>
    </sheetView>
  </sheetViews>
  <sheetFormatPr defaultColWidth="9.1796875" defaultRowHeight="14.5" x14ac:dyDescent="0.35"/>
  <cols>
    <col min="1" max="1" width="40.453125" style="7" customWidth="1"/>
    <col min="2" max="16384" width="9.1796875" style="7"/>
  </cols>
  <sheetData>
    <row r="1" spans="1:36" ht="17" x14ac:dyDescent="0.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row>
    <row r="6" spans="1:36" x14ac:dyDescent="0.35">
      <c r="B6" s="89" t="s">
        <v>0</v>
      </c>
      <c r="C6" s="89"/>
      <c r="D6" s="89"/>
      <c r="E6" s="89"/>
      <c r="F6" s="89"/>
      <c r="G6" s="89"/>
      <c r="H6" s="89"/>
      <c r="J6" s="89" t="s">
        <v>76</v>
      </c>
      <c r="K6" s="89"/>
      <c r="L6" s="89"/>
      <c r="M6" s="89"/>
      <c r="N6" s="89"/>
      <c r="O6" s="89"/>
      <c r="P6" s="89"/>
      <c r="R6" s="89" t="s">
        <v>2</v>
      </c>
      <c r="S6" s="89"/>
      <c r="T6" s="89"/>
      <c r="U6" s="89"/>
      <c r="V6" s="89"/>
      <c r="W6" s="89"/>
      <c r="X6" s="89"/>
      <c r="Z6" s="89" t="s">
        <v>3</v>
      </c>
      <c r="AA6" s="89"/>
      <c r="AB6" s="89"/>
      <c r="AC6" s="89"/>
      <c r="AD6" s="89"/>
      <c r="AE6" s="89"/>
      <c r="AF6" s="89"/>
    </row>
    <row r="7" spans="1:36" s="1" customFormat="1" ht="29" x14ac:dyDescent="0.35">
      <c r="A7" s="1" t="s">
        <v>5</v>
      </c>
      <c r="B7" s="74" t="s">
        <v>80</v>
      </c>
      <c r="C7" s="1" t="s">
        <v>81</v>
      </c>
      <c r="D7" s="1" t="s">
        <v>82</v>
      </c>
      <c r="E7" s="1" t="s">
        <v>83</v>
      </c>
      <c r="F7" s="1" t="s">
        <v>84</v>
      </c>
      <c r="G7" s="1" t="s">
        <v>85</v>
      </c>
      <c r="H7" s="1" t="s">
        <v>11</v>
      </c>
      <c r="J7" s="1" t="s">
        <v>80</v>
      </c>
      <c r="K7" s="1" t="s">
        <v>81</v>
      </c>
      <c r="L7" s="1" t="s">
        <v>82</v>
      </c>
      <c r="M7" s="1" t="s">
        <v>83</v>
      </c>
      <c r="N7" s="1" t="s">
        <v>84</v>
      </c>
      <c r="O7" s="1" t="s">
        <v>85</v>
      </c>
      <c r="P7" s="1" t="s">
        <v>11</v>
      </c>
      <c r="R7" s="1" t="s">
        <v>80</v>
      </c>
      <c r="S7" s="1" t="s">
        <v>81</v>
      </c>
      <c r="T7" s="1" t="s">
        <v>82</v>
      </c>
      <c r="U7" s="1" t="s">
        <v>83</v>
      </c>
      <c r="V7" s="1" t="s">
        <v>84</v>
      </c>
      <c r="W7" s="1" t="s">
        <v>85</v>
      </c>
      <c r="X7" s="1" t="s">
        <v>11</v>
      </c>
      <c r="Z7" s="1" t="s">
        <v>80</v>
      </c>
      <c r="AA7" s="1" t="s">
        <v>81</v>
      </c>
      <c r="AB7" s="1" t="s">
        <v>82</v>
      </c>
      <c r="AC7" s="1" t="s">
        <v>83</v>
      </c>
      <c r="AD7" s="1" t="s">
        <v>84</v>
      </c>
      <c r="AE7" s="1" t="s">
        <v>85</v>
      </c>
      <c r="AF7" s="1" t="s">
        <v>11</v>
      </c>
    </row>
    <row r="8" spans="1:36" x14ac:dyDescent="0.35">
      <c r="A8" s="7" t="s">
        <v>13</v>
      </c>
      <c r="B8" s="7">
        <f>SUM(B9,B49)</f>
        <v>235</v>
      </c>
      <c r="C8" s="7">
        <f t="shared" ref="C8:H8" si="0">SUM(C9,C49)</f>
        <v>962</v>
      </c>
      <c r="D8" s="7">
        <f t="shared" si="0"/>
        <v>295</v>
      </c>
      <c r="E8" s="7">
        <f t="shared" si="0"/>
        <v>96</v>
      </c>
      <c r="F8" s="7">
        <f t="shared" si="0"/>
        <v>7</v>
      </c>
      <c r="G8" s="7">
        <f t="shared" si="0"/>
        <v>0</v>
      </c>
      <c r="H8" s="7">
        <f t="shared" si="0"/>
        <v>0</v>
      </c>
      <c r="J8" s="7">
        <f>SUM(J9,J49)</f>
        <v>352</v>
      </c>
      <c r="K8" s="7">
        <f t="shared" ref="K8" si="1">SUM(K9,K49)</f>
        <v>713</v>
      </c>
      <c r="L8" s="7">
        <f t="shared" ref="L8" si="2">SUM(L9,L49)</f>
        <v>336</v>
      </c>
      <c r="M8" s="7">
        <f t="shared" ref="M8" si="3">SUM(M9,M49)</f>
        <v>156</v>
      </c>
      <c r="N8" s="7">
        <f t="shared" ref="N8" si="4">SUM(N9,N49)</f>
        <v>29</v>
      </c>
      <c r="O8" s="7">
        <f t="shared" ref="O8" si="5">SUM(O9,O49)</f>
        <v>0</v>
      </c>
      <c r="P8" s="7">
        <f t="shared" ref="P8" si="6">SUM(P9,P49)</f>
        <v>1</v>
      </c>
      <c r="R8" s="7">
        <f>SUM(R9,R49)</f>
        <v>16</v>
      </c>
      <c r="S8" s="7">
        <f t="shared" ref="S8" si="7">SUM(S9,S49)</f>
        <v>42</v>
      </c>
      <c r="T8" s="7">
        <f t="shared" ref="T8" si="8">SUM(T9,T49)</f>
        <v>21</v>
      </c>
      <c r="U8" s="7">
        <f t="shared" ref="U8" si="9">SUM(U9,U49)</f>
        <v>11</v>
      </c>
      <c r="V8" s="7">
        <f t="shared" ref="V8" si="10">SUM(V9,V49)</f>
        <v>2</v>
      </c>
      <c r="W8" s="7">
        <f t="shared" ref="W8" si="11">SUM(W9,W49)</f>
        <v>0</v>
      </c>
      <c r="X8" s="7">
        <f t="shared" ref="X8" si="12">SUM(X9,X49)</f>
        <v>0</v>
      </c>
      <c r="Z8" s="7">
        <f>SUM(Z9,Z49)</f>
        <v>122</v>
      </c>
      <c r="AA8" s="7">
        <f t="shared" ref="AA8" si="13">SUM(AA9,AA49)</f>
        <v>286</v>
      </c>
      <c r="AB8" s="7">
        <f t="shared" ref="AB8" si="14">SUM(AB9,AB49)</f>
        <v>193</v>
      </c>
      <c r="AC8" s="7">
        <f t="shared" ref="AC8" si="15">SUM(AC9,AC49)</f>
        <v>256</v>
      </c>
      <c r="AD8" s="7">
        <f t="shared" ref="AD8" si="16">SUM(AD9,AD49)</f>
        <v>110</v>
      </c>
      <c r="AE8" s="7">
        <f t="shared" ref="AE8" si="17">SUM(AE9,AE49)</f>
        <v>5</v>
      </c>
      <c r="AF8" s="7">
        <f t="shared" ref="AF8" si="18">SUM(AF9,AF49)</f>
        <v>10</v>
      </c>
    </row>
    <row r="9" spans="1:36" x14ac:dyDescent="0.35">
      <c r="A9" s="7" t="s">
        <v>14</v>
      </c>
      <c r="B9" s="7">
        <f>SUM(B10:B48)</f>
        <v>93</v>
      </c>
      <c r="C9" s="7">
        <f t="shared" ref="C9:H9" si="19">SUM(C10:C48)</f>
        <v>434</v>
      </c>
      <c r="D9" s="7">
        <f t="shared" si="19"/>
        <v>183</v>
      </c>
      <c r="E9" s="7">
        <f t="shared" si="19"/>
        <v>71</v>
      </c>
      <c r="F9" s="7">
        <f t="shared" si="19"/>
        <v>5</v>
      </c>
      <c r="G9" s="7">
        <f t="shared" si="19"/>
        <v>0</v>
      </c>
      <c r="H9" s="7">
        <f t="shared" si="19"/>
        <v>0</v>
      </c>
      <c r="J9" s="7">
        <f>SUM(J10:J48)</f>
        <v>345</v>
      </c>
      <c r="K9" s="7">
        <f t="shared" ref="K9" si="20">SUM(K10:K48)</f>
        <v>689</v>
      </c>
      <c r="L9" s="7">
        <f t="shared" ref="L9" si="21">SUM(L10:L48)</f>
        <v>322</v>
      </c>
      <c r="M9" s="7">
        <f t="shared" ref="M9" si="22">SUM(M10:M48)</f>
        <v>154</v>
      </c>
      <c r="N9" s="7">
        <f t="shared" ref="N9" si="23">SUM(N10:N48)</f>
        <v>28</v>
      </c>
      <c r="O9" s="7">
        <f t="shared" ref="O9" si="24">SUM(O10:O48)</f>
        <v>0</v>
      </c>
      <c r="P9" s="7">
        <f t="shared" ref="P9" si="25">SUM(P10:P48)</f>
        <v>1</v>
      </c>
      <c r="R9" s="7">
        <f>SUM(R10:R48)</f>
        <v>13</v>
      </c>
      <c r="S9" s="7">
        <f t="shared" ref="S9" si="26">SUM(S10:S48)</f>
        <v>36</v>
      </c>
      <c r="T9" s="7">
        <f t="shared" ref="T9" si="27">SUM(T10:T48)</f>
        <v>14</v>
      </c>
      <c r="U9" s="7">
        <f t="shared" ref="U9" si="28">SUM(U10:U48)</f>
        <v>7</v>
      </c>
      <c r="V9" s="7">
        <f t="shared" ref="V9" si="29">SUM(V10:V48)</f>
        <v>0</v>
      </c>
      <c r="W9" s="7">
        <f t="shared" ref="W9" si="30">SUM(W10:W48)</f>
        <v>0</v>
      </c>
      <c r="X9" s="7">
        <f t="shared" ref="X9" si="31">SUM(X10:X48)</f>
        <v>0</v>
      </c>
      <c r="Z9" s="7">
        <f>SUM(Z10:Z48)</f>
        <v>72</v>
      </c>
      <c r="AA9" s="7">
        <f t="shared" ref="AA9" si="32">SUM(AA10:AA48)</f>
        <v>182</v>
      </c>
      <c r="AB9" s="7">
        <f t="shared" ref="AB9" si="33">SUM(AB10:AB48)</f>
        <v>134</v>
      </c>
      <c r="AC9" s="7">
        <f t="shared" ref="AC9" si="34">SUM(AC10:AC48)</f>
        <v>176</v>
      </c>
      <c r="AD9" s="7">
        <f t="shared" ref="AD9" si="35">SUM(AD10:AD48)</f>
        <v>73</v>
      </c>
      <c r="AE9" s="7">
        <f t="shared" ref="AE9" si="36">SUM(AE10:AE48)</f>
        <v>1</v>
      </c>
      <c r="AF9" s="7">
        <f t="shared" ref="AF9" si="37">SUM(AF10:AF48)</f>
        <v>10</v>
      </c>
    </row>
    <row r="10" spans="1:36" x14ac:dyDescent="0.35">
      <c r="A10" s="7" t="s">
        <v>15</v>
      </c>
      <c r="B10" s="7">
        <f>SUMPRODUCT((raw!$B$2:$B$1289='2018-19_working'!$A10)*(raw!$F$2:$F$1289='2018-19_working'!B$7)*(raw!$E$2:$E$1289='2018-19_working'!$B$6:$H$6)*(raw!$G$2:$G$1289))</f>
        <v>0</v>
      </c>
      <c r="C10" s="7">
        <f>SUMPRODUCT((raw!$B$2:$B$1289='2018-19_working'!$A10)*(raw!$F$2:$F$1289='2018-19_working'!C$7)*(raw!$E$2:$E$1289='2018-19_working'!$B$6:$H$6)*(raw!$G$2:$G$1289))</f>
        <v>11</v>
      </c>
      <c r="D10" s="7">
        <f>SUMPRODUCT((raw!$B$2:$B$1289='2018-19_working'!$A10)*(raw!$F$2:$F$1289='2018-19_working'!D$7)*(raw!$E$2:$E$1289='2018-19_working'!$B$6:$H$6)*(raw!$G$2:$G$1289))</f>
        <v>3</v>
      </c>
      <c r="E10" s="7">
        <f>SUMPRODUCT((raw!$B$2:$B$1289='2018-19_working'!$A10)*(raw!$F$2:$F$1289='2018-19_working'!E$7)*(raw!$E$2:$E$1289='2018-19_working'!$B$6:$H$6)*(raw!$G$2:$G$1289))</f>
        <v>1</v>
      </c>
      <c r="F10" s="7">
        <f>SUMPRODUCT((raw!$B$2:$B$1289='2018-19_working'!$A10)*(raw!$F$2:$F$1289='2018-19_working'!F$7)*(raw!$E$2:$E$1289='2018-19_working'!$B$6:$H$6)*(raw!$G$2:$G$1289))</f>
        <v>0</v>
      </c>
      <c r="G10" s="7">
        <f>SUMPRODUCT((raw!$B$2:$B$1289='2018-19_working'!$A10)*(raw!$F$2:$F$1289='2018-19_working'!G$7)*(raw!$E$2:$E$1289='2018-19_working'!$B$6:$H$6)*(raw!$G$2:$G$1289))</f>
        <v>0</v>
      </c>
      <c r="H10" s="7">
        <f>SUMPRODUCT((raw!$B$2:$B$1289='2018-19_working'!$A10)*(raw!$F$2:$F$1289='2018-19_working'!H$7)*(raw!$E$2:$E$1289='2018-19_working'!$B$6:$H$6)*(raw!$G$2:$G$1289))</f>
        <v>0</v>
      </c>
      <c r="J10" s="7">
        <f>SUMPRODUCT((raw!$B$2:$B$1289='2018-19_working'!$A10)*(raw!$F$2:$F$1289='2018-19_working'!J$7)*(raw!$E$2:$E$1289='2018-19_working'!$J$6)*(raw!$G$2:$G$1289))</f>
        <v>3</v>
      </c>
      <c r="K10" s="7">
        <f>SUMPRODUCT((raw!$B$2:$B$1289='2018-19_working'!$A10)*(raw!$F$2:$F$1289='2018-19_working'!K$7)*(raw!$E$2:$E$1289='2018-19_working'!$J$6)*(raw!$G$2:$G$1289))</f>
        <v>8</v>
      </c>
      <c r="L10" s="7">
        <f>SUMPRODUCT((raw!$B$2:$B$1289='2018-19_working'!$A10)*(raw!$F$2:$F$1289='2018-19_working'!L$7)*(raw!$E$2:$E$1289='2018-19_working'!$J$6)*(raw!$G$2:$G$1289))</f>
        <v>6</v>
      </c>
      <c r="M10" s="7">
        <f>SUMPRODUCT((raw!$B$2:$B$1289='2018-19_working'!$A10)*(raw!$F$2:$F$1289='2018-19_working'!M$7)*(raw!$E$2:$E$1289='2018-19_working'!$J$6)*(raw!$G$2:$G$1289))</f>
        <v>1</v>
      </c>
      <c r="N10" s="7">
        <f>SUMPRODUCT((raw!$B$2:$B$1289='2018-19_working'!$A10)*(raw!$F$2:$F$1289='2018-19_working'!N$7)*(raw!$E$2:$E$1289='2018-19_working'!$J$6)*(raw!$G$2:$G$1289))</f>
        <v>1</v>
      </c>
      <c r="O10" s="7">
        <f>SUMPRODUCT((raw!$B$2:$B$1289='2018-19_working'!$A10)*(raw!$F$2:$F$1289='2018-19_working'!O$7)*(raw!$E$2:$E$1289='2018-19_working'!$J$6)*(raw!$G$2:$G$1289))</f>
        <v>0</v>
      </c>
      <c r="P10" s="7">
        <f>SUMPRODUCT((raw!$B$2:$B$1289='2018-19_working'!$A10)*(raw!$F$2:$F$1289='2018-19_working'!P$7)*(raw!$E$2:$E$1289='2018-19_working'!$J$6)*(raw!$G$2:$G$1289))</f>
        <v>0</v>
      </c>
      <c r="R10" s="7">
        <f>SUMPRODUCT((raw!$B$2:$B$1289='2018-19_working'!$A10)*(raw!$F$2:$F$1289='2018-19_working'!R$7)*(raw!$E$2:$E$1289='2018-19_working'!$R$6)*(raw!$G$2:$G$1289))</f>
        <v>1</v>
      </c>
      <c r="S10" s="7">
        <f>SUMPRODUCT((raw!$B$2:$B$1289='2018-19_working'!$A10)*(raw!$F$2:$F$1289='2018-19_working'!S$7)*(raw!$E$2:$E$1289='2018-19_working'!$R$6)*(raw!$G$2:$G$1289))</f>
        <v>1</v>
      </c>
      <c r="T10" s="7">
        <f>SUMPRODUCT((raw!$B$2:$B$1289='2018-19_working'!$A10)*(raw!$F$2:$F$1289='2018-19_working'!T$7)*(raw!$E$2:$E$1289='2018-19_working'!$R$6)*(raw!$G$2:$G$1289))</f>
        <v>1</v>
      </c>
      <c r="U10" s="7">
        <f>SUMPRODUCT((raw!$B$2:$B$1289='2018-19_working'!$A10)*(raw!$F$2:$F$1289='2018-19_working'!U$7)*(raw!$E$2:$E$1289='2018-19_working'!$R$6)*(raw!$G$2:$G$1289))</f>
        <v>0</v>
      </c>
      <c r="V10" s="7">
        <f>SUMPRODUCT((raw!$B$2:$B$1289='2018-19_working'!$A10)*(raw!$F$2:$F$1289='2018-19_working'!V$7)*(raw!$E$2:$E$1289='2018-19_working'!$R$6)*(raw!$G$2:$G$1289))</f>
        <v>0</v>
      </c>
      <c r="W10" s="7">
        <f>SUMPRODUCT((raw!$B$2:$B$1289='2018-19_working'!$A10)*(raw!$F$2:$F$1289='2018-19_working'!W$7)*(raw!$E$2:$E$1289='2018-19_working'!$R$6)*(raw!$G$2:$G$1289))</f>
        <v>0</v>
      </c>
      <c r="X10" s="7">
        <f>SUMPRODUCT((raw!$B$2:$B$1289='2018-19_working'!$A10)*(raw!$F$2:$F$1289='2018-19_working'!X$7)*(raw!$E$2:$E$1289='2018-19_working'!$R$6)*(raw!$G$2:$G$1289))</f>
        <v>0</v>
      </c>
      <c r="Z10" s="7">
        <f>SUMPRODUCT((raw!$B$2:$B$1289='2018-19_working'!$A10)*(raw!$F$2:$F$1289='2018-19_working'!Z$7)*(raw!$E$2:$E$1289='2018-19_working'!$Z$6)*(raw!$G$2:$G$1289))</f>
        <v>3</v>
      </c>
      <c r="AA10" s="7">
        <f>SUMPRODUCT((raw!$B$2:$B$1289='2018-19_working'!$A10)*(raw!$F$2:$F$1289='2018-19_working'!AA$7)*(raw!$E$2:$E$1289='2018-19_working'!$Z$6)*(raw!$G$2:$G$1289))</f>
        <v>8</v>
      </c>
      <c r="AB10" s="7">
        <f>SUMPRODUCT((raw!$B$2:$B$1289='2018-19_working'!$A10)*(raw!$F$2:$F$1289='2018-19_working'!AB$7)*(raw!$E$2:$E$1289='2018-19_working'!$Z$6)*(raw!$G$2:$G$1289))</f>
        <v>6</v>
      </c>
      <c r="AC10" s="7">
        <f>SUMPRODUCT((raw!$B$2:$B$1289='2018-19_working'!$A10)*(raw!$F$2:$F$1289='2018-19_working'!AC$7)*(raw!$E$2:$E$1289='2018-19_working'!$Z$6)*(raw!$G$2:$G$1289))</f>
        <v>5</v>
      </c>
      <c r="AD10" s="7">
        <f>SUMPRODUCT((raw!$B$2:$B$1289='2018-19_working'!$A10)*(raw!$F$2:$F$1289='2018-19_working'!AD$7)*(raw!$E$2:$E$1289='2018-19_working'!$Z$6)*(raw!$G$2:$G$1289))</f>
        <v>3</v>
      </c>
      <c r="AE10" s="7">
        <f>SUMPRODUCT((raw!$B$2:$B$1289='2018-19_working'!$A10)*(raw!$F$2:$F$1289='2018-19_working'!AE$7)*(raw!$E$2:$E$1289='2018-19_working'!$Z$6)*(raw!$G$2:$G$1289))</f>
        <v>0</v>
      </c>
      <c r="AF10" s="7">
        <f>SUMPRODUCT((raw!$B$2:$B$1289='2018-19_working'!$A10)*(raw!$F$2:$F$1289='2018-19_working'!AF$7)*(raw!$E$2:$E$1289='2018-19_working'!$Z$6)*(raw!$G$2:$G$1289))</f>
        <v>0</v>
      </c>
    </row>
    <row r="11" spans="1:36" x14ac:dyDescent="0.35">
      <c r="A11" s="7" t="s">
        <v>16</v>
      </c>
      <c r="B11" s="7">
        <f>SUMPRODUCT((raw!$B$2:$B$1289='2018-19_working'!$A11)*(raw!$F$2:$F$1289='2018-19_working'!B$7)*(raw!$E$2:$E$1289='2018-19_working'!$B$6:$H$6)*(raw!$G$2:$G$1289))</f>
        <v>1</v>
      </c>
      <c r="C11" s="7">
        <f>SUMPRODUCT((raw!$B$2:$B$1289='2018-19_working'!$A11)*(raw!$F$2:$F$1289='2018-19_working'!C$7)*(raw!$E$2:$E$1289='2018-19_working'!$B$6:$H$6)*(raw!$G$2:$G$1289))</f>
        <v>9</v>
      </c>
      <c r="D11" s="7">
        <f>SUMPRODUCT((raw!$B$2:$B$1289='2018-19_working'!$A11)*(raw!$F$2:$F$1289='2018-19_working'!D$7)*(raw!$E$2:$E$1289='2018-19_working'!$B$6:$H$6)*(raw!$G$2:$G$1289))</f>
        <v>7</v>
      </c>
      <c r="E11" s="7">
        <f>SUMPRODUCT((raw!$B$2:$B$1289='2018-19_working'!$A11)*(raw!$F$2:$F$1289='2018-19_working'!E$7)*(raw!$E$2:$E$1289='2018-19_working'!$B$6:$H$6)*(raw!$G$2:$G$1289))</f>
        <v>1</v>
      </c>
      <c r="F11" s="7">
        <f>SUMPRODUCT((raw!$B$2:$B$1289='2018-19_working'!$A11)*(raw!$F$2:$F$1289='2018-19_working'!F$7)*(raw!$E$2:$E$1289='2018-19_working'!$B$6:$H$6)*(raw!$G$2:$G$1289))</f>
        <v>0</v>
      </c>
      <c r="G11" s="7">
        <f>SUMPRODUCT((raw!$B$2:$B$1289='2018-19_working'!$A11)*(raw!$F$2:$F$1289='2018-19_working'!G$7)*(raw!$E$2:$E$1289='2018-19_working'!$B$6:$H$6)*(raw!$G$2:$G$1289))</f>
        <v>0</v>
      </c>
      <c r="H11" s="7">
        <f>SUMPRODUCT((raw!$B$2:$B$1289='2018-19_working'!$A11)*(raw!$F$2:$F$1289='2018-19_working'!H$7)*(raw!$E$2:$E$1289='2018-19_working'!$B$6:$H$6)*(raw!$G$2:$G$1289))</f>
        <v>0</v>
      </c>
      <c r="J11" s="7">
        <f>SUMPRODUCT((raw!$B$2:$B$1289='2018-19_working'!$A11)*(raw!$F$2:$F$1289='2018-19_working'!J$7)*(raw!$E$2:$E$1289='2018-19_working'!$J$6)*(raw!$G$2:$G$1289))</f>
        <v>5</v>
      </c>
      <c r="K11" s="7">
        <f>SUMPRODUCT((raw!$B$2:$B$1289='2018-19_working'!$A11)*(raw!$F$2:$F$1289='2018-19_working'!K$7)*(raw!$E$2:$E$1289='2018-19_working'!$J$6)*(raw!$G$2:$G$1289))</f>
        <v>12</v>
      </c>
      <c r="L11" s="7">
        <f>SUMPRODUCT((raw!$B$2:$B$1289='2018-19_working'!$A11)*(raw!$F$2:$F$1289='2018-19_working'!L$7)*(raw!$E$2:$E$1289='2018-19_working'!$J$6)*(raw!$G$2:$G$1289))</f>
        <v>5</v>
      </c>
      <c r="M11" s="7">
        <f>SUMPRODUCT((raw!$B$2:$B$1289='2018-19_working'!$A11)*(raw!$F$2:$F$1289='2018-19_working'!M$7)*(raw!$E$2:$E$1289='2018-19_working'!$J$6)*(raw!$G$2:$G$1289))</f>
        <v>4</v>
      </c>
      <c r="N11" s="7">
        <f>SUMPRODUCT((raw!$B$2:$B$1289='2018-19_working'!$A11)*(raw!$F$2:$F$1289='2018-19_working'!N$7)*(raw!$E$2:$E$1289='2018-19_working'!$J$6)*(raw!$G$2:$G$1289))</f>
        <v>0</v>
      </c>
      <c r="O11" s="7">
        <f>SUMPRODUCT((raw!$B$2:$B$1289='2018-19_working'!$A11)*(raw!$F$2:$F$1289='2018-19_working'!O$7)*(raw!$E$2:$E$1289='2018-19_working'!$J$6)*(raw!$G$2:$G$1289))</f>
        <v>0</v>
      </c>
      <c r="P11" s="7">
        <f>SUMPRODUCT((raw!$B$2:$B$1289='2018-19_working'!$A11)*(raw!$F$2:$F$1289='2018-19_working'!P$7)*(raw!$E$2:$E$1289='2018-19_working'!$J$6)*(raw!$G$2:$G$1289))</f>
        <v>0</v>
      </c>
      <c r="R11" s="7">
        <f>SUMPRODUCT((raw!$B$2:$B$1289='2018-19_working'!$A11)*(raw!$F$2:$F$1289='2018-19_working'!R$7)*(raw!$E$2:$E$1289='2018-19_working'!$R$6)*(raw!$G$2:$G$1289))</f>
        <v>0</v>
      </c>
      <c r="S11" s="7">
        <f>SUMPRODUCT((raw!$B$2:$B$1289='2018-19_working'!$A11)*(raw!$F$2:$F$1289='2018-19_working'!S$7)*(raw!$E$2:$E$1289='2018-19_working'!$R$6)*(raw!$G$2:$G$1289))</f>
        <v>1</v>
      </c>
      <c r="T11" s="7">
        <f>SUMPRODUCT((raw!$B$2:$B$1289='2018-19_working'!$A11)*(raw!$F$2:$F$1289='2018-19_working'!T$7)*(raw!$E$2:$E$1289='2018-19_working'!$R$6)*(raw!$G$2:$G$1289))</f>
        <v>1</v>
      </c>
      <c r="U11" s="7">
        <f>SUMPRODUCT((raw!$B$2:$B$1289='2018-19_working'!$A11)*(raw!$F$2:$F$1289='2018-19_working'!U$7)*(raw!$E$2:$E$1289='2018-19_working'!$R$6)*(raw!$G$2:$G$1289))</f>
        <v>0</v>
      </c>
      <c r="V11" s="7">
        <f>SUMPRODUCT((raw!$B$2:$B$1289='2018-19_working'!$A11)*(raw!$F$2:$F$1289='2018-19_working'!V$7)*(raw!$E$2:$E$1289='2018-19_working'!$R$6)*(raw!$G$2:$G$1289))</f>
        <v>0</v>
      </c>
      <c r="W11" s="7">
        <f>SUMPRODUCT((raw!$B$2:$B$1289='2018-19_working'!$A11)*(raw!$F$2:$F$1289='2018-19_working'!W$7)*(raw!$E$2:$E$1289='2018-19_working'!$R$6)*(raw!$G$2:$G$1289))</f>
        <v>0</v>
      </c>
      <c r="X11" s="7">
        <f>SUMPRODUCT((raw!$B$2:$B$1289='2018-19_working'!$A11)*(raw!$F$2:$F$1289='2018-19_working'!X$7)*(raw!$E$2:$E$1289='2018-19_working'!$R$6)*(raw!$G$2:$G$1289))</f>
        <v>0</v>
      </c>
      <c r="Z11" s="7">
        <f>SUMPRODUCT((raw!$B$2:$B$1289='2018-19_working'!$A11)*(raw!$F$2:$F$1289='2018-19_working'!Z$7)*(raw!$E$2:$E$1289='2018-19_working'!$Z$6)*(raw!$G$2:$G$1289))</f>
        <v>1</v>
      </c>
      <c r="AA11" s="7">
        <f>SUMPRODUCT((raw!$B$2:$B$1289='2018-19_working'!$A11)*(raw!$F$2:$F$1289='2018-19_working'!AA$7)*(raw!$E$2:$E$1289='2018-19_working'!$Z$6)*(raw!$G$2:$G$1289))</f>
        <v>8</v>
      </c>
      <c r="AB11" s="7">
        <f>SUMPRODUCT((raw!$B$2:$B$1289='2018-19_working'!$A11)*(raw!$F$2:$F$1289='2018-19_working'!AB$7)*(raw!$E$2:$E$1289='2018-19_working'!$Z$6)*(raw!$G$2:$G$1289))</f>
        <v>3</v>
      </c>
      <c r="AC11" s="7">
        <f>SUMPRODUCT((raw!$B$2:$B$1289='2018-19_working'!$A11)*(raw!$F$2:$F$1289='2018-19_working'!AC$7)*(raw!$E$2:$E$1289='2018-19_working'!$Z$6)*(raw!$G$2:$G$1289))</f>
        <v>6</v>
      </c>
      <c r="AD11" s="7">
        <f>SUMPRODUCT((raw!$B$2:$B$1289='2018-19_working'!$A11)*(raw!$F$2:$F$1289='2018-19_working'!AD$7)*(raw!$E$2:$E$1289='2018-19_working'!$Z$6)*(raw!$G$2:$G$1289))</f>
        <v>3</v>
      </c>
      <c r="AE11" s="7">
        <f>SUMPRODUCT((raw!$B$2:$B$1289='2018-19_working'!$A11)*(raw!$F$2:$F$1289='2018-19_working'!AE$7)*(raw!$E$2:$E$1289='2018-19_working'!$Z$6)*(raw!$G$2:$G$1289))</f>
        <v>1</v>
      </c>
      <c r="AF11" s="7">
        <f>SUMPRODUCT((raw!$B$2:$B$1289='2018-19_working'!$A11)*(raw!$F$2:$F$1289='2018-19_working'!AF$7)*(raw!$E$2:$E$1289='2018-19_working'!$Z$6)*(raw!$G$2:$G$1289))</f>
        <v>0</v>
      </c>
    </row>
    <row r="12" spans="1:36" x14ac:dyDescent="0.35">
      <c r="A12" s="7" t="s">
        <v>17</v>
      </c>
      <c r="B12" s="7">
        <f>SUMPRODUCT((raw!$B$2:$B$1289='2018-19_working'!$A12)*(raw!$F$2:$F$1289='2018-19_working'!B$7)*(raw!$E$2:$E$1289='2018-19_working'!$B$6:$H$6)*(raw!$G$2:$G$1289))</f>
        <v>2</v>
      </c>
      <c r="C12" s="7">
        <f>SUMPRODUCT((raw!$B$2:$B$1289='2018-19_working'!$A12)*(raw!$F$2:$F$1289='2018-19_working'!C$7)*(raw!$E$2:$E$1289='2018-19_working'!$B$6:$H$6)*(raw!$G$2:$G$1289))</f>
        <v>10</v>
      </c>
      <c r="D12" s="7">
        <f>SUMPRODUCT((raw!$B$2:$B$1289='2018-19_working'!$A12)*(raw!$F$2:$F$1289='2018-19_working'!D$7)*(raw!$E$2:$E$1289='2018-19_working'!$B$6:$H$6)*(raw!$G$2:$G$1289))</f>
        <v>2</v>
      </c>
      <c r="E12" s="7">
        <f>SUMPRODUCT((raw!$B$2:$B$1289='2018-19_working'!$A12)*(raw!$F$2:$F$1289='2018-19_working'!E$7)*(raw!$E$2:$E$1289='2018-19_working'!$B$6:$H$6)*(raw!$G$2:$G$1289))</f>
        <v>0</v>
      </c>
      <c r="F12" s="7">
        <f>SUMPRODUCT((raw!$B$2:$B$1289='2018-19_working'!$A12)*(raw!$F$2:$F$1289='2018-19_working'!F$7)*(raw!$E$2:$E$1289='2018-19_working'!$B$6:$H$6)*(raw!$G$2:$G$1289))</f>
        <v>0</v>
      </c>
      <c r="G12" s="7">
        <f>SUMPRODUCT((raw!$B$2:$B$1289='2018-19_working'!$A12)*(raw!$F$2:$F$1289='2018-19_working'!G$7)*(raw!$E$2:$E$1289='2018-19_working'!$B$6:$H$6)*(raw!$G$2:$G$1289))</f>
        <v>0</v>
      </c>
      <c r="H12" s="7">
        <f>SUMPRODUCT((raw!$B$2:$B$1289='2018-19_working'!$A12)*(raw!$F$2:$F$1289='2018-19_working'!H$7)*(raw!$E$2:$E$1289='2018-19_working'!$B$6:$H$6)*(raw!$G$2:$G$1289))</f>
        <v>0</v>
      </c>
      <c r="J12" s="7">
        <f>SUMPRODUCT((raw!$B$2:$B$1289='2018-19_working'!$A12)*(raw!$F$2:$F$1289='2018-19_working'!J$7)*(raw!$E$2:$E$1289='2018-19_working'!$J$6)*(raw!$G$2:$G$1289))</f>
        <v>7</v>
      </c>
      <c r="K12" s="7">
        <f>SUMPRODUCT((raw!$B$2:$B$1289='2018-19_working'!$A12)*(raw!$F$2:$F$1289='2018-19_working'!K$7)*(raw!$E$2:$E$1289='2018-19_working'!$J$6)*(raw!$G$2:$G$1289))</f>
        <v>8</v>
      </c>
      <c r="L12" s="7">
        <f>SUMPRODUCT((raw!$B$2:$B$1289='2018-19_working'!$A12)*(raw!$F$2:$F$1289='2018-19_working'!L$7)*(raw!$E$2:$E$1289='2018-19_working'!$J$6)*(raw!$G$2:$G$1289))</f>
        <v>7</v>
      </c>
      <c r="M12" s="7">
        <f>SUMPRODUCT((raw!$B$2:$B$1289='2018-19_working'!$A12)*(raw!$F$2:$F$1289='2018-19_working'!M$7)*(raw!$E$2:$E$1289='2018-19_working'!$J$6)*(raw!$G$2:$G$1289))</f>
        <v>1</v>
      </c>
      <c r="N12" s="7">
        <f>SUMPRODUCT((raw!$B$2:$B$1289='2018-19_working'!$A12)*(raw!$F$2:$F$1289='2018-19_working'!N$7)*(raw!$E$2:$E$1289='2018-19_working'!$J$6)*(raw!$G$2:$G$1289))</f>
        <v>0</v>
      </c>
      <c r="O12" s="7">
        <f>SUMPRODUCT((raw!$B$2:$B$1289='2018-19_working'!$A12)*(raw!$F$2:$F$1289='2018-19_working'!O$7)*(raw!$E$2:$E$1289='2018-19_working'!$J$6)*(raw!$G$2:$G$1289))</f>
        <v>0</v>
      </c>
      <c r="P12" s="7">
        <f>SUMPRODUCT((raw!$B$2:$B$1289='2018-19_working'!$A12)*(raw!$F$2:$F$1289='2018-19_working'!P$7)*(raw!$E$2:$E$1289='2018-19_working'!$J$6)*(raw!$G$2:$G$1289))</f>
        <v>0</v>
      </c>
      <c r="R12" s="7">
        <f>SUMPRODUCT((raw!$B$2:$B$1289='2018-19_working'!$A12)*(raw!$F$2:$F$1289='2018-19_working'!R$7)*(raw!$E$2:$E$1289='2018-19_working'!$R$6)*(raw!$G$2:$G$1289))</f>
        <v>3</v>
      </c>
      <c r="S12" s="7">
        <f>SUMPRODUCT((raw!$B$2:$B$1289='2018-19_working'!$A12)*(raw!$F$2:$F$1289='2018-19_working'!S$7)*(raw!$E$2:$E$1289='2018-19_working'!$R$6)*(raw!$G$2:$G$1289))</f>
        <v>2</v>
      </c>
      <c r="T12" s="7">
        <f>SUMPRODUCT((raw!$B$2:$B$1289='2018-19_working'!$A12)*(raw!$F$2:$F$1289='2018-19_working'!T$7)*(raw!$E$2:$E$1289='2018-19_working'!$R$6)*(raw!$G$2:$G$1289))</f>
        <v>0</v>
      </c>
      <c r="U12" s="7">
        <f>SUMPRODUCT((raw!$B$2:$B$1289='2018-19_working'!$A12)*(raw!$F$2:$F$1289='2018-19_working'!U$7)*(raw!$E$2:$E$1289='2018-19_working'!$R$6)*(raw!$G$2:$G$1289))</f>
        <v>0</v>
      </c>
      <c r="V12" s="7">
        <f>SUMPRODUCT((raw!$B$2:$B$1289='2018-19_working'!$A12)*(raw!$F$2:$F$1289='2018-19_working'!V$7)*(raw!$E$2:$E$1289='2018-19_working'!$R$6)*(raw!$G$2:$G$1289))</f>
        <v>0</v>
      </c>
      <c r="W12" s="7">
        <f>SUMPRODUCT((raw!$B$2:$B$1289='2018-19_working'!$A12)*(raw!$F$2:$F$1289='2018-19_working'!W$7)*(raw!$E$2:$E$1289='2018-19_working'!$R$6)*(raw!$G$2:$G$1289))</f>
        <v>0</v>
      </c>
      <c r="X12" s="7">
        <f>SUMPRODUCT((raw!$B$2:$B$1289='2018-19_working'!$A12)*(raw!$F$2:$F$1289='2018-19_working'!X$7)*(raw!$E$2:$E$1289='2018-19_working'!$R$6)*(raw!$G$2:$G$1289))</f>
        <v>0</v>
      </c>
      <c r="Z12" s="7">
        <f>SUMPRODUCT((raw!$B$2:$B$1289='2018-19_working'!$A12)*(raw!$F$2:$F$1289='2018-19_working'!Z$7)*(raw!$E$2:$E$1289='2018-19_working'!$Z$6)*(raw!$G$2:$G$1289))</f>
        <v>3</v>
      </c>
      <c r="AA12" s="7">
        <f>SUMPRODUCT((raw!$B$2:$B$1289='2018-19_working'!$A12)*(raw!$F$2:$F$1289='2018-19_working'!AA$7)*(raw!$E$2:$E$1289='2018-19_working'!$Z$6)*(raw!$G$2:$G$1289))</f>
        <v>13</v>
      </c>
      <c r="AB12" s="7">
        <f>SUMPRODUCT((raw!$B$2:$B$1289='2018-19_working'!$A12)*(raw!$F$2:$F$1289='2018-19_working'!AB$7)*(raw!$E$2:$E$1289='2018-19_working'!$Z$6)*(raw!$G$2:$G$1289))</f>
        <v>5</v>
      </c>
      <c r="AC12" s="7">
        <f>SUMPRODUCT((raw!$B$2:$B$1289='2018-19_working'!$A12)*(raw!$F$2:$F$1289='2018-19_working'!AC$7)*(raw!$E$2:$E$1289='2018-19_working'!$Z$6)*(raw!$G$2:$G$1289))</f>
        <v>5</v>
      </c>
      <c r="AD12" s="7">
        <f>SUMPRODUCT((raw!$B$2:$B$1289='2018-19_working'!$A12)*(raw!$F$2:$F$1289='2018-19_working'!AD$7)*(raw!$E$2:$E$1289='2018-19_working'!$Z$6)*(raw!$G$2:$G$1289))</f>
        <v>3</v>
      </c>
      <c r="AE12" s="7">
        <f>SUMPRODUCT((raw!$B$2:$B$1289='2018-19_working'!$A12)*(raw!$F$2:$F$1289='2018-19_working'!AE$7)*(raw!$E$2:$E$1289='2018-19_working'!$Z$6)*(raw!$G$2:$G$1289))</f>
        <v>0</v>
      </c>
      <c r="AF12" s="7">
        <f>SUMPRODUCT((raw!$B$2:$B$1289='2018-19_working'!$A12)*(raw!$F$2:$F$1289='2018-19_working'!AF$7)*(raw!$E$2:$E$1289='2018-19_working'!$Z$6)*(raw!$G$2:$G$1289))</f>
        <v>0</v>
      </c>
    </row>
    <row r="13" spans="1:36" x14ac:dyDescent="0.35">
      <c r="A13" s="7" t="s">
        <v>18</v>
      </c>
      <c r="B13" s="7">
        <f>SUMPRODUCT((raw!$B$2:$B$1289='2018-19_working'!$A13)*(raw!$F$2:$F$1289='2018-19_working'!B$7)*(raw!$E$2:$E$1289='2018-19_working'!$B$6:$H$6)*(raw!$G$2:$G$1289))</f>
        <v>9</v>
      </c>
      <c r="C13" s="7">
        <f>SUMPRODUCT((raw!$B$2:$B$1289='2018-19_working'!$A13)*(raw!$F$2:$F$1289='2018-19_working'!C$7)*(raw!$E$2:$E$1289='2018-19_working'!$B$6:$H$6)*(raw!$G$2:$G$1289))</f>
        <v>14</v>
      </c>
      <c r="D13" s="7">
        <f>SUMPRODUCT((raw!$B$2:$B$1289='2018-19_working'!$A13)*(raw!$F$2:$F$1289='2018-19_working'!D$7)*(raw!$E$2:$E$1289='2018-19_working'!$B$6:$H$6)*(raw!$G$2:$G$1289))</f>
        <v>1</v>
      </c>
      <c r="E13" s="7">
        <f>SUMPRODUCT((raw!$B$2:$B$1289='2018-19_working'!$A13)*(raw!$F$2:$F$1289='2018-19_working'!E$7)*(raw!$E$2:$E$1289='2018-19_working'!$B$6:$H$6)*(raw!$G$2:$G$1289))</f>
        <v>3</v>
      </c>
      <c r="F13" s="7">
        <f>SUMPRODUCT((raw!$B$2:$B$1289='2018-19_working'!$A13)*(raw!$F$2:$F$1289='2018-19_working'!F$7)*(raw!$E$2:$E$1289='2018-19_working'!$B$6:$H$6)*(raw!$G$2:$G$1289))</f>
        <v>1</v>
      </c>
      <c r="G13" s="7">
        <f>SUMPRODUCT((raw!$B$2:$B$1289='2018-19_working'!$A13)*(raw!$F$2:$F$1289='2018-19_working'!G$7)*(raw!$E$2:$E$1289='2018-19_working'!$B$6:$H$6)*(raw!$G$2:$G$1289))</f>
        <v>0</v>
      </c>
      <c r="H13" s="7">
        <f>SUMPRODUCT((raw!$B$2:$B$1289='2018-19_working'!$A13)*(raw!$F$2:$F$1289='2018-19_working'!H$7)*(raw!$E$2:$E$1289='2018-19_working'!$B$6:$H$6)*(raw!$G$2:$G$1289))</f>
        <v>0</v>
      </c>
      <c r="J13" s="7">
        <f>SUMPRODUCT((raw!$B$2:$B$1289='2018-19_working'!$A13)*(raw!$F$2:$F$1289='2018-19_working'!J$7)*(raw!$E$2:$E$1289='2018-19_working'!$J$6)*(raw!$G$2:$G$1289))</f>
        <v>4</v>
      </c>
      <c r="K13" s="7">
        <f>SUMPRODUCT((raw!$B$2:$B$1289='2018-19_working'!$A13)*(raw!$F$2:$F$1289='2018-19_working'!K$7)*(raw!$E$2:$E$1289='2018-19_working'!$J$6)*(raw!$G$2:$G$1289))</f>
        <v>9</v>
      </c>
      <c r="L13" s="7">
        <f>SUMPRODUCT((raw!$B$2:$B$1289='2018-19_working'!$A13)*(raw!$F$2:$F$1289='2018-19_working'!L$7)*(raw!$E$2:$E$1289='2018-19_working'!$J$6)*(raw!$G$2:$G$1289))</f>
        <v>5</v>
      </c>
      <c r="M13" s="7">
        <f>SUMPRODUCT((raw!$B$2:$B$1289='2018-19_working'!$A13)*(raw!$F$2:$F$1289='2018-19_working'!M$7)*(raw!$E$2:$E$1289='2018-19_working'!$J$6)*(raw!$G$2:$G$1289))</f>
        <v>1</v>
      </c>
      <c r="N13" s="7">
        <f>SUMPRODUCT((raw!$B$2:$B$1289='2018-19_working'!$A13)*(raw!$F$2:$F$1289='2018-19_working'!N$7)*(raw!$E$2:$E$1289='2018-19_working'!$J$6)*(raw!$G$2:$G$1289))</f>
        <v>0</v>
      </c>
      <c r="O13" s="7">
        <f>SUMPRODUCT((raw!$B$2:$B$1289='2018-19_working'!$A13)*(raw!$F$2:$F$1289='2018-19_working'!O$7)*(raw!$E$2:$E$1289='2018-19_working'!$J$6)*(raw!$G$2:$G$1289))</f>
        <v>0</v>
      </c>
      <c r="P13" s="7">
        <f>SUMPRODUCT((raw!$B$2:$B$1289='2018-19_working'!$A13)*(raw!$F$2:$F$1289='2018-19_working'!P$7)*(raw!$E$2:$E$1289='2018-19_working'!$J$6)*(raw!$G$2:$G$1289))</f>
        <v>0</v>
      </c>
      <c r="R13" s="7">
        <f>SUMPRODUCT((raw!$B$2:$B$1289='2018-19_working'!$A13)*(raw!$F$2:$F$1289='2018-19_working'!R$7)*(raw!$E$2:$E$1289='2018-19_working'!$R$6)*(raw!$G$2:$G$1289))</f>
        <v>0</v>
      </c>
      <c r="S13" s="7">
        <f>SUMPRODUCT((raw!$B$2:$B$1289='2018-19_working'!$A13)*(raw!$F$2:$F$1289='2018-19_working'!S$7)*(raw!$E$2:$E$1289='2018-19_working'!$R$6)*(raw!$G$2:$G$1289))</f>
        <v>0</v>
      </c>
      <c r="T13" s="7">
        <f>SUMPRODUCT((raw!$B$2:$B$1289='2018-19_working'!$A13)*(raw!$F$2:$F$1289='2018-19_working'!T$7)*(raw!$E$2:$E$1289='2018-19_working'!$R$6)*(raw!$G$2:$G$1289))</f>
        <v>0</v>
      </c>
      <c r="U13" s="7">
        <f>SUMPRODUCT((raw!$B$2:$B$1289='2018-19_working'!$A13)*(raw!$F$2:$F$1289='2018-19_working'!U$7)*(raw!$E$2:$E$1289='2018-19_working'!$R$6)*(raw!$G$2:$G$1289))</f>
        <v>0</v>
      </c>
      <c r="V13" s="7">
        <f>SUMPRODUCT((raw!$B$2:$B$1289='2018-19_working'!$A13)*(raw!$F$2:$F$1289='2018-19_working'!V$7)*(raw!$E$2:$E$1289='2018-19_working'!$R$6)*(raw!$G$2:$G$1289))</f>
        <v>0</v>
      </c>
      <c r="W13" s="7">
        <f>SUMPRODUCT((raw!$B$2:$B$1289='2018-19_working'!$A13)*(raw!$F$2:$F$1289='2018-19_working'!W$7)*(raw!$E$2:$E$1289='2018-19_working'!$R$6)*(raw!$G$2:$G$1289))</f>
        <v>0</v>
      </c>
      <c r="X13" s="7">
        <f>SUMPRODUCT((raw!$B$2:$B$1289='2018-19_working'!$A13)*(raw!$F$2:$F$1289='2018-19_working'!X$7)*(raw!$E$2:$E$1289='2018-19_working'!$R$6)*(raw!$G$2:$G$1289))</f>
        <v>0</v>
      </c>
      <c r="Z13" s="7">
        <f>SUMPRODUCT((raw!$B$2:$B$1289='2018-19_working'!$A13)*(raw!$F$2:$F$1289='2018-19_working'!Z$7)*(raw!$E$2:$E$1289='2018-19_working'!$Z$6)*(raw!$G$2:$G$1289))</f>
        <v>0</v>
      </c>
      <c r="AA13" s="7">
        <f>SUMPRODUCT((raw!$B$2:$B$1289='2018-19_working'!$A13)*(raw!$F$2:$F$1289='2018-19_working'!AA$7)*(raw!$E$2:$E$1289='2018-19_working'!$Z$6)*(raw!$G$2:$G$1289))</f>
        <v>0</v>
      </c>
      <c r="AB13" s="7">
        <f>SUMPRODUCT((raw!$B$2:$B$1289='2018-19_working'!$A13)*(raw!$F$2:$F$1289='2018-19_working'!AB$7)*(raw!$E$2:$E$1289='2018-19_working'!$Z$6)*(raw!$G$2:$G$1289))</f>
        <v>1</v>
      </c>
      <c r="AC13" s="7">
        <f>SUMPRODUCT((raw!$B$2:$B$1289='2018-19_working'!$A13)*(raw!$F$2:$F$1289='2018-19_working'!AC$7)*(raw!$E$2:$E$1289='2018-19_working'!$Z$6)*(raw!$G$2:$G$1289))</f>
        <v>3</v>
      </c>
      <c r="AD13" s="7">
        <f>SUMPRODUCT((raw!$B$2:$B$1289='2018-19_working'!$A13)*(raw!$F$2:$F$1289='2018-19_working'!AD$7)*(raw!$E$2:$E$1289='2018-19_working'!$Z$6)*(raw!$G$2:$G$1289))</f>
        <v>2</v>
      </c>
      <c r="AE13" s="7">
        <f>SUMPRODUCT((raw!$B$2:$B$1289='2018-19_working'!$A13)*(raw!$F$2:$F$1289='2018-19_working'!AE$7)*(raw!$E$2:$E$1289='2018-19_working'!$Z$6)*(raw!$G$2:$G$1289))</f>
        <v>0</v>
      </c>
      <c r="AF13" s="7">
        <f>SUMPRODUCT((raw!$B$2:$B$1289='2018-19_working'!$A13)*(raw!$F$2:$F$1289='2018-19_working'!AF$7)*(raw!$E$2:$E$1289='2018-19_working'!$Z$6)*(raw!$G$2:$G$1289))</f>
        <v>0</v>
      </c>
    </row>
    <row r="14" spans="1:36" x14ac:dyDescent="0.35">
      <c r="A14" s="7" t="s">
        <v>19</v>
      </c>
      <c r="B14" s="7">
        <f>SUMPRODUCT((raw!$B$2:$B$1289='2018-19_working'!$A14)*(raw!$F$2:$F$1289='2018-19_working'!B$7)*(raw!$E$2:$E$1289='2018-19_working'!$B$6:$H$6)*(raw!$G$2:$G$1289))</f>
        <v>0</v>
      </c>
      <c r="C14" s="7">
        <f>SUMPRODUCT((raw!$B$2:$B$1289='2018-19_working'!$A14)*(raw!$F$2:$F$1289='2018-19_working'!C$7)*(raw!$E$2:$E$1289='2018-19_working'!$B$6:$H$6)*(raw!$G$2:$G$1289))</f>
        <v>12</v>
      </c>
      <c r="D14" s="7">
        <f>SUMPRODUCT((raw!$B$2:$B$1289='2018-19_working'!$A14)*(raw!$F$2:$F$1289='2018-19_working'!D$7)*(raw!$E$2:$E$1289='2018-19_working'!$B$6:$H$6)*(raw!$G$2:$G$1289))</f>
        <v>1</v>
      </c>
      <c r="E14" s="7">
        <f>SUMPRODUCT((raw!$B$2:$B$1289='2018-19_working'!$A14)*(raw!$F$2:$F$1289='2018-19_working'!E$7)*(raw!$E$2:$E$1289='2018-19_working'!$B$6:$H$6)*(raw!$G$2:$G$1289))</f>
        <v>1</v>
      </c>
      <c r="F14" s="7">
        <f>SUMPRODUCT((raw!$B$2:$B$1289='2018-19_working'!$A14)*(raw!$F$2:$F$1289='2018-19_working'!F$7)*(raw!$E$2:$E$1289='2018-19_working'!$B$6:$H$6)*(raw!$G$2:$G$1289))</f>
        <v>0</v>
      </c>
      <c r="G14" s="7">
        <f>SUMPRODUCT((raw!$B$2:$B$1289='2018-19_working'!$A14)*(raw!$F$2:$F$1289='2018-19_working'!G$7)*(raw!$E$2:$E$1289='2018-19_working'!$B$6:$H$6)*(raw!$G$2:$G$1289))</f>
        <v>0</v>
      </c>
      <c r="H14" s="7">
        <f>SUMPRODUCT((raw!$B$2:$B$1289='2018-19_working'!$A14)*(raw!$F$2:$F$1289='2018-19_working'!H$7)*(raw!$E$2:$E$1289='2018-19_working'!$B$6:$H$6)*(raw!$G$2:$G$1289))</f>
        <v>0</v>
      </c>
      <c r="J14" s="7">
        <f>SUMPRODUCT((raw!$B$2:$B$1289='2018-19_working'!$A14)*(raw!$F$2:$F$1289='2018-19_working'!J$7)*(raw!$E$2:$E$1289='2018-19_working'!$J$6)*(raw!$G$2:$G$1289))</f>
        <v>7</v>
      </c>
      <c r="K14" s="7">
        <f>SUMPRODUCT((raw!$B$2:$B$1289='2018-19_working'!$A14)*(raw!$F$2:$F$1289='2018-19_working'!K$7)*(raw!$E$2:$E$1289='2018-19_working'!$J$6)*(raw!$G$2:$G$1289))</f>
        <v>17</v>
      </c>
      <c r="L14" s="7">
        <f>SUMPRODUCT((raw!$B$2:$B$1289='2018-19_working'!$A14)*(raw!$F$2:$F$1289='2018-19_working'!L$7)*(raw!$E$2:$E$1289='2018-19_working'!$J$6)*(raw!$G$2:$G$1289))</f>
        <v>6</v>
      </c>
      <c r="M14" s="7">
        <f>SUMPRODUCT((raw!$B$2:$B$1289='2018-19_working'!$A14)*(raw!$F$2:$F$1289='2018-19_working'!M$7)*(raw!$E$2:$E$1289='2018-19_working'!$J$6)*(raw!$G$2:$G$1289))</f>
        <v>6</v>
      </c>
      <c r="N14" s="7">
        <f>SUMPRODUCT((raw!$B$2:$B$1289='2018-19_working'!$A14)*(raw!$F$2:$F$1289='2018-19_working'!N$7)*(raw!$E$2:$E$1289='2018-19_working'!$J$6)*(raw!$G$2:$G$1289))</f>
        <v>0</v>
      </c>
      <c r="O14" s="7">
        <f>SUMPRODUCT((raw!$B$2:$B$1289='2018-19_working'!$A14)*(raw!$F$2:$F$1289='2018-19_working'!O$7)*(raw!$E$2:$E$1289='2018-19_working'!$J$6)*(raw!$G$2:$G$1289))</f>
        <v>0</v>
      </c>
      <c r="P14" s="7">
        <f>SUMPRODUCT((raw!$B$2:$B$1289='2018-19_working'!$A14)*(raw!$F$2:$F$1289='2018-19_working'!P$7)*(raw!$E$2:$E$1289='2018-19_working'!$J$6)*(raw!$G$2:$G$1289))</f>
        <v>0</v>
      </c>
      <c r="R14" s="7">
        <f>SUMPRODUCT((raw!$B$2:$B$1289='2018-19_working'!$A14)*(raw!$F$2:$F$1289='2018-19_working'!R$7)*(raw!$E$2:$E$1289='2018-19_working'!$R$6)*(raw!$G$2:$G$1289))</f>
        <v>3</v>
      </c>
      <c r="S14" s="7">
        <f>SUMPRODUCT((raw!$B$2:$B$1289='2018-19_working'!$A14)*(raw!$F$2:$F$1289='2018-19_working'!S$7)*(raw!$E$2:$E$1289='2018-19_working'!$R$6)*(raw!$G$2:$G$1289))</f>
        <v>6</v>
      </c>
      <c r="T14" s="7">
        <f>SUMPRODUCT((raw!$B$2:$B$1289='2018-19_working'!$A14)*(raw!$F$2:$F$1289='2018-19_working'!T$7)*(raw!$E$2:$E$1289='2018-19_working'!$R$6)*(raw!$G$2:$G$1289))</f>
        <v>2</v>
      </c>
      <c r="U14" s="7">
        <f>SUMPRODUCT((raw!$B$2:$B$1289='2018-19_working'!$A14)*(raw!$F$2:$F$1289='2018-19_working'!U$7)*(raw!$E$2:$E$1289='2018-19_working'!$R$6)*(raw!$G$2:$G$1289))</f>
        <v>1</v>
      </c>
      <c r="V14" s="7">
        <f>SUMPRODUCT((raw!$B$2:$B$1289='2018-19_working'!$A14)*(raw!$F$2:$F$1289='2018-19_working'!V$7)*(raw!$E$2:$E$1289='2018-19_working'!$R$6)*(raw!$G$2:$G$1289))</f>
        <v>0</v>
      </c>
      <c r="W14" s="7">
        <f>SUMPRODUCT((raw!$B$2:$B$1289='2018-19_working'!$A14)*(raw!$F$2:$F$1289='2018-19_working'!W$7)*(raw!$E$2:$E$1289='2018-19_working'!$R$6)*(raw!$G$2:$G$1289))</f>
        <v>0</v>
      </c>
      <c r="X14" s="7">
        <f>SUMPRODUCT((raw!$B$2:$B$1289='2018-19_working'!$A14)*(raw!$F$2:$F$1289='2018-19_working'!X$7)*(raw!$E$2:$E$1289='2018-19_working'!$R$6)*(raw!$G$2:$G$1289))</f>
        <v>0</v>
      </c>
      <c r="Z14" s="7">
        <f>SUMPRODUCT((raw!$B$2:$B$1289='2018-19_working'!$A14)*(raw!$F$2:$F$1289='2018-19_working'!Z$7)*(raw!$E$2:$E$1289='2018-19_working'!$Z$6)*(raw!$G$2:$G$1289))</f>
        <v>1</v>
      </c>
      <c r="AA14" s="7">
        <f>SUMPRODUCT((raw!$B$2:$B$1289='2018-19_working'!$A14)*(raw!$F$2:$F$1289='2018-19_working'!AA$7)*(raw!$E$2:$E$1289='2018-19_working'!$Z$6)*(raw!$G$2:$G$1289))</f>
        <v>15</v>
      </c>
      <c r="AB14" s="7">
        <f>SUMPRODUCT((raw!$B$2:$B$1289='2018-19_working'!$A14)*(raw!$F$2:$F$1289='2018-19_working'!AB$7)*(raw!$E$2:$E$1289='2018-19_working'!$Z$6)*(raw!$G$2:$G$1289))</f>
        <v>1</v>
      </c>
      <c r="AC14" s="7">
        <f>SUMPRODUCT((raw!$B$2:$B$1289='2018-19_working'!$A14)*(raw!$F$2:$F$1289='2018-19_working'!AC$7)*(raw!$E$2:$E$1289='2018-19_working'!$Z$6)*(raw!$G$2:$G$1289))</f>
        <v>4</v>
      </c>
      <c r="AD14" s="7">
        <f>SUMPRODUCT((raw!$B$2:$B$1289='2018-19_working'!$A14)*(raw!$F$2:$F$1289='2018-19_working'!AD$7)*(raw!$E$2:$E$1289='2018-19_working'!$Z$6)*(raw!$G$2:$G$1289))</f>
        <v>0</v>
      </c>
      <c r="AE14" s="7">
        <f>SUMPRODUCT((raw!$B$2:$B$1289='2018-19_working'!$A14)*(raw!$F$2:$F$1289='2018-19_working'!AE$7)*(raw!$E$2:$E$1289='2018-19_working'!$Z$6)*(raw!$G$2:$G$1289))</f>
        <v>0</v>
      </c>
      <c r="AF14" s="7">
        <f>SUMPRODUCT((raw!$B$2:$B$1289='2018-19_working'!$A14)*(raw!$F$2:$F$1289='2018-19_working'!AF$7)*(raw!$E$2:$E$1289='2018-19_working'!$Z$6)*(raw!$G$2:$G$1289))</f>
        <v>0</v>
      </c>
    </row>
    <row r="15" spans="1:36" x14ac:dyDescent="0.35">
      <c r="A15" s="7" t="s">
        <v>20</v>
      </c>
      <c r="B15" s="7">
        <f>SUMPRODUCT((raw!$B$2:$B$1289='2018-19_working'!$A15)*(raw!$F$2:$F$1289='2018-19_working'!B$7)*(raw!$E$2:$E$1289='2018-19_working'!$B$6:$H$6)*(raw!$G$2:$G$1289))</f>
        <v>13</v>
      </c>
      <c r="C15" s="7">
        <f>SUMPRODUCT((raw!$B$2:$B$1289='2018-19_working'!$A15)*(raw!$F$2:$F$1289='2018-19_working'!C$7)*(raw!$E$2:$E$1289='2018-19_working'!$B$6:$H$6)*(raw!$G$2:$G$1289))</f>
        <v>28</v>
      </c>
      <c r="D15" s="7">
        <f>SUMPRODUCT((raw!$B$2:$B$1289='2018-19_working'!$A15)*(raw!$F$2:$F$1289='2018-19_working'!D$7)*(raw!$E$2:$E$1289='2018-19_working'!$B$6:$H$6)*(raw!$G$2:$G$1289))</f>
        <v>8</v>
      </c>
      <c r="E15" s="7">
        <f>SUMPRODUCT((raw!$B$2:$B$1289='2018-19_working'!$A15)*(raw!$F$2:$F$1289='2018-19_working'!E$7)*(raw!$E$2:$E$1289='2018-19_working'!$B$6:$H$6)*(raw!$G$2:$G$1289))</f>
        <v>5</v>
      </c>
      <c r="F15" s="7">
        <f>SUMPRODUCT((raw!$B$2:$B$1289='2018-19_working'!$A15)*(raw!$F$2:$F$1289='2018-19_working'!F$7)*(raw!$E$2:$E$1289='2018-19_working'!$B$6:$H$6)*(raw!$G$2:$G$1289))</f>
        <v>0</v>
      </c>
      <c r="G15" s="7">
        <f>SUMPRODUCT((raw!$B$2:$B$1289='2018-19_working'!$A15)*(raw!$F$2:$F$1289='2018-19_working'!G$7)*(raw!$E$2:$E$1289='2018-19_working'!$B$6:$H$6)*(raw!$G$2:$G$1289))</f>
        <v>0</v>
      </c>
      <c r="H15" s="7">
        <f>SUMPRODUCT((raw!$B$2:$B$1289='2018-19_working'!$A15)*(raw!$F$2:$F$1289='2018-19_working'!H$7)*(raw!$E$2:$E$1289='2018-19_working'!$B$6:$H$6)*(raw!$G$2:$G$1289))</f>
        <v>0</v>
      </c>
      <c r="J15" s="7">
        <f>SUMPRODUCT((raw!$B$2:$B$1289='2018-19_working'!$A15)*(raw!$F$2:$F$1289='2018-19_working'!J$7)*(raw!$E$2:$E$1289='2018-19_working'!$J$6)*(raw!$G$2:$G$1289))</f>
        <v>7</v>
      </c>
      <c r="K15" s="7">
        <f>SUMPRODUCT((raw!$B$2:$B$1289='2018-19_working'!$A15)*(raw!$F$2:$F$1289='2018-19_working'!K$7)*(raw!$E$2:$E$1289='2018-19_working'!$J$6)*(raw!$G$2:$G$1289))</f>
        <v>12</v>
      </c>
      <c r="L15" s="7">
        <f>SUMPRODUCT((raw!$B$2:$B$1289='2018-19_working'!$A15)*(raw!$F$2:$F$1289='2018-19_working'!L$7)*(raw!$E$2:$E$1289='2018-19_working'!$J$6)*(raw!$G$2:$G$1289))</f>
        <v>7</v>
      </c>
      <c r="M15" s="7">
        <f>SUMPRODUCT((raw!$B$2:$B$1289='2018-19_working'!$A15)*(raw!$F$2:$F$1289='2018-19_working'!M$7)*(raw!$E$2:$E$1289='2018-19_working'!$J$6)*(raw!$G$2:$G$1289))</f>
        <v>2</v>
      </c>
      <c r="N15" s="7">
        <f>SUMPRODUCT((raw!$B$2:$B$1289='2018-19_working'!$A15)*(raw!$F$2:$F$1289='2018-19_working'!N$7)*(raw!$E$2:$E$1289='2018-19_working'!$J$6)*(raw!$G$2:$G$1289))</f>
        <v>0</v>
      </c>
      <c r="O15" s="7">
        <f>SUMPRODUCT((raw!$B$2:$B$1289='2018-19_working'!$A15)*(raw!$F$2:$F$1289='2018-19_working'!O$7)*(raw!$E$2:$E$1289='2018-19_working'!$J$6)*(raw!$G$2:$G$1289))</f>
        <v>0</v>
      </c>
      <c r="P15" s="7">
        <f>SUMPRODUCT((raw!$B$2:$B$1289='2018-19_working'!$A15)*(raw!$F$2:$F$1289='2018-19_working'!P$7)*(raw!$E$2:$E$1289='2018-19_working'!$J$6)*(raw!$G$2:$G$1289))</f>
        <v>0</v>
      </c>
      <c r="R15" s="7">
        <f>SUMPRODUCT((raw!$B$2:$B$1289='2018-19_working'!$A15)*(raw!$F$2:$F$1289='2018-19_working'!R$7)*(raw!$E$2:$E$1289='2018-19_working'!$R$6)*(raw!$G$2:$G$1289))</f>
        <v>0</v>
      </c>
      <c r="S15" s="7">
        <f>SUMPRODUCT((raw!$B$2:$B$1289='2018-19_working'!$A15)*(raw!$F$2:$F$1289='2018-19_working'!S$7)*(raw!$E$2:$E$1289='2018-19_working'!$R$6)*(raw!$G$2:$G$1289))</f>
        <v>0</v>
      </c>
      <c r="T15" s="7">
        <f>SUMPRODUCT((raw!$B$2:$B$1289='2018-19_working'!$A15)*(raw!$F$2:$F$1289='2018-19_working'!T$7)*(raw!$E$2:$E$1289='2018-19_working'!$R$6)*(raw!$G$2:$G$1289))</f>
        <v>0</v>
      </c>
      <c r="U15" s="7">
        <f>SUMPRODUCT((raw!$B$2:$B$1289='2018-19_working'!$A15)*(raw!$F$2:$F$1289='2018-19_working'!U$7)*(raw!$E$2:$E$1289='2018-19_working'!$R$6)*(raw!$G$2:$G$1289))</f>
        <v>0</v>
      </c>
      <c r="V15" s="7">
        <f>SUMPRODUCT((raw!$B$2:$B$1289='2018-19_working'!$A15)*(raw!$F$2:$F$1289='2018-19_working'!V$7)*(raw!$E$2:$E$1289='2018-19_working'!$R$6)*(raw!$G$2:$G$1289))</f>
        <v>0</v>
      </c>
      <c r="W15" s="7">
        <f>SUMPRODUCT((raw!$B$2:$B$1289='2018-19_working'!$A15)*(raw!$F$2:$F$1289='2018-19_working'!W$7)*(raw!$E$2:$E$1289='2018-19_working'!$R$6)*(raw!$G$2:$G$1289))</f>
        <v>0</v>
      </c>
      <c r="X15" s="7">
        <f>SUMPRODUCT((raw!$B$2:$B$1289='2018-19_working'!$A15)*(raw!$F$2:$F$1289='2018-19_working'!X$7)*(raw!$E$2:$E$1289='2018-19_working'!$R$6)*(raw!$G$2:$G$1289))</f>
        <v>0</v>
      </c>
      <c r="Z15" s="7">
        <f>SUMPRODUCT((raw!$B$2:$B$1289='2018-19_working'!$A15)*(raw!$F$2:$F$1289='2018-19_working'!Z$7)*(raw!$E$2:$E$1289='2018-19_working'!$Z$6)*(raw!$G$2:$G$1289))</f>
        <v>5</v>
      </c>
      <c r="AA15" s="7">
        <f>SUMPRODUCT((raw!$B$2:$B$1289='2018-19_working'!$A15)*(raw!$F$2:$F$1289='2018-19_working'!AA$7)*(raw!$E$2:$E$1289='2018-19_working'!$Z$6)*(raw!$G$2:$G$1289))</f>
        <v>3</v>
      </c>
      <c r="AB15" s="7">
        <f>SUMPRODUCT((raw!$B$2:$B$1289='2018-19_working'!$A15)*(raw!$F$2:$F$1289='2018-19_working'!AB$7)*(raw!$E$2:$E$1289='2018-19_working'!$Z$6)*(raw!$G$2:$G$1289))</f>
        <v>1</v>
      </c>
      <c r="AC15" s="7">
        <f>SUMPRODUCT((raw!$B$2:$B$1289='2018-19_working'!$A15)*(raw!$F$2:$F$1289='2018-19_working'!AC$7)*(raw!$E$2:$E$1289='2018-19_working'!$Z$6)*(raw!$G$2:$G$1289))</f>
        <v>2</v>
      </c>
      <c r="AD15" s="7">
        <f>SUMPRODUCT((raw!$B$2:$B$1289='2018-19_working'!$A15)*(raw!$F$2:$F$1289='2018-19_working'!AD$7)*(raw!$E$2:$E$1289='2018-19_working'!$Z$6)*(raw!$G$2:$G$1289))</f>
        <v>5</v>
      </c>
      <c r="AE15" s="7">
        <f>SUMPRODUCT((raw!$B$2:$B$1289='2018-19_working'!$A15)*(raw!$F$2:$F$1289='2018-19_working'!AE$7)*(raw!$E$2:$E$1289='2018-19_working'!$Z$6)*(raw!$G$2:$G$1289))</f>
        <v>0</v>
      </c>
      <c r="AF15" s="7">
        <f>SUMPRODUCT((raw!$B$2:$B$1289='2018-19_working'!$A15)*(raw!$F$2:$F$1289='2018-19_working'!AF$7)*(raw!$E$2:$E$1289='2018-19_working'!$Z$6)*(raw!$G$2:$G$1289))</f>
        <v>0</v>
      </c>
    </row>
    <row r="16" spans="1:36" x14ac:dyDescent="0.35">
      <c r="A16" s="7" t="s">
        <v>21</v>
      </c>
      <c r="B16" s="7">
        <f>SUMPRODUCT((raw!$B$2:$B$1289='2018-19_working'!$A16)*(raw!$F$2:$F$1289='2018-19_working'!B$7)*(raw!$E$2:$E$1289='2018-19_working'!$B$6:$H$6)*(raw!$G$2:$G$1289))</f>
        <v>5</v>
      </c>
      <c r="C16" s="7">
        <f>SUMPRODUCT((raw!$B$2:$B$1289='2018-19_working'!$A16)*(raw!$F$2:$F$1289='2018-19_working'!C$7)*(raw!$E$2:$E$1289='2018-19_working'!$B$6:$H$6)*(raw!$G$2:$G$1289))</f>
        <v>22</v>
      </c>
      <c r="D16" s="7">
        <f>SUMPRODUCT((raw!$B$2:$B$1289='2018-19_working'!$A16)*(raw!$F$2:$F$1289='2018-19_working'!D$7)*(raw!$E$2:$E$1289='2018-19_working'!$B$6:$H$6)*(raw!$G$2:$G$1289))</f>
        <v>7</v>
      </c>
      <c r="E16" s="7">
        <f>SUMPRODUCT((raw!$B$2:$B$1289='2018-19_working'!$A16)*(raw!$F$2:$F$1289='2018-19_working'!E$7)*(raw!$E$2:$E$1289='2018-19_working'!$B$6:$H$6)*(raw!$G$2:$G$1289))</f>
        <v>2</v>
      </c>
      <c r="F16" s="7">
        <f>SUMPRODUCT((raw!$B$2:$B$1289='2018-19_working'!$A16)*(raw!$F$2:$F$1289='2018-19_working'!F$7)*(raw!$E$2:$E$1289='2018-19_working'!$B$6:$H$6)*(raw!$G$2:$G$1289))</f>
        <v>0</v>
      </c>
      <c r="G16" s="7">
        <f>SUMPRODUCT((raw!$B$2:$B$1289='2018-19_working'!$A16)*(raw!$F$2:$F$1289='2018-19_working'!G$7)*(raw!$E$2:$E$1289='2018-19_working'!$B$6:$H$6)*(raw!$G$2:$G$1289))</f>
        <v>0</v>
      </c>
      <c r="H16" s="7">
        <f>SUMPRODUCT((raw!$B$2:$B$1289='2018-19_working'!$A16)*(raw!$F$2:$F$1289='2018-19_working'!H$7)*(raw!$E$2:$E$1289='2018-19_working'!$B$6:$H$6)*(raw!$G$2:$G$1289))</f>
        <v>0</v>
      </c>
      <c r="J16" s="7">
        <f>SUMPRODUCT((raw!$B$2:$B$1289='2018-19_working'!$A16)*(raw!$F$2:$F$1289='2018-19_working'!J$7)*(raw!$E$2:$E$1289='2018-19_working'!$J$6)*(raw!$G$2:$G$1289))</f>
        <v>4</v>
      </c>
      <c r="K16" s="7">
        <f>SUMPRODUCT((raw!$B$2:$B$1289='2018-19_working'!$A16)*(raw!$F$2:$F$1289='2018-19_working'!K$7)*(raw!$E$2:$E$1289='2018-19_working'!$J$6)*(raw!$G$2:$G$1289))</f>
        <v>8</v>
      </c>
      <c r="L16" s="7">
        <f>SUMPRODUCT((raw!$B$2:$B$1289='2018-19_working'!$A16)*(raw!$F$2:$F$1289='2018-19_working'!L$7)*(raw!$E$2:$E$1289='2018-19_working'!$J$6)*(raw!$G$2:$G$1289))</f>
        <v>1</v>
      </c>
      <c r="M16" s="7">
        <f>SUMPRODUCT((raw!$B$2:$B$1289='2018-19_working'!$A16)*(raw!$F$2:$F$1289='2018-19_working'!M$7)*(raw!$E$2:$E$1289='2018-19_working'!$J$6)*(raw!$G$2:$G$1289))</f>
        <v>0</v>
      </c>
      <c r="N16" s="7">
        <f>SUMPRODUCT((raw!$B$2:$B$1289='2018-19_working'!$A16)*(raw!$F$2:$F$1289='2018-19_working'!N$7)*(raw!$E$2:$E$1289='2018-19_working'!$J$6)*(raw!$G$2:$G$1289))</f>
        <v>0</v>
      </c>
      <c r="O16" s="7">
        <f>SUMPRODUCT((raw!$B$2:$B$1289='2018-19_working'!$A16)*(raw!$F$2:$F$1289='2018-19_working'!O$7)*(raw!$E$2:$E$1289='2018-19_working'!$J$6)*(raw!$G$2:$G$1289))</f>
        <v>0</v>
      </c>
      <c r="P16" s="7">
        <f>SUMPRODUCT((raw!$B$2:$B$1289='2018-19_working'!$A16)*(raw!$F$2:$F$1289='2018-19_working'!P$7)*(raw!$E$2:$E$1289='2018-19_working'!$J$6)*(raw!$G$2:$G$1289))</f>
        <v>0</v>
      </c>
      <c r="R16" s="7">
        <f>SUMPRODUCT((raw!$B$2:$B$1289='2018-19_working'!$A16)*(raw!$F$2:$F$1289='2018-19_working'!R$7)*(raw!$E$2:$E$1289='2018-19_working'!$R$6)*(raw!$G$2:$G$1289))</f>
        <v>0</v>
      </c>
      <c r="S16" s="7">
        <f>SUMPRODUCT((raw!$B$2:$B$1289='2018-19_working'!$A16)*(raw!$F$2:$F$1289='2018-19_working'!S$7)*(raw!$E$2:$E$1289='2018-19_working'!$R$6)*(raw!$G$2:$G$1289))</f>
        <v>0</v>
      </c>
      <c r="T16" s="7">
        <f>SUMPRODUCT((raw!$B$2:$B$1289='2018-19_working'!$A16)*(raw!$F$2:$F$1289='2018-19_working'!T$7)*(raw!$E$2:$E$1289='2018-19_working'!$R$6)*(raw!$G$2:$G$1289))</f>
        <v>1</v>
      </c>
      <c r="U16" s="7">
        <f>SUMPRODUCT((raw!$B$2:$B$1289='2018-19_working'!$A16)*(raw!$F$2:$F$1289='2018-19_working'!U$7)*(raw!$E$2:$E$1289='2018-19_working'!$R$6)*(raw!$G$2:$G$1289))</f>
        <v>1</v>
      </c>
      <c r="V16" s="7">
        <f>SUMPRODUCT((raw!$B$2:$B$1289='2018-19_working'!$A16)*(raw!$F$2:$F$1289='2018-19_working'!V$7)*(raw!$E$2:$E$1289='2018-19_working'!$R$6)*(raw!$G$2:$G$1289))</f>
        <v>0</v>
      </c>
      <c r="W16" s="7">
        <f>SUMPRODUCT((raw!$B$2:$B$1289='2018-19_working'!$A16)*(raw!$F$2:$F$1289='2018-19_working'!W$7)*(raw!$E$2:$E$1289='2018-19_working'!$R$6)*(raw!$G$2:$G$1289))</f>
        <v>0</v>
      </c>
      <c r="X16" s="7">
        <f>SUMPRODUCT((raw!$B$2:$B$1289='2018-19_working'!$A16)*(raw!$F$2:$F$1289='2018-19_working'!X$7)*(raw!$E$2:$E$1289='2018-19_working'!$R$6)*(raw!$G$2:$G$1289))</f>
        <v>0</v>
      </c>
      <c r="Z16" s="7">
        <f>SUMPRODUCT((raw!$B$2:$B$1289='2018-19_working'!$A16)*(raw!$F$2:$F$1289='2018-19_working'!Z$7)*(raw!$E$2:$E$1289='2018-19_working'!$Z$6)*(raw!$G$2:$G$1289))</f>
        <v>1</v>
      </c>
      <c r="AA16" s="7">
        <f>SUMPRODUCT((raw!$B$2:$B$1289='2018-19_working'!$A16)*(raw!$F$2:$F$1289='2018-19_working'!AA$7)*(raw!$E$2:$E$1289='2018-19_working'!$Z$6)*(raw!$G$2:$G$1289))</f>
        <v>2</v>
      </c>
      <c r="AB16" s="7">
        <f>SUMPRODUCT((raw!$B$2:$B$1289='2018-19_working'!$A16)*(raw!$F$2:$F$1289='2018-19_working'!AB$7)*(raw!$E$2:$E$1289='2018-19_working'!$Z$6)*(raw!$G$2:$G$1289))</f>
        <v>4</v>
      </c>
      <c r="AC16" s="7">
        <f>SUMPRODUCT((raw!$B$2:$B$1289='2018-19_working'!$A16)*(raw!$F$2:$F$1289='2018-19_working'!AC$7)*(raw!$E$2:$E$1289='2018-19_working'!$Z$6)*(raw!$G$2:$G$1289))</f>
        <v>4</v>
      </c>
      <c r="AD16" s="7">
        <f>SUMPRODUCT((raw!$B$2:$B$1289='2018-19_working'!$A16)*(raw!$F$2:$F$1289='2018-19_working'!AD$7)*(raw!$E$2:$E$1289='2018-19_working'!$Z$6)*(raw!$G$2:$G$1289))</f>
        <v>1</v>
      </c>
      <c r="AE16" s="7">
        <f>SUMPRODUCT((raw!$B$2:$B$1289='2018-19_working'!$A16)*(raw!$F$2:$F$1289='2018-19_working'!AE$7)*(raw!$E$2:$E$1289='2018-19_working'!$Z$6)*(raw!$G$2:$G$1289))</f>
        <v>0</v>
      </c>
      <c r="AF16" s="7">
        <f>SUMPRODUCT((raw!$B$2:$B$1289='2018-19_working'!$A16)*(raw!$F$2:$F$1289='2018-19_working'!AF$7)*(raw!$E$2:$E$1289='2018-19_working'!$Z$6)*(raw!$G$2:$G$1289))</f>
        <v>0</v>
      </c>
    </row>
    <row r="17" spans="1:32" x14ac:dyDescent="0.35">
      <c r="A17" s="7" t="s">
        <v>22</v>
      </c>
      <c r="B17" s="7">
        <f>SUMPRODUCT((raw!$B$2:$B$1289='2018-19_working'!$A17)*(raw!$F$2:$F$1289='2018-19_working'!B$7)*(raw!$E$2:$E$1289='2018-19_working'!$B$6:$H$6)*(raw!$G$2:$G$1289))</f>
        <v>0</v>
      </c>
      <c r="C17" s="7">
        <f>SUMPRODUCT((raw!$B$2:$B$1289='2018-19_working'!$A17)*(raw!$F$2:$F$1289='2018-19_working'!C$7)*(raw!$E$2:$E$1289='2018-19_working'!$B$6:$H$6)*(raw!$G$2:$G$1289))</f>
        <v>5</v>
      </c>
      <c r="D17" s="7">
        <f>SUMPRODUCT((raw!$B$2:$B$1289='2018-19_working'!$A17)*(raw!$F$2:$F$1289='2018-19_working'!D$7)*(raw!$E$2:$E$1289='2018-19_working'!$B$6:$H$6)*(raw!$G$2:$G$1289))</f>
        <v>5</v>
      </c>
      <c r="E17" s="7">
        <f>SUMPRODUCT((raw!$B$2:$B$1289='2018-19_working'!$A17)*(raw!$F$2:$F$1289='2018-19_working'!E$7)*(raw!$E$2:$E$1289='2018-19_working'!$B$6:$H$6)*(raw!$G$2:$G$1289))</f>
        <v>2</v>
      </c>
      <c r="F17" s="7">
        <f>SUMPRODUCT((raw!$B$2:$B$1289='2018-19_working'!$A17)*(raw!$F$2:$F$1289='2018-19_working'!F$7)*(raw!$E$2:$E$1289='2018-19_working'!$B$6:$H$6)*(raw!$G$2:$G$1289))</f>
        <v>0</v>
      </c>
      <c r="G17" s="7">
        <f>SUMPRODUCT((raw!$B$2:$B$1289='2018-19_working'!$A17)*(raw!$F$2:$F$1289='2018-19_working'!G$7)*(raw!$E$2:$E$1289='2018-19_working'!$B$6:$H$6)*(raw!$G$2:$G$1289))</f>
        <v>0</v>
      </c>
      <c r="H17" s="7">
        <f>SUMPRODUCT((raw!$B$2:$B$1289='2018-19_working'!$A17)*(raw!$F$2:$F$1289='2018-19_working'!H$7)*(raw!$E$2:$E$1289='2018-19_working'!$B$6:$H$6)*(raw!$G$2:$G$1289))</f>
        <v>0</v>
      </c>
      <c r="J17" s="7">
        <f>SUMPRODUCT((raw!$B$2:$B$1289='2018-19_working'!$A17)*(raw!$F$2:$F$1289='2018-19_working'!J$7)*(raw!$E$2:$E$1289='2018-19_working'!$J$6)*(raw!$G$2:$G$1289))</f>
        <v>11</v>
      </c>
      <c r="K17" s="7">
        <f>SUMPRODUCT((raw!$B$2:$B$1289='2018-19_working'!$A17)*(raw!$F$2:$F$1289='2018-19_working'!K$7)*(raw!$E$2:$E$1289='2018-19_working'!$J$6)*(raw!$G$2:$G$1289))</f>
        <v>18</v>
      </c>
      <c r="L17" s="7">
        <f>SUMPRODUCT((raw!$B$2:$B$1289='2018-19_working'!$A17)*(raw!$F$2:$F$1289='2018-19_working'!L$7)*(raw!$E$2:$E$1289='2018-19_working'!$J$6)*(raw!$G$2:$G$1289))</f>
        <v>12</v>
      </c>
      <c r="M17" s="7">
        <f>SUMPRODUCT((raw!$B$2:$B$1289='2018-19_working'!$A17)*(raw!$F$2:$F$1289='2018-19_working'!M$7)*(raw!$E$2:$E$1289='2018-19_working'!$J$6)*(raw!$G$2:$G$1289))</f>
        <v>15</v>
      </c>
      <c r="N17" s="7">
        <f>SUMPRODUCT((raw!$B$2:$B$1289='2018-19_working'!$A17)*(raw!$F$2:$F$1289='2018-19_working'!N$7)*(raw!$E$2:$E$1289='2018-19_working'!$J$6)*(raw!$G$2:$G$1289))</f>
        <v>3</v>
      </c>
      <c r="O17" s="7">
        <f>SUMPRODUCT((raw!$B$2:$B$1289='2018-19_working'!$A17)*(raw!$F$2:$F$1289='2018-19_working'!O$7)*(raw!$E$2:$E$1289='2018-19_working'!$J$6)*(raw!$G$2:$G$1289))</f>
        <v>0</v>
      </c>
      <c r="P17" s="7">
        <f>SUMPRODUCT((raw!$B$2:$B$1289='2018-19_working'!$A17)*(raw!$F$2:$F$1289='2018-19_working'!P$7)*(raw!$E$2:$E$1289='2018-19_working'!$J$6)*(raw!$G$2:$G$1289))</f>
        <v>0</v>
      </c>
      <c r="R17" s="7">
        <f>SUMPRODUCT((raw!$B$2:$B$1289='2018-19_working'!$A17)*(raw!$F$2:$F$1289='2018-19_working'!R$7)*(raw!$E$2:$E$1289='2018-19_working'!$R$6)*(raw!$G$2:$G$1289))</f>
        <v>1</v>
      </c>
      <c r="S17" s="7">
        <f>SUMPRODUCT((raw!$B$2:$B$1289='2018-19_working'!$A17)*(raw!$F$2:$F$1289='2018-19_working'!S$7)*(raw!$E$2:$E$1289='2018-19_working'!$R$6)*(raw!$G$2:$G$1289))</f>
        <v>0</v>
      </c>
      <c r="T17" s="7">
        <f>SUMPRODUCT((raw!$B$2:$B$1289='2018-19_working'!$A17)*(raw!$F$2:$F$1289='2018-19_working'!T$7)*(raw!$E$2:$E$1289='2018-19_working'!$R$6)*(raw!$G$2:$G$1289))</f>
        <v>0</v>
      </c>
      <c r="U17" s="7">
        <f>SUMPRODUCT((raw!$B$2:$B$1289='2018-19_working'!$A17)*(raw!$F$2:$F$1289='2018-19_working'!U$7)*(raw!$E$2:$E$1289='2018-19_working'!$R$6)*(raw!$G$2:$G$1289))</f>
        <v>2</v>
      </c>
      <c r="V17" s="7">
        <f>SUMPRODUCT((raw!$B$2:$B$1289='2018-19_working'!$A17)*(raw!$F$2:$F$1289='2018-19_working'!V$7)*(raw!$E$2:$E$1289='2018-19_working'!$R$6)*(raw!$G$2:$G$1289))</f>
        <v>0</v>
      </c>
      <c r="W17" s="7">
        <f>SUMPRODUCT((raw!$B$2:$B$1289='2018-19_working'!$A17)*(raw!$F$2:$F$1289='2018-19_working'!W$7)*(raw!$E$2:$E$1289='2018-19_working'!$R$6)*(raw!$G$2:$G$1289))</f>
        <v>0</v>
      </c>
      <c r="X17" s="7">
        <f>SUMPRODUCT((raw!$B$2:$B$1289='2018-19_working'!$A17)*(raw!$F$2:$F$1289='2018-19_working'!X$7)*(raw!$E$2:$E$1289='2018-19_working'!$R$6)*(raw!$G$2:$G$1289))</f>
        <v>0</v>
      </c>
      <c r="Z17" s="7">
        <f>SUMPRODUCT((raw!$B$2:$B$1289='2018-19_working'!$A17)*(raw!$F$2:$F$1289='2018-19_working'!Z$7)*(raw!$E$2:$E$1289='2018-19_working'!$Z$6)*(raw!$G$2:$G$1289))</f>
        <v>5</v>
      </c>
      <c r="AA17" s="7">
        <f>SUMPRODUCT((raw!$B$2:$B$1289='2018-19_working'!$A17)*(raw!$F$2:$F$1289='2018-19_working'!AA$7)*(raw!$E$2:$E$1289='2018-19_working'!$Z$6)*(raw!$G$2:$G$1289))</f>
        <v>10</v>
      </c>
      <c r="AB17" s="7">
        <f>SUMPRODUCT((raw!$B$2:$B$1289='2018-19_working'!$A17)*(raw!$F$2:$F$1289='2018-19_working'!AB$7)*(raw!$E$2:$E$1289='2018-19_working'!$Z$6)*(raw!$G$2:$G$1289))</f>
        <v>5</v>
      </c>
      <c r="AC17" s="7">
        <f>SUMPRODUCT((raw!$B$2:$B$1289='2018-19_working'!$A17)*(raw!$F$2:$F$1289='2018-19_working'!AC$7)*(raw!$E$2:$E$1289='2018-19_working'!$Z$6)*(raw!$G$2:$G$1289))</f>
        <v>2</v>
      </c>
      <c r="AD17" s="7">
        <f>SUMPRODUCT((raw!$B$2:$B$1289='2018-19_working'!$A17)*(raw!$F$2:$F$1289='2018-19_working'!AD$7)*(raw!$E$2:$E$1289='2018-19_working'!$Z$6)*(raw!$G$2:$G$1289))</f>
        <v>2</v>
      </c>
      <c r="AE17" s="7">
        <f>SUMPRODUCT((raw!$B$2:$B$1289='2018-19_working'!$A17)*(raw!$F$2:$F$1289='2018-19_working'!AE$7)*(raw!$E$2:$E$1289='2018-19_working'!$Z$6)*(raw!$G$2:$G$1289))</f>
        <v>0</v>
      </c>
      <c r="AF17" s="7">
        <f>SUMPRODUCT((raw!$B$2:$B$1289='2018-19_working'!$A17)*(raw!$F$2:$F$1289='2018-19_working'!AF$7)*(raw!$E$2:$E$1289='2018-19_working'!$Z$6)*(raw!$G$2:$G$1289))</f>
        <v>0</v>
      </c>
    </row>
    <row r="18" spans="1:32" x14ac:dyDescent="0.35">
      <c r="A18" s="7" t="s">
        <v>23</v>
      </c>
      <c r="B18" s="7">
        <f>SUMPRODUCT((raw!$B$2:$B$1289='2018-19_working'!$A18)*(raw!$F$2:$F$1289='2018-19_working'!B$7)*(raw!$E$2:$E$1289='2018-19_working'!$B$6:$H$6)*(raw!$G$2:$G$1289))</f>
        <v>0</v>
      </c>
      <c r="C18" s="7">
        <f>SUMPRODUCT((raw!$B$2:$B$1289='2018-19_working'!$A18)*(raw!$F$2:$F$1289='2018-19_working'!C$7)*(raw!$E$2:$E$1289='2018-19_working'!$B$6:$H$6)*(raw!$G$2:$G$1289))</f>
        <v>5</v>
      </c>
      <c r="D18" s="7">
        <f>SUMPRODUCT((raw!$B$2:$B$1289='2018-19_working'!$A18)*(raw!$F$2:$F$1289='2018-19_working'!D$7)*(raw!$E$2:$E$1289='2018-19_working'!$B$6:$H$6)*(raw!$G$2:$G$1289))</f>
        <v>2</v>
      </c>
      <c r="E18" s="7">
        <f>SUMPRODUCT((raw!$B$2:$B$1289='2018-19_working'!$A18)*(raw!$F$2:$F$1289='2018-19_working'!E$7)*(raw!$E$2:$E$1289='2018-19_working'!$B$6:$H$6)*(raw!$G$2:$G$1289))</f>
        <v>1</v>
      </c>
      <c r="F18" s="7">
        <f>SUMPRODUCT((raw!$B$2:$B$1289='2018-19_working'!$A18)*(raw!$F$2:$F$1289='2018-19_working'!F$7)*(raw!$E$2:$E$1289='2018-19_working'!$B$6:$H$6)*(raw!$G$2:$G$1289))</f>
        <v>0</v>
      </c>
      <c r="G18" s="7">
        <f>SUMPRODUCT((raw!$B$2:$B$1289='2018-19_working'!$A18)*(raw!$F$2:$F$1289='2018-19_working'!G$7)*(raw!$E$2:$E$1289='2018-19_working'!$B$6:$H$6)*(raw!$G$2:$G$1289))</f>
        <v>0</v>
      </c>
      <c r="H18" s="7">
        <f>SUMPRODUCT((raw!$B$2:$B$1289='2018-19_working'!$A18)*(raw!$F$2:$F$1289='2018-19_working'!H$7)*(raw!$E$2:$E$1289='2018-19_working'!$B$6:$H$6)*(raw!$G$2:$G$1289))</f>
        <v>0</v>
      </c>
      <c r="J18" s="7">
        <f>SUMPRODUCT((raw!$B$2:$B$1289='2018-19_working'!$A18)*(raw!$F$2:$F$1289='2018-19_working'!J$7)*(raw!$E$2:$E$1289='2018-19_working'!$J$6)*(raw!$G$2:$G$1289))</f>
        <v>5</v>
      </c>
      <c r="K18" s="7">
        <f>SUMPRODUCT((raw!$B$2:$B$1289='2018-19_working'!$A18)*(raw!$F$2:$F$1289='2018-19_working'!K$7)*(raw!$E$2:$E$1289='2018-19_working'!$J$6)*(raw!$G$2:$G$1289))</f>
        <v>5</v>
      </c>
      <c r="L18" s="7">
        <f>SUMPRODUCT((raw!$B$2:$B$1289='2018-19_working'!$A18)*(raw!$F$2:$F$1289='2018-19_working'!L$7)*(raw!$E$2:$E$1289='2018-19_working'!$J$6)*(raw!$G$2:$G$1289))</f>
        <v>2</v>
      </c>
      <c r="M18" s="7">
        <f>SUMPRODUCT((raw!$B$2:$B$1289='2018-19_working'!$A18)*(raw!$F$2:$F$1289='2018-19_working'!M$7)*(raw!$E$2:$E$1289='2018-19_working'!$J$6)*(raw!$G$2:$G$1289))</f>
        <v>4</v>
      </c>
      <c r="N18" s="7">
        <f>SUMPRODUCT((raw!$B$2:$B$1289='2018-19_working'!$A18)*(raw!$F$2:$F$1289='2018-19_working'!N$7)*(raw!$E$2:$E$1289='2018-19_working'!$J$6)*(raw!$G$2:$G$1289))</f>
        <v>1</v>
      </c>
      <c r="O18" s="7">
        <f>SUMPRODUCT((raw!$B$2:$B$1289='2018-19_working'!$A18)*(raw!$F$2:$F$1289='2018-19_working'!O$7)*(raw!$E$2:$E$1289='2018-19_working'!$J$6)*(raw!$G$2:$G$1289))</f>
        <v>0</v>
      </c>
      <c r="P18" s="7">
        <f>SUMPRODUCT((raw!$B$2:$B$1289='2018-19_working'!$A18)*(raw!$F$2:$F$1289='2018-19_working'!P$7)*(raw!$E$2:$E$1289='2018-19_working'!$J$6)*(raw!$G$2:$G$1289))</f>
        <v>0</v>
      </c>
      <c r="R18" s="7">
        <f>SUMPRODUCT((raw!$B$2:$B$1289='2018-19_working'!$A18)*(raw!$F$2:$F$1289='2018-19_working'!R$7)*(raw!$E$2:$E$1289='2018-19_working'!$R$6)*(raw!$G$2:$G$1289))</f>
        <v>0</v>
      </c>
      <c r="S18" s="7">
        <f>SUMPRODUCT((raw!$B$2:$B$1289='2018-19_working'!$A18)*(raw!$F$2:$F$1289='2018-19_working'!S$7)*(raw!$E$2:$E$1289='2018-19_working'!$R$6)*(raw!$G$2:$G$1289))</f>
        <v>0</v>
      </c>
      <c r="T18" s="7">
        <f>SUMPRODUCT((raw!$B$2:$B$1289='2018-19_working'!$A18)*(raw!$F$2:$F$1289='2018-19_working'!T$7)*(raw!$E$2:$E$1289='2018-19_working'!$R$6)*(raw!$G$2:$G$1289))</f>
        <v>0</v>
      </c>
      <c r="U18" s="7">
        <f>SUMPRODUCT((raw!$B$2:$B$1289='2018-19_working'!$A18)*(raw!$F$2:$F$1289='2018-19_working'!U$7)*(raw!$E$2:$E$1289='2018-19_working'!$R$6)*(raw!$G$2:$G$1289))</f>
        <v>0</v>
      </c>
      <c r="V18" s="7">
        <f>SUMPRODUCT((raw!$B$2:$B$1289='2018-19_working'!$A18)*(raw!$F$2:$F$1289='2018-19_working'!V$7)*(raw!$E$2:$E$1289='2018-19_working'!$R$6)*(raw!$G$2:$G$1289))</f>
        <v>0</v>
      </c>
      <c r="W18" s="7">
        <f>SUMPRODUCT((raw!$B$2:$B$1289='2018-19_working'!$A18)*(raw!$F$2:$F$1289='2018-19_working'!W$7)*(raw!$E$2:$E$1289='2018-19_working'!$R$6)*(raw!$G$2:$G$1289))</f>
        <v>0</v>
      </c>
      <c r="X18" s="7">
        <f>SUMPRODUCT((raw!$B$2:$B$1289='2018-19_working'!$A18)*(raw!$F$2:$F$1289='2018-19_working'!X$7)*(raw!$E$2:$E$1289='2018-19_working'!$R$6)*(raw!$G$2:$G$1289))</f>
        <v>0</v>
      </c>
      <c r="Z18" s="7">
        <f>SUMPRODUCT((raw!$B$2:$B$1289='2018-19_working'!$A18)*(raw!$F$2:$F$1289='2018-19_working'!Z$7)*(raw!$E$2:$E$1289='2018-19_working'!$Z$6)*(raw!$G$2:$G$1289))</f>
        <v>0</v>
      </c>
      <c r="AA18" s="7">
        <f>SUMPRODUCT((raw!$B$2:$B$1289='2018-19_working'!$A18)*(raw!$F$2:$F$1289='2018-19_working'!AA$7)*(raw!$E$2:$E$1289='2018-19_working'!$Z$6)*(raw!$G$2:$G$1289))</f>
        <v>2</v>
      </c>
      <c r="AB18" s="7">
        <f>SUMPRODUCT((raw!$B$2:$B$1289='2018-19_working'!$A18)*(raw!$F$2:$F$1289='2018-19_working'!AB$7)*(raw!$E$2:$E$1289='2018-19_working'!$Z$6)*(raw!$G$2:$G$1289))</f>
        <v>0</v>
      </c>
      <c r="AC18" s="7">
        <f>SUMPRODUCT((raw!$B$2:$B$1289='2018-19_working'!$A18)*(raw!$F$2:$F$1289='2018-19_working'!AC$7)*(raw!$E$2:$E$1289='2018-19_working'!$Z$6)*(raw!$G$2:$G$1289))</f>
        <v>1</v>
      </c>
      <c r="AD18" s="7">
        <f>SUMPRODUCT((raw!$B$2:$B$1289='2018-19_working'!$A18)*(raw!$F$2:$F$1289='2018-19_working'!AD$7)*(raw!$E$2:$E$1289='2018-19_working'!$Z$6)*(raw!$G$2:$G$1289))</f>
        <v>2</v>
      </c>
      <c r="AE18" s="7">
        <f>SUMPRODUCT((raw!$B$2:$B$1289='2018-19_working'!$A18)*(raw!$F$2:$F$1289='2018-19_working'!AE$7)*(raw!$E$2:$E$1289='2018-19_working'!$Z$6)*(raw!$G$2:$G$1289))</f>
        <v>0</v>
      </c>
      <c r="AF18" s="7">
        <f>SUMPRODUCT((raw!$B$2:$B$1289='2018-19_working'!$A18)*(raw!$F$2:$F$1289='2018-19_working'!AF$7)*(raw!$E$2:$E$1289='2018-19_working'!$Z$6)*(raw!$G$2:$G$1289))</f>
        <v>0</v>
      </c>
    </row>
    <row r="19" spans="1:32" x14ac:dyDescent="0.35">
      <c r="A19" s="7" t="s">
        <v>24</v>
      </c>
      <c r="B19" s="7">
        <f>SUMPRODUCT((raw!$B$2:$B$1289='2018-19_working'!$A19)*(raw!$F$2:$F$1289='2018-19_working'!B$7)*(raw!$E$2:$E$1289='2018-19_working'!$B$6:$H$6)*(raw!$G$2:$G$1289))</f>
        <v>5</v>
      </c>
      <c r="C19" s="7">
        <f>SUMPRODUCT((raw!$B$2:$B$1289='2018-19_working'!$A19)*(raw!$F$2:$F$1289='2018-19_working'!C$7)*(raw!$E$2:$E$1289='2018-19_working'!$B$6:$H$6)*(raw!$G$2:$G$1289))</f>
        <v>24</v>
      </c>
      <c r="D19" s="7">
        <f>SUMPRODUCT((raw!$B$2:$B$1289='2018-19_working'!$A19)*(raw!$F$2:$F$1289='2018-19_working'!D$7)*(raw!$E$2:$E$1289='2018-19_working'!$B$6:$H$6)*(raw!$G$2:$G$1289))</f>
        <v>2</v>
      </c>
      <c r="E19" s="7">
        <f>SUMPRODUCT((raw!$B$2:$B$1289='2018-19_working'!$A19)*(raw!$F$2:$F$1289='2018-19_working'!E$7)*(raw!$E$2:$E$1289='2018-19_working'!$B$6:$H$6)*(raw!$G$2:$G$1289))</f>
        <v>0</v>
      </c>
      <c r="F19" s="7">
        <f>SUMPRODUCT((raw!$B$2:$B$1289='2018-19_working'!$A19)*(raw!$F$2:$F$1289='2018-19_working'!F$7)*(raw!$E$2:$E$1289='2018-19_working'!$B$6:$H$6)*(raw!$G$2:$G$1289))</f>
        <v>0</v>
      </c>
      <c r="G19" s="7">
        <f>SUMPRODUCT((raw!$B$2:$B$1289='2018-19_working'!$A19)*(raw!$F$2:$F$1289='2018-19_working'!G$7)*(raw!$E$2:$E$1289='2018-19_working'!$B$6:$H$6)*(raw!$G$2:$G$1289))</f>
        <v>0</v>
      </c>
      <c r="H19" s="7">
        <f>SUMPRODUCT((raw!$B$2:$B$1289='2018-19_working'!$A19)*(raw!$F$2:$F$1289='2018-19_working'!H$7)*(raw!$E$2:$E$1289='2018-19_working'!$B$6:$H$6)*(raw!$G$2:$G$1289))</f>
        <v>0</v>
      </c>
      <c r="J19" s="7">
        <f>SUMPRODUCT((raw!$B$2:$B$1289='2018-19_working'!$A19)*(raw!$F$2:$F$1289='2018-19_working'!J$7)*(raw!$E$2:$E$1289='2018-19_working'!$J$6)*(raw!$G$2:$G$1289))</f>
        <v>6</v>
      </c>
      <c r="K19" s="7">
        <f>SUMPRODUCT((raw!$B$2:$B$1289='2018-19_working'!$A19)*(raw!$F$2:$F$1289='2018-19_working'!K$7)*(raw!$E$2:$E$1289='2018-19_working'!$J$6)*(raw!$G$2:$G$1289))</f>
        <v>17</v>
      </c>
      <c r="L19" s="7">
        <f>SUMPRODUCT((raw!$B$2:$B$1289='2018-19_working'!$A19)*(raw!$F$2:$F$1289='2018-19_working'!L$7)*(raw!$E$2:$E$1289='2018-19_working'!$J$6)*(raw!$G$2:$G$1289))</f>
        <v>4</v>
      </c>
      <c r="M19" s="7">
        <f>SUMPRODUCT((raw!$B$2:$B$1289='2018-19_working'!$A19)*(raw!$F$2:$F$1289='2018-19_working'!M$7)*(raw!$E$2:$E$1289='2018-19_working'!$J$6)*(raw!$G$2:$G$1289))</f>
        <v>2</v>
      </c>
      <c r="N19" s="7">
        <f>SUMPRODUCT((raw!$B$2:$B$1289='2018-19_working'!$A19)*(raw!$F$2:$F$1289='2018-19_working'!N$7)*(raw!$E$2:$E$1289='2018-19_working'!$J$6)*(raw!$G$2:$G$1289))</f>
        <v>1</v>
      </c>
      <c r="O19" s="7">
        <f>SUMPRODUCT((raw!$B$2:$B$1289='2018-19_working'!$A19)*(raw!$F$2:$F$1289='2018-19_working'!O$7)*(raw!$E$2:$E$1289='2018-19_working'!$J$6)*(raw!$G$2:$G$1289))</f>
        <v>0</v>
      </c>
      <c r="P19" s="7">
        <f>SUMPRODUCT((raw!$B$2:$B$1289='2018-19_working'!$A19)*(raw!$F$2:$F$1289='2018-19_working'!P$7)*(raw!$E$2:$E$1289='2018-19_working'!$J$6)*(raw!$G$2:$G$1289))</f>
        <v>0</v>
      </c>
      <c r="R19" s="7">
        <f>SUMPRODUCT((raw!$B$2:$B$1289='2018-19_working'!$A19)*(raw!$F$2:$F$1289='2018-19_working'!R$7)*(raw!$E$2:$E$1289='2018-19_working'!$R$6)*(raw!$G$2:$G$1289))</f>
        <v>0</v>
      </c>
      <c r="S19" s="7">
        <f>SUMPRODUCT((raw!$B$2:$B$1289='2018-19_working'!$A19)*(raw!$F$2:$F$1289='2018-19_working'!S$7)*(raw!$E$2:$E$1289='2018-19_working'!$R$6)*(raw!$G$2:$G$1289))</f>
        <v>0</v>
      </c>
      <c r="T19" s="7">
        <f>SUMPRODUCT((raw!$B$2:$B$1289='2018-19_working'!$A19)*(raw!$F$2:$F$1289='2018-19_working'!T$7)*(raw!$E$2:$E$1289='2018-19_working'!$R$6)*(raw!$G$2:$G$1289))</f>
        <v>0</v>
      </c>
      <c r="U19" s="7">
        <f>SUMPRODUCT((raw!$B$2:$B$1289='2018-19_working'!$A19)*(raw!$F$2:$F$1289='2018-19_working'!U$7)*(raw!$E$2:$E$1289='2018-19_working'!$R$6)*(raw!$G$2:$G$1289))</f>
        <v>0</v>
      </c>
      <c r="V19" s="7">
        <f>SUMPRODUCT((raw!$B$2:$B$1289='2018-19_working'!$A19)*(raw!$F$2:$F$1289='2018-19_working'!V$7)*(raw!$E$2:$E$1289='2018-19_working'!$R$6)*(raw!$G$2:$G$1289))</f>
        <v>0</v>
      </c>
      <c r="W19" s="7">
        <f>SUMPRODUCT((raw!$B$2:$B$1289='2018-19_working'!$A19)*(raw!$F$2:$F$1289='2018-19_working'!W$7)*(raw!$E$2:$E$1289='2018-19_working'!$R$6)*(raw!$G$2:$G$1289))</f>
        <v>0</v>
      </c>
      <c r="X19" s="7">
        <f>SUMPRODUCT((raw!$B$2:$B$1289='2018-19_working'!$A19)*(raw!$F$2:$F$1289='2018-19_working'!X$7)*(raw!$E$2:$E$1289='2018-19_working'!$R$6)*(raw!$G$2:$G$1289))</f>
        <v>0</v>
      </c>
      <c r="Z19" s="7">
        <f>SUMPRODUCT((raw!$B$2:$B$1289='2018-19_working'!$A19)*(raw!$F$2:$F$1289='2018-19_working'!Z$7)*(raw!$E$2:$E$1289='2018-19_working'!$Z$6)*(raw!$G$2:$G$1289))</f>
        <v>1</v>
      </c>
      <c r="AA19" s="7">
        <f>SUMPRODUCT((raw!$B$2:$B$1289='2018-19_working'!$A19)*(raw!$F$2:$F$1289='2018-19_working'!AA$7)*(raw!$E$2:$E$1289='2018-19_working'!$Z$6)*(raw!$G$2:$G$1289))</f>
        <v>8</v>
      </c>
      <c r="AB19" s="7">
        <f>SUMPRODUCT((raw!$B$2:$B$1289='2018-19_working'!$A19)*(raw!$F$2:$F$1289='2018-19_working'!AB$7)*(raw!$E$2:$E$1289='2018-19_working'!$Z$6)*(raw!$G$2:$G$1289))</f>
        <v>9</v>
      </c>
      <c r="AC19" s="7">
        <f>SUMPRODUCT((raw!$B$2:$B$1289='2018-19_working'!$A19)*(raw!$F$2:$F$1289='2018-19_working'!AC$7)*(raw!$E$2:$E$1289='2018-19_working'!$Z$6)*(raw!$G$2:$G$1289))</f>
        <v>11</v>
      </c>
      <c r="AD19" s="7">
        <f>SUMPRODUCT((raw!$B$2:$B$1289='2018-19_working'!$A19)*(raw!$F$2:$F$1289='2018-19_working'!AD$7)*(raw!$E$2:$E$1289='2018-19_working'!$Z$6)*(raw!$G$2:$G$1289))</f>
        <v>1</v>
      </c>
      <c r="AE19" s="7">
        <f>SUMPRODUCT((raw!$B$2:$B$1289='2018-19_working'!$A19)*(raw!$F$2:$F$1289='2018-19_working'!AE$7)*(raw!$E$2:$E$1289='2018-19_working'!$Z$6)*(raw!$G$2:$G$1289))</f>
        <v>0</v>
      </c>
      <c r="AF19" s="7">
        <f>SUMPRODUCT((raw!$B$2:$B$1289='2018-19_working'!$A19)*(raw!$F$2:$F$1289='2018-19_working'!AF$7)*(raw!$E$2:$E$1289='2018-19_working'!$Z$6)*(raw!$G$2:$G$1289))</f>
        <v>0</v>
      </c>
    </row>
    <row r="20" spans="1:32" x14ac:dyDescent="0.35">
      <c r="A20" s="7" t="s">
        <v>25</v>
      </c>
      <c r="B20" s="7">
        <f>SUMPRODUCT((raw!$B$2:$B$1289='2018-19_working'!$A20)*(raw!$F$2:$F$1289='2018-19_working'!B$7)*(raw!$E$2:$E$1289='2018-19_working'!$B$6:$H$6)*(raw!$G$2:$G$1289))</f>
        <v>0</v>
      </c>
      <c r="C20" s="7">
        <f>SUMPRODUCT((raw!$B$2:$B$1289='2018-19_working'!$A20)*(raw!$F$2:$F$1289='2018-19_working'!C$7)*(raw!$E$2:$E$1289='2018-19_working'!$B$6:$H$6)*(raw!$G$2:$G$1289))</f>
        <v>2</v>
      </c>
      <c r="D20" s="7">
        <f>SUMPRODUCT((raw!$B$2:$B$1289='2018-19_working'!$A20)*(raw!$F$2:$F$1289='2018-19_working'!D$7)*(raw!$E$2:$E$1289='2018-19_working'!$B$6:$H$6)*(raw!$G$2:$G$1289))</f>
        <v>3</v>
      </c>
      <c r="E20" s="7">
        <f>SUMPRODUCT((raw!$B$2:$B$1289='2018-19_working'!$A20)*(raw!$F$2:$F$1289='2018-19_working'!E$7)*(raw!$E$2:$E$1289='2018-19_working'!$B$6:$H$6)*(raw!$G$2:$G$1289))</f>
        <v>2</v>
      </c>
      <c r="F20" s="7">
        <f>SUMPRODUCT((raw!$B$2:$B$1289='2018-19_working'!$A20)*(raw!$F$2:$F$1289='2018-19_working'!F$7)*(raw!$E$2:$E$1289='2018-19_working'!$B$6:$H$6)*(raw!$G$2:$G$1289))</f>
        <v>1</v>
      </c>
      <c r="G20" s="7">
        <f>SUMPRODUCT((raw!$B$2:$B$1289='2018-19_working'!$A20)*(raw!$F$2:$F$1289='2018-19_working'!G$7)*(raw!$E$2:$E$1289='2018-19_working'!$B$6:$H$6)*(raw!$G$2:$G$1289))</f>
        <v>0</v>
      </c>
      <c r="H20" s="7">
        <f>SUMPRODUCT((raw!$B$2:$B$1289='2018-19_working'!$A20)*(raw!$F$2:$F$1289='2018-19_working'!H$7)*(raw!$E$2:$E$1289='2018-19_working'!$B$6:$H$6)*(raw!$G$2:$G$1289))</f>
        <v>0</v>
      </c>
      <c r="J20" s="7">
        <f>SUMPRODUCT((raw!$B$2:$B$1289='2018-19_working'!$A20)*(raw!$F$2:$F$1289='2018-19_working'!J$7)*(raw!$E$2:$E$1289='2018-19_working'!$J$6)*(raw!$G$2:$G$1289))</f>
        <v>26</v>
      </c>
      <c r="K20" s="7">
        <f>SUMPRODUCT((raw!$B$2:$B$1289='2018-19_working'!$A20)*(raw!$F$2:$F$1289='2018-19_working'!K$7)*(raw!$E$2:$E$1289='2018-19_working'!$J$6)*(raw!$G$2:$G$1289))</f>
        <v>57</v>
      </c>
      <c r="L20" s="7">
        <f>SUMPRODUCT((raw!$B$2:$B$1289='2018-19_working'!$A20)*(raw!$F$2:$F$1289='2018-19_working'!L$7)*(raw!$E$2:$E$1289='2018-19_working'!$J$6)*(raw!$G$2:$G$1289))</f>
        <v>26</v>
      </c>
      <c r="M20" s="7">
        <f>SUMPRODUCT((raw!$B$2:$B$1289='2018-19_working'!$A20)*(raw!$F$2:$F$1289='2018-19_working'!M$7)*(raw!$E$2:$E$1289='2018-19_working'!$J$6)*(raw!$G$2:$G$1289))</f>
        <v>14</v>
      </c>
      <c r="N20" s="7">
        <f>SUMPRODUCT((raw!$B$2:$B$1289='2018-19_working'!$A20)*(raw!$F$2:$F$1289='2018-19_working'!N$7)*(raw!$E$2:$E$1289='2018-19_working'!$J$6)*(raw!$G$2:$G$1289))</f>
        <v>6</v>
      </c>
      <c r="O20" s="7">
        <f>SUMPRODUCT((raw!$B$2:$B$1289='2018-19_working'!$A20)*(raw!$F$2:$F$1289='2018-19_working'!O$7)*(raw!$E$2:$E$1289='2018-19_working'!$J$6)*(raw!$G$2:$G$1289))</f>
        <v>0</v>
      </c>
      <c r="P20" s="7">
        <f>SUMPRODUCT((raw!$B$2:$B$1289='2018-19_working'!$A20)*(raw!$F$2:$F$1289='2018-19_working'!P$7)*(raw!$E$2:$E$1289='2018-19_working'!$J$6)*(raw!$G$2:$G$1289))</f>
        <v>0</v>
      </c>
      <c r="R20" s="7">
        <f>SUMPRODUCT((raw!$B$2:$B$1289='2018-19_working'!$A20)*(raw!$F$2:$F$1289='2018-19_working'!R$7)*(raw!$E$2:$E$1289='2018-19_working'!$R$6)*(raw!$G$2:$G$1289))</f>
        <v>0</v>
      </c>
      <c r="S20" s="7">
        <f>SUMPRODUCT((raw!$B$2:$B$1289='2018-19_working'!$A20)*(raw!$F$2:$F$1289='2018-19_working'!S$7)*(raw!$E$2:$E$1289='2018-19_working'!$R$6)*(raw!$G$2:$G$1289))</f>
        <v>0</v>
      </c>
      <c r="T20" s="7">
        <f>SUMPRODUCT((raw!$B$2:$B$1289='2018-19_working'!$A20)*(raw!$F$2:$F$1289='2018-19_working'!T$7)*(raw!$E$2:$E$1289='2018-19_working'!$R$6)*(raw!$G$2:$G$1289))</f>
        <v>0</v>
      </c>
      <c r="U20" s="7">
        <f>SUMPRODUCT((raw!$B$2:$B$1289='2018-19_working'!$A20)*(raw!$F$2:$F$1289='2018-19_working'!U$7)*(raw!$E$2:$E$1289='2018-19_working'!$R$6)*(raw!$G$2:$G$1289))</f>
        <v>0</v>
      </c>
      <c r="V20" s="7">
        <f>SUMPRODUCT((raw!$B$2:$B$1289='2018-19_working'!$A20)*(raw!$F$2:$F$1289='2018-19_working'!V$7)*(raw!$E$2:$E$1289='2018-19_working'!$R$6)*(raw!$G$2:$G$1289))</f>
        <v>0</v>
      </c>
      <c r="W20" s="7">
        <f>SUMPRODUCT((raw!$B$2:$B$1289='2018-19_working'!$A20)*(raw!$F$2:$F$1289='2018-19_working'!W$7)*(raw!$E$2:$E$1289='2018-19_working'!$R$6)*(raw!$G$2:$G$1289))</f>
        <v>0</v>
      </c>
      <c r="X20" s="7">
        <f>SUMPRODUCT((raw!$B$2:$B$1289='2018-19_working'!$A20)*(raw!$F$2:$F$1289='2018-19_working'!X$7)*(raw!$E$2:$E$1289='2018-19_working'!$R$6)*(raw!$G$2:$G$1289))</f>
        <v>0</v>
      </c>
      <c r="Z20" s="7">
        <f>SUMPRODUCT((raw!$B$2:$B$1289='2018-19_working'!$A20)*(raw!$F$2:$F$1289='2018-19_working'!Z$7)*(raw!$E$2:$E$1289='2018-19_working'!$Z$6)*(raw!$G$2:$G$1289))</f>
        <v>5</v>
      </c>
      <c r="AA20" s="7">
        <f>SUMPRODUCT((raw!$B$2:$B$1289='2018-19_working'!$A20)*(raw!$F$2:$F$1289='2018-19_working'!AA$7)*(raw!$E$2:$E$1289='2018-19_working'!$Z$6)*(raw!$G$2:$G$1289))</f>
        <v>6</v>
      </c>
      <c r="AB20" s="7">
        <f>SUMPRODUCT((raw!$B$2:$B$1289='2018-19_working'!$A20)*(raw!$F$2:$F$1289='2018-19_working'!AB$7)*(raw!$E$2:$E$1289='2018-19_working'!$Z$6)*(raw!$G$2:$G$1289))</f>
        <v>4</v>
      </c>
      <c r="AC20" s="7">
        <f>SUMPRODUCT((raw!$B$2:$B$1289='2018-19_working'!$A20)*(raw!$F$2:$F$1289='2018-19_working'!AC$7)*(raw!$E$2:$E$1289='2018-19_working'!$Z$6)*(raw!$G$2:$G$1289))</f>
        <v>10</v>
      </c>
      <c r="AD20" s="7">
        <f>SUMPRODUCT((raw!$B$2:$B$1289='2018-19_working'!$A20)*(raw!$F$2:$F$1289='2018-19_working'!AD$7)*(raw!$E$2:$E$1289='2018-19_working'!$Z$6)*(raw!$G$2:$G$1289))</f>
        <v>2</v>
      </c>
      <c r="AE20" s="7">
        <f>SUMPRODUCT((raw!$B$2:$B$1289='2018-19_working'!$A20)*(raw!$F$2:$F$1289='2018-19_working'!AE$7)*(raw!$E$2:$E$1289='2018-19_working'!$Z$6)*(raw!$G$2:$G$1289))</f>
        <v>0</v>
      </c>
      <c r="AF20" s="7">
        <f>SUMPRODUCT((raw!$B$2:$B$1289='2018-19_working'!$A20)*(raw!$F$2:$F$1289='2018-19_working'!AF$7)*(raw!$E$2:$E$1289='2018-19_working'!$Z$6)*(raw!$G$2:$G$1289))</f>
        <v>0</v>
      </c>
    </row>
    <row r="21" spans="1:32" x14ac:dyDescent="0.35">
      <c r="A21" s="7" t="s">
        <v>26</v>
      </c>
      <c r="B21" s="7">
        <f>SUMPRODUCT((raw!$B$2:$B$1289='2018-19_working'!$A21)*(raw!$F$2:$F$1289='2018-19_working'!B$7)*(raw!$E$2:$E$1289='2018-19_working'!$B$6:$H$6)*(raw!$G$2:$G$1289))</f>
        <v>5</v>
      </c>
      <c r="C21" s="7">
        <f>SUMPRODUCT((raw!$B$2:$B$1289='2018-19_working'!$A21)*(raw!$F$2:$F$1289='2018-19_working'!C$7)*(raw!$E$2:$E$1289='2018-19_working'!$B$6:$H$6)*(raw!$G$2:$G$1289))</f>
        <v>15</v>
      </c>
      <c r="D21" s="7">
        <f>SUMPRODUCT((raw!$B$2:$B$1289='2018-19_working'!$A21)*(raw!$F$2:$F$1289='2018-19_working'!D$7)*(raw!$E$2:$E$1289='2018-19_working'!$B$6:$H$6)*(raw!$G$2:$G$1289))</f>
        <v>6</v>
      </c>
      <c r="E21" s="7">
        <f>SUMPRODUCT((raw!$B$2:$B$1289='2018-19_working'!$A21)*(raw!$F$2:$F$1289='2018-19_working'!E$7)*(raw!$E$2:$E$1289='2018-19_working'!$B$6:$H$6)*(raw!$G$2:$G$1289))</f>
        <v>6</v>
      </c>
      <c r="F21" s="7">
        <f>SUMPRODUCT((raw!$B$2:$B$1289='2018-19_working'!$A21)*(raw!$F$2:$F$1289='2018-19_working'!F$7)*(raw!$E$2:$E$1289='2018-19_working'!$B$6:$H$6)*(raw!$G$2:$G$1289))</f>
        <v>0</v>
      </c>
      <c r="G21" s="7">
        <f>SUMPRODUCT((raw!$B$2:$B$1289='2018-19_working'!$A21)*(raw!$F$2:$F$1289='2018-19_working'!G$7)*(raw!$E$2:$E$1289='2018-19_working'!$B$6:$H$6)*(raw!$G$2:$G$1289))</f>
        <v>0</v>
      </c>
      <c r="H21" s="7">
        <f>SUMPRODUCT((raw!$B$2:$B$1289='2018-19_working'!$A21)*(raw!$F$2:$F$1289='2018-19_working'!H$7)*(raw!$E$2:$E$1289='2018-19_working'!$B$6:$H$6)*(raw!$G$2:$G$1289))</f>
        <v>0</v>
      </c>
      <c r="J21" s="7">
        <f>SUMPRODUCT((raw!$B$2:$B$1289='2018-19_working'!$A21)*(raw!$F$2:$F$1289='2018-19_working'!J$7)*(raw!$E$2:$E$1289='2018-19_working'!$J$6)*(raw!$G$2:$G$1289))</f>
        <v>18</v>
      </c>
      <c r="K21" s="7">
        <f>SUMPRODUCT((raw!$B$2:$B$1289='2018-19_working'!$A21)*(raw!$F$2:$F$1289='2018-19_working'!K$7)*(raw!$E$2:$E$1289='2018-19_working'!$J$6)*(raw!$G$2:$G$1289))</f>
        <v>39</v>
      </c>
      <c r="L21" s="7">
        <f>SUMPRODUCT((raw!$B$2:$B$1289='2018-19_working'!$A21)*(raw!$F$2:$F$1289='2018-19_working'!L$7)*(raw!$E$2:$E$1289='2018-19_working'!$J$6)*(raw!$G$2:$G$1289))</f>
        <v>8</v>
      </c>
      <c r="M21" s="7">
        <f>SUMPRODUCT((raw!$B$2:$B$1289='2018-19_working'!$A21)*(raw!$F$2:$F$1289='2018-19_working'!M$7)*(raw!$E$2:$E$1289='2018-19_working'!$J$6)*(raw!$G$2:$G$1289))</f>
        <v>2</v>
      </c>
      <c r="N21" s="7">
        <f>SUMPRODUCT((raw!$B$2:$B$1289='2018-19_working'!$A21)*(raw!$F$2:$F$1289='2018-19_working'!N$7)*(raw!$E$2:$E$1289='2018-19_working'!$J$6)*(raw!$G$2:$G$1289))</f>
        <v>0</v>
      </c>
      <c r="O21" s="7">
        <f>SUMPRODUCT((raw!$B$2:$B$1289='2018-19_working'!$A21)*(raw!$F$2:$F$1289='2018-19_working'!O$7)*(raw!$E$2:$E$1289='2018-19_working'!$J$6)*(raw!$G$2:$G$1289))</f>
        <v>0</v>
      </c>
      <c r="P21" s="7">
        <f>SUMPRODUCT((raw!$B$2:$B$1289='2018-19_working'!$A21)*(raw!$F$2:$F$1289='2018-19_working'!P$7)*(raw!$E$2:$E$1289='2018-19_working'!$J$6)*(raw!$G$2:$G$1289))</f>
        <v>0</v>
      </c>
      <c r="R21" s="7">
        <f>SUMPRODUCT((raw!$B$2:$B$1289='2018-19_working'!$A21)*(raw!$F$2:$F$1289='2018-19_working'!R$7)*(raw!$E$2:$E$1289='2018-19_working'!$R$6)*(raw!$G$2:$G$1289))</f>
        <v>0</v>
      </c>
      <c r="S21" s="7">
        <f>SUMPRODUCT((raw!$B$2:$B$1289='2018-19_working'!$A21)*(raw!$F$2:$F$1289='2018-19_working'!S$7)*(raw!$E$2:$E$1289='2018-19_working'!$R$6)*(raw!$G$2:$G$1289))</f>
        <v>0</v>
      </c>
      <c r="T21" s="7">
        <f>SUMPRODUCT((raw!$B$2:$B$1289='2018-19_working'!$A21)*(raw!$F$2:$F$1289='2018-19_working'!T$7)*(raw!$E$2:$E$1289='2018-19_working'!$R$6)*(raw!$G$2:$G$1289))</f>
        <v>0</v>
      </c>
      <c r="U21" s="7">
        <f>SUMPRODUCT((raw!$B$2:$B$1289='2018-19_working'!$A21)*(raw!$F$2:$F$1289='2018-19_working'!U$7)*(raw!$E$2:$E$1289='2018-19_working'!$R$6)*(raw!$G$2:$G$1289))</f>
        <v>0</v>
      </c>
      <c r="V21" s="7">
        <f>SUMPRODUCT((raw!$B$2:$B$1289='2018-19_working'!$A21)*(raw!$F$2:$F$1289='2018-19_working'!V$7)*(raw!$E$2:$E$1289='2018-19_working'!$R$6)*(raw!$G$2:$G$1289))</f>
        <v>0</v>
      </c>
      <c r="W21" s="7">
        <f>SUMPRODUCT((raw!$B$2:$B$1289='2018-19_working'!$A21)*(raw!$F$2:$F$1289='2018-19_working'!W$7)*(raw!$E$2:$E$1289='2018-19_working'!$R$6)*(raw!$G$2:$G$1289))</f>
        <v>0</v>
      </c>
      <c r="X21" s="7">
        <f>SUMPRODUCT((raw!$B$2:$B$1289='2018-19_working'!$A21)*(raw!$F$2:$F$1289='2018-19_working'!X$7)*(raw!$E$2:$E$1289='2018-19_working'!$R$6)*(raw!$G$2:$G$1289))</f>
        <v>0</v>
      </c>
      <c r="Z21" s="7">
        <f>SUMPRODUCT((raw!$B$2:$B$1289='2018-19_working'!$A21)*(raw!$F$2:$F$1289='2018-19_working'!Z$7)*(raw!$E$2:$E$1289='2018-19_working'!$Z$6)*(raw!$G$2:$G$1289))</f>
        <v>5</v>
      </c>
      <c r="AA21" s="7">
        <f>SUMPRODUCT((raw!$B$2:$B$1289='2018-19_working'!$A21)*(raw!$F$2:$F$1289='2018-19_working'!AA$7)*(raw!$E$2:$E$1289='2018-19_working'!$Z$6)*(raw!$G$2:$G$1289))</f>
        <v>16</v>
      </c>
      <c r="AB21" s="7">
        <f>SUMPRODUCT((raw!$B$2:$B$1289='2018-19_working'!$A21)*(raw!$F$2:$F$1289='2018-19_working'!AB$7)*(raw!$E$2:$E$1289='2018-19_working'!$Z$6)*(raw!$G$2:$G$1289))</f>
        <v>16</v>
      </c>
      <c r="AC21" s="7">
        <f>SUMPRODUCT((raw!$B$2:$B$1289='2018-19_working'!$A21)*(raw!$F$2:$F$1289='2018-19_working'!AC$7)*(raw!$E$2:$E$1289='2018-19_working'!$Z$6)*(raw!$G$2:$G$1289))</f>
        <v>14</v>
      </c>
      <c r="AD21" s="7">
        <f>SUMPRODUCT((raw!$B$2:$B$1289='2018-19_working'!$A21)*(raw!$F$2:$F$1289='2018-19_working'!AD$7)*(raw!$E$2:$E$1289='2018-19_working'!$Z$6)*(raw!$G$2:$G$1289))</f>
        <v>5</v>
      </c>
      <c r="AE21" s="7">
        <f>SUMPRODUCT((raw!$B$2:$B$1289='2018-19_working'!$A21)*(raw!$F$2:$F$1289='2018-19_working'!AE$7)*(raw!$E$2:$E$1289='2018-19_working'!$Z$6)*(raw!$G$2:$G$1289))</f>
        <v>0</v>
      </c>
      <c r="AF21" s="7">
        <f>SUMPRODUCT((raw!$B$2:$B$1289='2018-19_working'!$A21)*(raw!$F$2:$F$1289='2018-19_working'!AF$7)*(raw!$E$2:$E$1289='2018-19_working'!$Z$6)*(raw!$G$2:$G$1289))</f>
        <v>0</v>
      </c>
    </row>
    <row r="22" spans="1:32" x14ac:dyDescent="0.35">
      <c r="A22" s="7" t="s">
        <v>27</v>
      </c>
      <c r="B22" s="7">
        <f>SUMPRODUCT((raw!$B$2:$B$1289='2018-19_working'!$A22)*(raw!$F$2:$F$1289='2018-19_working'!B$7)*(raw!$E$2:$E$1289='2018-19_working'!$B$6:$H$6)*(raw!$G$2:$G$1289))</f>
        <v>0</v>
      </c>
      <c r="C22" s="7">
        <f>SUMPRODUCT((raw!$B$2:$B$1289='2018-19_working'!$A22)*(raw!$F$2:$F$1289='2018-19_working'!C$7)*(raw!$E$2:$E$1289='2018-19_working'!$B$6:$H$6)*(raw!$G$2:$G$1289))</f>
        <v>0</v>
      </c>
      <c r="D22" s="7">
        <f>SUMPRODUCT((raw!$B$2:$B$1289='2018-19_working'!$A22)*(raw!$F$2:$F$1289='2018-19_working'!D$7)*(raw!$E$2:$E$1289='2018-19_working'!$B$6:$H$6)*(raw!$G$2:$G$1289))</f>
        <v>0</v>
      </c>
      <c r="E22" s="7">
        <f>SUMPRODUCT((raw!$B$2:$B$1289='2018-19_working'!$A22)*(raw!$F$2:$F$1289='2018-19_working'!E$7)*(raw!$E$2:$E$1289='2018-19_working'!$B$6:$H$6)*(raw!$G$2:$G$1289))</f>
        <v>0</v>
      </c>
      <c r="F22" s="7">
        <f>SUMPRODUCT((raw!$B$2:$B$1289='2018-19_working'!$A22)*(raw!$F$2:$F$1289='2018-19_working'!F$7)*(raw!$E$2:$E$1289='2018-19_working'!$B$6:$H$6)*(raw!$G$2:$G$1289))</f>
        <v>0</v>
      </c>
      <c r="G22" s="7">
        <f>SUMPRODUCT((raw!$B$2:$B$1289='2018-19_working'!$A22)*(raw!$F$2:$F$1289='2018-19_working'!G$7)*(raw!$E$2:$E$1289='2018-19_working'!$B$6:$H$6)*(raw!$G$2:$G$1289))</f>
        <v>0</v>
      </c>
      <c r="H22" s="7">
        <f>SUMPRODUCT((raw!$B$2:$B$1289='2018-19_working'!$A22)*(raw!$F$2:$F$1289='2018-19_working'!H$7)*(raw!$E$2:$E$1289='2018-19_working'!$B$6:$H$6)*(raw!$G$2:$G$1289))</f>
        <v>0</v>
      </c>
      <c r="J22" s="7">
        <f>SUMPRODUCT((raw!$B$2:$B$1289='2018-19_working'!$A22)*(raw!$F$2:$F$1289='2018-19_working'!J$7)*(raw!$E$2:$E$1289='2018-19_working'!$J$6)*(raw!$G$2:$G$1289))</f>
        <v>7</v>
      </c>
      <c r="K22" s="7">
        <f>SUMPRODUCT((raw!$B$2:$B$1289='2018-19_working'!$A22)*(raw!$F$2:$F$1289='2018-19_working'!K$7)*(raw!$E$2:$E$1289='2018-19_working'!$J$6)*(raw!$G$2:$G$1289))</f>
        <v>11</v>
      </c>
      <c r="L22" s="7">
        <f>SUMPRODUCT((raw!$B$2:$B$1289='2018-19_working'!$A22)*(raw!$F$2:$F$1289='2018-19_working'!L$7)*(raw!$E$2:$E$1289='2018-19_working'!$J$6)*(raw!$G$2:$G$1289))</f>
        <v>2</v>
      </c>
      <c r="M22" s="7">
        <f>SUMPRODUCT((raw!$B$2:$B$1289='2018-19_working'!$A22)*(raw!$F$2:$F$1289='2018-19_working'!M$7)*(raw!$E$2:$E$1289='2018-19_working'!$J$6)*(raw!$G$2:$G$1289))</f>
        <v>1</v>
      </c>
      <c r="N22" s="7">
        <f>SUMPRODUCT((raw!$B$2:$B$1289='2018-19_working'!$A22)*(raw!$F$2:$F$1289='2018-19_working'!N$7)*(raw!$E$2:$E$1289='2018-19_working'!$J$6)*(raw!$G$2:$G$1289))</f>
        <v>0</v>
      </c>
      <c r="O22" s="7">
        <f>SUMPRODUCT((raw!$B$2:$B$1289='2018-19_working'!$A22)*(raw!$F$2:$F$1289='2018-19_working'!O$7)*(raw!$E$2:$E$1289='2018-19_working'!$J$6)*(raw!$G$2:$G$1289))</f>
        <v>0</v>
      </c>
      <c r="P22" s="7">
        <f>SUMPRODUCT((raw!$B$2:$B$1289='2018-19_working'!$A22)*(raw!$F$2:$F$1289='2018-19_working'!P$7)*(raw!$E$2:$E$1289='2018-19_working'!$J$6)*(raw!$G$2:$G$1289))</f>
        <v>1</v>
      </c>
      <c r="R22" s="7">
        <f>SUMPRODUCT((raw!$B$2:$B$1289='2018-19_working'!$A22)*(raw!$F$2:$F$1289='2018-19_working'!R$7)*(raw!$E$2:$E$1289='2018-19_working'!$R$6)*(raw!$G$2:$G$1289))</f>
        <v>0</v>
      </c>
      <c r="S22" s="7">
        <f>SUMPRODUCT((raw!$B$2:$B$1289='2018-19_working'!$A22)*(raw!$F$2:$F$1289='2018-19_working'!S$7)*(raw!$E$2:$E$1289='2018-19_working'!$R$6)*(raw!$G$2:$G$1289))</f>
        <v>0</v>
      </c>
      <c r="T22" s="7">
        <f>SUMPRODUCT((raw!$B$2:$B$1289='2018-19_working'!$A22)*(raw!$F$2:$F$1289='2018-19_working'!T$7)*(raw!$E$2:$E$1289='2018-19_working'!$R$6)*(raw!$G$2:$G$1289))</f>
        <v>0</v>
      </c>
      <c r="U22" s="7">
        <f>SUMPRODUCT((raw!$B$2:$B$1289='2018-19_working'!$A22)*(raw!$F$2:$F$1289='2018-19_working'!U$7)*(raw!$E$2:$E$1289='2018-19_working'!$R$6)*(raw!$G$2:$G$1289))</f>
        <v>0</v>
      </c>
      <c r="V22" s="7">
        <f>SUMPRODUCT((raw!$B$2:$B$1289='2018-19_working'!$A22)*(raw!$F$2:$F$1289='2018-19_working'!V$7)*(raw!$E$2:$E$1289='2018-19_working'!$R$6)*(raw!$G$2:$G$1289))</f>
        <v>0</v>
      </c>
      <c r="W22" s="7">
        <f>SUMPRODUCT((raw!$B$2:$B$1289='2018-19_working'!$A22)*(raw!$F$2:$F$1289='2018-19_working'!W$7)*(raw!$E$2:$E$1289='2018-19_working'!$R$6)*(raw!$G$2:$G$1289))</f>
        <v>0</v>
      </c>
      <c r="X22" s="7">
        <f>SUMPRODUCT((raw!$B$2:$B$1289='2018-19_working'!$A22)*(raw!$F$2:$F$1289='2018-19_working'!X$7)*(raw!$E$2:$E$1289='2018-19_working'!$R$6)*(raw!$G$2:$G$1289))</f>
        <v>0</v>
      </c>
      <c r="Z22" s="7">
        <f>SUMPRODUCT((raw!$B$2:$B$1289='2018-19_working'!$A22)*(raw!$F$2:$F$1289='2018-19_working'!Z$7)*(raw!$E$2:$E$1289='2018-19_working'!$Z$6)*(raw!$G$2:$G$1289))</f>
        <v>3</v>
      </c>
      <c r="AA22" s="7">
        <f>SUMPRODUCT((raw!$B$2:$B$1289='2018-19_working'!$A22)*(raw!$F$2:$F$1289='2018-19_working'!AA$7)*(raw!$E$2:$E$1289='2018-19_working'!$Z$6)*(raw!$G$2:$G$1289))</f>
        <v>5</v>
      </c>
      <c r="AB22" s="7">
        <f>SUMPRODUCT((raw!$B$2:$B$1289='2018-19_working'!$A22)*(raw!$F$2:$F$1289='2018-19_working'!AB$7)*(raw!$E$2:$E$1289='2018-19_working'!$Z$6)*(raw!$G$2:$G$1289))</f>
        <v>2</v>
      </c>
      <c r="AC22" s="7">
        <f>SUMPRODUCT((raw!$B$2:$B$1289='2018-19_working'!$A22)*(raw!$F$2:$F$1289='2018-19_working'!AC$7)*(raw!$E$2:$E$1289='2018-19_working'!$Z$6)*(raw!$G$2:$G$1289))</f>
        <v>1</v>
      </c>
      <c r="AD22" s="7">
        <f>SUMPRODUCT((raw!$B$2:$B$1289='2018-19_working'!$A22)*(raw!$F$2:$F$1289='2018-19_working'!AD$7)*(raw!$E$2:$E$1289='2018-19_working'!$Z$6)*(raw!$G$2:$G$1289))</f>
        <v>0</v>
      </c>
      <c r="AE22" s="7">
        <f>SUMPRODUCT((raw!$B$2:$B$1289='2018-19_working'!$A22)*(raw!$F$2:$F$1289='2018-19_working'!AE$7)*(raw!$E$2:$E$1289='2018-19_working'!$Z$6)*(raw!$G$2:$G$1289))</f>
        <v>0</v>
      </c>
      <c r="AF22" s="7">
        <f>SUMPRODUCT((raw!$B$2:$B$1289='2018-19_working'!$A22)*(raw!$F$2:$F$1289='2018-19_working'!AF$7)*(raw!$E$2:$E$1289='2018-19_working'!$Z$6)*(raw!$G$2:$G$1289))</f>
        <v>0</v>
      </c>
    </row>
    <row r="23" spans="1:32" x14ac:dyDescent="0.35">
      <c r="A23" s="7" t="s">
        <v>28</v>
      </c>
      <c r="B23" s="7">
        <f>SUMPRODUCT((raw!$B$2:$B$1289='2018-19_working'!$A23)*(raw!$F$2:$F$1289='2018-19_working'!B$7)*(raw!$E$2:$E$1289='2018-19_working'!$B$6:$H$6)*(raw!$G$2:$G$1289))</f>
        <v>0</v>
      </c>
      <c r="C23" s="7">
        <f>SUMPRODUCT((raw!$B$2:$B$1289='2018-19_working'!$A23)*(raw!$F$2:$F$1289='2018-19_working'!C$7)*(raw!$E$2:$E$1289='2018-19_working'!$B$6:$H$6)*(raw!$G$2:$G$1289))</f>
        <v>1</v>
      </c>
      <c r="D23" s="7">
        <f>SUMPRODUCT((raw!$B$2:$B$1289='2018-19_working'!$A23)*(raw!$F$2:$F$1289='2018-19_working'!D$7)*(raw!$E$2:$E$1289='2018-19_working'!$B$6:$H$6)*(raw!$G$2:$G$1289))</f>
        <v>1</v>
      </c>
      <c r="E23" s="7">
        <f>SUMPRODUCT((raw!$B$2:$B$1289='2018-19_working'!$A23)*(raw!$F$2:$F$1289='2018-19_working'!E$7)*(raw!$E$2:$E$1289='2018-19_working'!$B$6:$H$6)*(raw!$G$2:$G$1289))</f>
        <v>0</v>
      </c>
      <c r="F23" s="7">
        <f>SUMPRODUCT((raw!$B$2:$B$1289='2018-19_working'!$A23)*(raw!$F$2:$F$1289='2018-19_working'!F$7)*(raw!$E$2:$E$1289='2018-19_working'!$B$6:$H$6)*(raw!$G$2:$G$1289))</f>
        <v>0</v>
      </c>
      <c r="G23" s="7">
        <f>SUMPRODUCT((raw!$B$2:$B$1289='2018-19_working'!$A23)*(raw!$F$2:$F$1289='2018-19_working'!G$7)*(raw!$E$2:$E$1289='2018-19_working'!$B$6:$H$6)*(raw!$G$2:$G$1289))</f>
        <v>0</v>
      </c>
      <c r="H23" s="7">
        <f>SUMPRODUCT((raw!$B$2:$B$1289='2018-19_working'!$A23)*(raw!$F$2:$F$1289='2018-19_working'!H$7)*(raw!$E$2:$E$1289='2018-19_working'!$B$6:$H$6)*(raw!$G$2:$G$1289))</f>
        <v>0</v>
      </c>
      <c r="J23" s="7">
        <f>SUMPRODUCT((raw!$B$2:$B$1289='2018-19_working'!$A23)*(raw!$F$2:$F$1289='2018-19_working'!J$7)*(raw!$E$2:$E$1289='2018-19_working'!$J$6)*(raw!$G$2:$G$1289))</f>
        <v>7</v>
      </c>
      <c r="K23" s="7">
        <f>SUMPRODUCT((raw!$B$2:$B$1289='2018-19_working'!$A23)*(raw!$F$2:$F$1289='2018-19_working'!K$7)*(raw!$E$2:$E$1289='2018-19_working'!$J$6)*(raw!$G$2:$G$1289))</f>
        <v>12</v>
      </c>
      <c r="L23" s="7">
        <f>SUMPRODUCT((raw!$B$2:$B$1289='2018-19_working'!$A23)*(raw!$F$2:$F$1289='2018-19_working'!L$7)*(raw!$E$2:$E$1289='2018-19_working'!$J$6)*(raw!$G$2:$G$1289))</f>
        <v>6</v>
      </c>
      <c r="M23" s="7">
        <f>SUMPRODUCT((raw!$B$2:$B$1289='2018-19_working'!$A23)*(raw!$F$2:$F$1289='2018-19_working'!M$7)*(raw!$E$2:$E$1289='2018-19_working'!$J$6)*(raw!$G$2:$G$1289))</f>
        <v>2</v>
      </c>
      <c r="N23" s="7">
        <f>SUMPRODUCT((raw!$B$2:$B$1289='2018-19_working'!$A23)*(raw!$F$2:$F$1289='2018-19_working'!N$7)*(raw!$E$2:$E$1289='2018-19_working'!$J$6)*(raw!$G$2:$G$1289))</f>
        <v>0</v>
      </c>
      <c r="O23" s="7">
        <f>SUMPRODUCT((raw!$B$2:$B$1289='2018-19_working'!$A23)*(raw!$F$2:$F$1289='2018-19_working'!O$7)*(raw!$E$2:$E$1289='2018-19_working'!$J$6)*(raw!$G$2:$G$1289))</f>
        <v>0</v>
      </c>
      <c r="P23" s="7">
        <f>SUMPRODUCT((raw!$B$2:$B$1289='2018-19_working'!$A23)*(raw!$F$2:$F$1289='2018-19_working'!P$7)*(raw!$E$2:$E$1289='2018-19_working'!$J$6)*(raw!$G$2:$G$1289))</f>
        <v>0</v>
      </c>
      <c r="R23" s="7">
        <f>SUMPRODUCT((raw!$B$2:$B$1289='2018-19_working'!$A23)*(raw!$F$2:$F$1289='2018-19_working'!R$7)*(raw!$E$2:$E$1289='2018-19_working'!$R$6)*(raw!$G$2:$G$1289))</f>
        <v>2</v>
      </c>
      <c r="S23" s="7">
        <f>SUMPRODUCT((raw!$B$2:$B$1289='2018-19_working'!$A23)*(raw!$F$2:$F$1289='2018-19_working'!S$7)*(raw!$E$2:$E$1289='2018-19_working'!$R$6)*(raw!$G$2:$G$1289))</f>
        <v>0</v>
      </c>
      <c r="T23" s="7">
        <f>SUMPRODUCT((raw!$B$2:$B$1289='2018-19_working'!$A23)*(raw!$F$2:$F$1289='2018-19_working'!T$7)*(raw!$E$2:$E$1289='2018-19_working'!$R$6)*(raw!$G$2:$G$1289))</f>
        <v>0</v>
      </c>
      <c r="U23" s="7">
        <f>SUMPRODUCT((raw!$B$2:$B$1289='2018-19_working'!$A23)*(raw!$F$2:$F$1289='2018-19_working'!U$7)*(raw!$E$2:$E$1289='2018-19_working'!$R$6)*(raw!$G$2:$G$1289))</f>
        <v>0</v>
      </c>
      <c r="V23" s="7">
        <f>SUMPRODUCT((raw!$B$2:$B$1289='2018-19_working'!$A23)*(raw!$F$2:$F$1289='2018-19_working'!V$7)*(raw!$E$2:$E$1289='2018-19_working'!$R$6)*(raw!$G$2:$G$1289))</f>
        <v>0</v>
      </c>
      <c r="W23" s="7">
        <f>SUMPRODUCT((raw!$B$2:$B$1289='2018-19_working'!$A23)*(raw!$F$2:$F$1289='2018-19_working'!W$7)*(raw!$E$2:$E$1289='2018-19_working'!$R$6)*(raw!$G$2:$G$1289))</f>
        <v>0</v>
      </c>
      <c r="X23" s="7">
        <f>SUMPRODUCT((raw!$B$2:$B$1289='2018-19_working'!$A23)*(raw!$F$2:$F$1289='2018-19_working'!X$7)*(raw!$E$2:$E$1289='2018-19_working'!$R$6)*(raw!$G$2:$G$1289))</f>
        <v>0</v>
      </c>
      <c r="Z23" s="7">
        <f>SUMPRODUCT((raw!$B$2:$B$1289='2018-19_working'!$A23)*(raw!$F$2:$F$1289='2018-19_working'!Z$7)*(raw!$E$2:$E$1289='2018-19_working'!$Z$6)*(raw!$G$2:$G$1289))</f>
        <v>2</v>
      </c>
      <c r="AA23" s="7">
        <f>SUMPRODUCT((raw!$B$2:$B$1289='2018-19_working'!$A23)*(raw!$F$2:$F$1289='2018-19_working'!AA$7)*(raw!$E$2:$E$1289='2018-19_working'!$Z$6)*(raw!$G$2:$G$1289))</f>
        <v>5</v>
      </c>
      <c r="AB23" s="7">
        <f>SUMPRODUCT((raw!$B$2:$B$1289='2018-19_working'!$A23)*(raw!$F$2:$F$1289='2018-19_working'!AB$7)*(raw!$E$2:$E$1289='2018-19_working'!$Z$6)*(raw!$G$2:$G$1289))</f>
        <v>5</v>
      </c>
      <c r="AC23" s="7">
        <f>SUMPRODUCT((raw!$B$2:$B$1289='2018-19_working'!$A23)*(raw!$F$2:$F$1289='2018-19_working'!AC$7)*(raw!$E$2:$E$1289='2018-19_working'!$Z$6)*(raw!$G$2:$G$1289))</f>
        <v>12</v>
      </c>
      <c r="AD23" s="7">
        <f>SUMPRODUCT((raw!$B$2:$B$1289='2018-19_working'!$A23)*(raw!$F$2:$F$1289='2018-19_working'!AD$7)*(raw!$E$2:$E$1289='2018-19_working'!$Z$6)*(raw!$G$2:$G$1289))</f>
        <v>2</v>
      </c>
      <c r="AE23" s="7">
        <f>SUMPRODUCT((raw!$B$2:$B$1289='2018-19_working'!$A23)*(raw!$F$2:$F$1289='2018-19_working'!AE$7)*(raw!$E$2:$E$1289='2018-19_working'!$Z$6)*(raw!$G$2:$G$1289))</f>
        <v>0</v>
      </c>
      <c r="AF23" s="7">
        <f>SUMPRODUCT((raw!$B$2:$B$1289='2018-19_working'!$A23)*(raw!$F$2:$F$1289='2018-19_working'!AF$7)*(raw!$E$2:$E$1289='2018-19_working'!$Z$6)*(raw!$G$2:$G$1289))</f>
        <v>0</v>
      </c>
    </row>
    <row r="24" spans="1:32" x14ac:dyDescent="0.35">
      <c r="A24" s="7" t="s">
        <v>29</v>
      </c>
      <c r="B24" s="7">
        <f>SUMPRODUCT((raw!$B$2:$B$1289='2018-19_working'!$A24)*(raw!$F$2:$F$1289='2018-19_working'!B$7)*(raw!$E$2:$E$1289='2018-19_working'!$B$6:$H$6)*(raw!$G$2:$G$1289))</f>
        <v>5</v>
      </c>
      <c r="C24" s="7">
        <f>SUMPRODUCT((raw!$B$2:$B$1289='2018-19_working'!$A24)*(raw!$F$2:$F$1289='2018-19_working'!C$7)*(raw!$E$2:$E$1289='2018-19_working'!$B$6:$H$6)*(raw!$G$2:$G$1289))</f>
        <v>36</v>
      </c>
      <c r="D24" s="7">
        <f>SUMPRODUCT((raw!$B$2:$B$1289='2018-19_working'!$A24)*(raw!$F$2:$F$1289='2018-19_working'!D$7)*(raw!$E$2:$E$1289='2018-19_working'!$B$6:$H$6)*(raw!$G$2:$G$1289))</f>
        <v>11</v>
      </c>
      <c r="E24" s="7">
        <f>SUMPRODUCT((raw!$B$2:$B$1289='2018-19_working'!$A24)*(raw!$F$2:$F$1289='2018-19_working'!E$7)*(raw!$E$2:$E$1289='2018-19_working'!$B$6:$H$6)*(raw!$G$2:$G$1289))</f>
        <v>5</v>
      </c>
      <c r="F24" s="7">
        <f>SUMPRODUCT((raw!$B$2:$B$1289='2018-19_working'!$A24)*(raw!$F$2:$F$1289='2018-19_working'!F$7)*(raw!$E$2:$E$1289='2018-19_working'!$B$6:$H$6)*(raw!$G$2:$G$1289))</f>
        <v>0</v>
      </c>
      <c r="G24" s="7">
        <f>SUMPRODUCT((raw!$B$2:$B$1289='2018-19_working'!$A24)*(raw!$F$2:$F$1289='2018-19_working'!G$7)*(raw!$E$2:$E$1289='2018-19_working'!$B$6:$H$6)*(raw!$G$2:$G$1289))</f>
        <v>0</v>
      </c>
      <c r="H24" s="7">
        <f>SUMPRODUCT((raw!$B$2:$B$1289='2018-19_working'!$A24)*(raw!$F$2:$F$1289='2018-19_working'!H$7)*(raw!$E$2:$E$1289='2018-19_working'!$B$6:$H$6)*(raw!$G$2:$G$1289))</f>
        <v>0</v>
      </c>
      <c r="J24" s="7">
        <f>SUMPRODUCT((raw!$B$2:$B$1289='2018-19_working'!$A24)*(raw!$F$2:$F$1289='2018-19_working'!J$7)*(raw!$E$2:$E$1289='2018-19_working'!$J$6)*(raw!$G$2:$G$1289))</f>
        <v>18</v>
      </c>
      <c r="K24" s="7">
        <f>SUMPRODUCT((raw!$B$2:$B$1289='2018-19_working'!$A24)*(raw!$F$2:$F$1289='2018-19_working'!K$7)*(raw!$E$2:$E$1289='2018-19_working'!$J$6)*(raw!$G$2:$G$1289))</f>
        <v>29</v>
      </c>
      <c r="L24" s="7">
        <f>SUMPRODUCT((raw!$B$2:$B$1289='2018-19_working'!$A24)*(raw!$F$2:$F$1289='2018-19_working'!L$7)*(raw!$E$2:$E$1289='2018-19_working'!$J$6)*(raw!$G$2:$G$1289))</f>
        <v>11</v>
      </c>
      <c r="M24" s="7">
        <f>SUMPRODUCT((raw!$B$2:$B$1289='2018-19_working'!$A24)*(raw!$F$2:$F$1289='2018-19_working'!M$7)*(raw!$E$2:$E$1289='2018-19_working'!$J$6)*(raw!$G$2:$G$1289))</f>
        <v>3</v>
      </c>
      <c r="N24" s="7">
        <f>SUMPRODUCT((raw!$B$2:$B$1289='2018-19_working'!$A24)*(raw!$F$2:$F$1289='2018-19_working'!N$7)*(raw!$E$2:$E$1289='2018-19_working'!$J$6)*(raw!$G$2:$G$1289))</f>
        <v>1</v>
      </c>
      <c r="O24" s="7">
        <f>SUMPRODUCT((raw!$B$2:$B$1289='2018-19_working'!$A24)*(raw!$F$2:$F$1289='2018-19_working'!O$7)*(raw!$E$2:$E$1289='2018-19_working'!$J$6)*(raw!$G$2:$G$1289))</f>
        <v>0</v>
      </c>
      <c r="P24" s="7">
        <f>SUMPRODUCT((raw!$B$2:$B$1289='2018-19_working'!$A24)*(raw!$F$2:$F$1289='2018-19_working'!P$7)*(raw!$E$2:$E$1289='2018-19_working'!$J$6)*(raw!$G$2:$G$1289))</f>
        <v>0</v>
      </c>
      <c r="R24" s="7">
        <f>SUMPRODUCT((raw!$B$2:$B$1289='2018-19_working'!$A24)*(raw!$F$2:$F$1289='2018-19_working'!R$7)*(raw!$E$2:$E$1289='2018-19_working'!$R$6)*(raw!$G$2:$G$1289))</f>
        <v>0</v>
      </c>
      <c r="S24" s="7">
        <f>SUMPRODUCT((raw!$B$2:$B$1289='2018-19_working'!$A24)*(raw!$F$2:$F$1289='2018-19_working'!S$7)*(raw!$E$2:$E$1289='2018-19_working'!$R$6)*(raw!$G$2:$G$1289))</f>
        <v>1</v>
      </c>
      <c r="T24" s="7">
        <f>SUMPRODUCT((raw!$B$2:$B$1289='2018-19_working'!$A24)*(raw!$F$2:$F$1289='2018-19_working'!T$7)*(raw!$E$2:$E$1289='2018-19_working'!$R$6)*(raw!$G$2:$G$1289))</f>
        <v>1</v>
      </c>
      <c r="U24" s="7">
        <f>SUMPRODUCT((raw!$B$2:$B$1289='2018-19_working'!$A24)*(raw!$F$2:$F$1289='2018-19_working'!U$7)*(raw!$E$2:$E$1289='2018-19_working'!$R$6)*(raw!$G$2:$G$1289))</f>
        <v>1</v>
      </c>
      <c r="V24" s="7">
        <f>SUMPRODUCT((raw!$B$2:$B$1289='2018-19_working'!$A24)*(raw!$F$2:$F$1289='2018-19_working'!V$7)*(raw!$E$2:$E$1289='2018-19_working'!$R$6)*(raw!$G$2:$G$1289))</f>
        <v>0</v>
      </c>
      <c r="W24" s="7">
        <f>SUMPRODUCT((raw!$B$2:$B$1289='2018-19_working'!$A24)*(raw!$F$2:$F$1289='2018-19_working'!W$7)*(raw!$E$2:$E$1289='2018-19_working'!$R$6)*(raw!$G$2:$G$1289))</f>
        <v>0</v>
      </c>
      <c r="X24" s="7">
        <f>SUMPRODUCT((raw!$B$2:$B$1289='2018-19_working'!$A24)*(raw!$F$2:$F$1289='2018-19_working'!X$7)*(raw!$E$2:$E$1289='2018-19_working'!$R$6)*(raw!$G$2:$G$1289))</f>
        <v>0</v>
      </c>
      <c r="Z24" s="7">
        <f>SUMPRODUCT((raw!$B$2:$B$1289='2018-19_working'!$A24)*(raw!$F$2:$F$1289='2018-19_working'!Z$7)*(raw!$E$2:$E$1289='2018-19_working'!$Z$6)*(raw!$G$2:$G$1289))</f>
        <v>5</v>
      </c>
      <c r="AA24" s="7">
        <f>SUMPRODUCT((raw!$B$2:$B$1289='2018-19_working'!$A24)*(raw!$F$2:$F$1289='2018-19_working'!AA$7)*(raw!$E$2:$E$1289='2018-19_working'!$Z$6)*(raw!$G$2:$G$1289))</f>
        <v>9</v>
      </c>
      <c r="AB24" s="7">
        <f>SUMPRODUCT((raw!$B$2:$B$1289='2018-19_working'!$A24)*(raw!$F$2:$F$1289='2018-19_working'!AB$7)*(raw!$E$2:$E$1289='2018-19_working'!$Z$6)*(raw!$G$2:$G$1289))</f>
        <v>5</v>
      </c>
      <c r="AC24" s="7">
        <f>SUMPRODUCT((raw!$B$2:$B$1289='2018-19_working'!$A24)*(raw!$F$2:$F$1289='2018-19_working'!AC$7)*(raw!$E$2:$E$1289='2018-19_working'!$Z$6)*(raw!$G$2:$G$1289))</f>
        <v>10</v>
      </c>
      <c r="AD24" s="7">
        <f>SUMPRODUCT((raw!$B$2:$B$1289='2018-19_working'!$A24)*(raw!$F$2:$F$1289='2018-19_working'!AD$7)*(raw!$E$2:$E$1289='2018-19_working'!$Z$6)*(raw!$G$2:$G$1289))</f>
        <v>2</v>
      </c>
      <c r="AE24" s="7">
        <f>SUMPRODUCT((raw!$B$2:$B$1289='2018-19_working'!$A24)*(raw!$F$2:$F$1289='2018-19_working'!AE$7)*(raw!$E$2:$E$1289='2018-19_working'!$Z$6)*(raw!$G$2:$G$1289))</f>
        <v>0</v>
      </c>
      <c r="AF24" s="7">
        <f>SUMPRODUCT((raw!$B$2:$B$1289='2018-19_working'!$A24)*(raw!$F$2:$F$1289='2018-19_working'!AF$7)*(raw!$E$2:$E$1289='2018-19_working'!$Z$6)*(raw!$G$2:$G$1289))</f>
        <v>0</v>
      </c>
    </row>
    <row r="25" spans="1:32" x14ac:dyDescent="0.35">
      <c r="A25" s="7" t="s">
        <v>30</v>
      </c>
      <c r="B25" s="7">
        <f>SUMPRODUCT((raw!$B$2:$B$1289='2018-19_working'!$A25)*(raw!$F$2:$F$1289='2018-19_working'!B$7)*(raw!$E$2:$E$1289='2018-19_working'!$B$6:$H$6)*(raw!$G$2:$G$1289))</f>
        <v>0</v>
      </c>
      <c r="C25" s="7">
        <f>SUMPRODUCT((raw!$B$2:$B$1289='2018-19_working'!$A25)*(raw!$F$2:$F$1289='2018-19_working'!C$7)*(raw!$E$2:$E$1289='2018-19_working'!$B$6:$H$6)*(raw!$G$2:$G$1289))</f>
        <v>2</v>
      </c>
      <c r="D25" s="7">
        <f>SUMPRODUCT((raw!$B$2:$B$1289='2018-19_working'!$A25)*(raw!$F$2:$F$1289='2018-19_working'!D$7)*(raw!$E$2:$E$1289='2018-19_working'!$B$6:$H$6)*(raw!$G$2:$G$1289))</f>
        <v>3</v>
      </c>
      <c r="E25" s="7">
        <f>SUMPRODUCT((raw!$B$2:$B$1289='2018-19_working'!$A25)*(raw!$F$2:$F$1289='2018-19_working'!E$7)*(raw!$E$2:$E$1289='2018-19_working'!$B$6:$H$6)*(raw!$G$2:$G$1289))</f>
        <v>2</v>
      </c>
      <c r="F25" s="7">
        <f>SUMPRODUCT((raw!$B$2:$B$1289='2018-19_working'!$A25)*(raw!$F$2:$F$1289='2018-19_working'!F$7)*(raw!$E$2:$E$1289='2018-19_working'!$B$6:$H$6)*(raw!$G$2:$G$1289))</f>
        <v>0</v>
      </c>
      <c r="G25" s="7">
        <f>SUMPRODUCT((raw!$B$2:$B$1289='2018-19_working'!$A25)*(raw!$F$2:$F$1289='2018-19_working'!G$7)*(raw!$E$2:$E$1289='2018-19_working'!$B$6:$H$6)*(raw!$G$2:$G$1289))</f>
        <v>0</v>
      </c>
      <c r="H25" s="7">
        <f>SUMPRODUCT((raw!$B$2:$B$1289='2018-19_working'!$A25)*(raw!$F$2:$F$1289='2018-19_working'!H$7)*(raw!$E$2:$E$1289='2018-19_working'!$B$6:$H$6)*(raw!$G$2:$G$1289))</f>
        <v>0</v>
      </c>
      <c r="J25" s="7">
        <f>SUMPRODUCT((raw!$B$2:$B$1289='2018-19_working'!$A25)*(raw!$F$2:$F$1289='2018-19_working'!J$7)*(raw!$E$2:$E$1289='2018-19_working'!$J$6)*(raw!$G$2:$G$1289))</f>
        <v>11</v>
      </c>
      <c r="K25" s="7">
        <f>SUMPRODUCT((raw!$B$2:$B$1289='2018-19_working'!$A25)*(raw!$F$2:$F$1289='2018-19_working'!K$7)*(raw!$E$2:$E$1289='2018-19_working'!$J$6)*(raw!$G$2:$G$1289))</f>
        <v>19</v>
      </c>
      <c r="L25" s="7">
        <f>SUMPRODUCT((raw!$B$2:$B$1289='2018-19_working'!$A25)*(raw!$F$2:$F$1289='2018-19_working'!L$7)*(raw!$E$2:$E$1289='2018-19_working'!$J$6)*(raw!$G$2:$G$1289))</f>
        <v>13</v>
      </c>
      <c r="M25" s="7">
        <f>SUMPRODUCT((raw!$B$2:$B$1289='2018-19_working'!$A25)*(raw!$F$2:$F$1289='2018-19_working'!M$7)*(raw!$E$2:$E$1289='2018-19_working'!$J$6)*(raw!$G$2:$G$1289))</f>
        <v>6</v>
      </c>
      <c r="N25" s="7">
        <f>SUMPRODUCT((raw!$B$2:$B$1289='2018-19_working'!$A25)*(raw!$F$2:$F$1289='2018-19_working'!N$7)*(raw!$E$2:$E$1289='2018-19_working'!$J$6)*(raw!$G$2:$G$1289))</f>
        <v>2</v>
      </c>
      <c r="O25" s="7">
        <f>SUMPRODUCT((raw!$B$2:$B$1289='2018-19_working'!$A25)*(raw!$F$2:$F$1289='2018-19_working'!O$7)*(raw!$E$2:$E$1289='2018-19_working'!$J$6)*(raw!$G$2:$G$1289))</f>
        <v>0</v>
      </c>
      <c r="P25" s="7">
        <f>SUMPRODUCT((raw!$B$2:$B$1289='2018-19_working'!$A25)*(raw!$F$2:$F$1289='2018-19_working'!P$7)*(raw!$E$2:$E$1289='2018-19_working'!$J$6)*(raw!$G$2:$G$1289))</f>
        <v>0</v>
      </c>
      <c r="R25" s="7">
        <f>SUMPRODUCT((raw!$B$2:$B$1289='2018-19_working'!$A25)*(raw!$F$2:$F$1289='2018-19_working'!R$7)*(raw!$E$2:$E$1289='2018-19_working'!$R$6)*(raw!$G$2:$G$1289))</f>
        <v>0</v>
      </c>
      <c r="S25" s="7">
        <f>SUMPRODUCT((raw!$B$2:$B$1289='2018-19_working'!$A25)*(raw!$F$2:$F$1289='2018-19_working'!S$7)*(raw!$E$2:$E$1289='2018-19_working'!$R$6)*(raw!$G$2:$G$1289))</f>
        <v>0</v>
      </c>
      <c r="T25" s="7">
        <f>SUMPRODUCT((raw!$B$2:$B$1289='2018-19_working'!$A25)*(raw!$F$2:$F$1289='2018-19_working'!T$7)*(raw!$E$2:$E$1289='2018-19_working'!$R$6)*(raw!$G$2:$G$1289))</f>
        <v>0</v>
      </c>
      <c r="U25" s="7">
        <f>SUMPRODUCT((raw!$B$2:$B$1289='2018-19_working'!$A25)*(raw!$F$2:$F$1289='2018-19_working'!U$7)*(raw!$E$2:$E$1289='2018-19_working'!$R$6)*(raw!$G$2:$G$1289))</f>
        <v>0</v>
      </c>
      <c r="V25" s="7">
        <f>SUMPRODUCT((raw!$B$2:$B$1289='2018-19_working'!$A25)*(raw!$F$2:$F$1289='2018-19_working'!V$7)*(raw!$E$2:$E$1289='2018-19_working'!$R$6)*(raw!$G$2:$G$1289))</f>
        <v>0</v>
      </c>
      <c r="W25" s="7">
        <f>SUMPRODUCT((raw!$B$2:$B$1289='2018-19_working'!$A25)*(raw!$F$2:$F$1289='2018-19_working'!W$7)*(raw!$E$2:$E$1289='2018-19_working'!$R$6)*(raw!$G$2:$G$1289))</f>
        <v>0</v>
      </c>
      <c r="X25" s="7">
        <f>SUMPRODUCT((raw!$B$2:$B$1289='2018-19_working'!$A25)*(raw!$F$2:$F$1289='2018-19_working'!X$7)*(raw!$E$2:$E$1289='2018-19_working'!$R$6)*(raw!$G$2:$G$1289))</f>
        <v>0</v>
      </c>
      <c r="Z25" s="7">
        <f>SUMPRODUCT((raw!$B$2:$B$1289='2018-19_working'!$A25)*(raw!$F$2:$F$1289='2018-19_working'!Z$7)*(raw!$E$2:$E$1289='2018-19_working'!$Z$6)*(raw!$G$2:$G$1289))</f>
        <v>1</v>
      </c>
      <c r="AA25" s="7">
        <f>SUMPRODUCT((raw!$B$2:$B$1289='2018-19_working'!$A25)*(raw!$F$2:$F$1289='2018-19_working'!AA$7)*(raw!$E$2:$E$1289='2018-19_working'!$Z$6)*(raw!$G$2:$G$1289))</f>
        <v>0</v>
      </c>
      <c r="AB25" s="7">
        <f>SUMPRODUCT((raw!$B$2:$B$1289='2018-19_working'!$A25)*(raw!$F$2:$F$1289='2018-19_working'!AB$7)*(raw!$E$2:$E$1289='2018-19_working'!$Z$6)*(raw!$G$2:$G$1289))</f>
        <v>2</v>
      </c>
      <c r="AC25" s="7">
        <f>SUMPRODUCT((raw!$B$2:$B$1289='2018-19_working'!$A25)*(raw!$F$2:$F$1289='2018-19_working'!AC$7)*(raw!$E$2:$E$1289='2018-19_working'!$Z$6)*(raw!$G$2:$G$1289))</f>
        <v>1</v>
      </c>
      <c r="AD25" s="7">
        <f>SUMPRODUCT((raw!$B$2:$B$1289='2018-19_working'!$A25)*(raw!$F$2:$F$1289='2018-19_working'!AD$7)*(raw!$E$2:$E$1289='2018-19_working'!$Z$6)*(raw!$G$2:$G$1289))</f>
        <v>1</v>
      </c>
      <c r="AE25" s="7">
        <f>SUMPRODUCT((raw!$B$2:$B$1289='2018-19_working'!$A25)*(raw!$F$2:$F$1289='2018-19_working'!AE$7)*(raw!$E$2:$E$1289='2018-19_working'!$Z$6)*(raw!$G$2:$G$1289))</f>
        <v>0</v>
      </c>
      <c r="AF25" s="7">
        <f>SUMPRODUCT((raw!$B$2:$B$1289='2018-19_working'!$A25)*(raw!$F$2:$F$1289='2018-19_working'!AF$7)*(raw!$E$2:$E$1289='2018-19_working'!$Z$6)*(raw!$G$2:$G$1289))</f>
        <v>0</v>
      </c>
    </row>
    <row r="26" spans="1:32" x14ac:dyDescent="0.35">
      <c r="A26" s="7" t="s">
        <v>31</v>
      </c>
      <c r="B26" s="7">
        <f>SUMPRODUCT((raw!$B$2:$B$1289='2018-19_working'!$A26)*(raw!$F$2:$F$1289='2018-19_working'!B$7)*(raw!$E$2:$E$1289='2018-19_working'!$B$6:$H$6)*(raw!$G$2:$G$1289))</f>
        <v>5</v>
      </c>
      <c r="C26" s="7">
        <f>SUMPRODUCT((raw!$B$2:$B$1289='2018-19_working'!$A26)*(raw!$F$2:$F$1289='2018-19_working'!C$7)*(raw!$E$2:$E$1289='2018-19_working'!$B$6:$H$6)*(raw!$G$2:$G$1289))</f>
        <v>19</v>
      </c>
      <c r="D26" s="7">
        <f>SUMPRODUCT((raw!$B$2:$B$1289='2018-19_working'!$A26)*(raw!$F$2:$F$1289='2018-19_working'!D$7)*(raw!$E$2:$E$1289='2018-19_working'!$B$6:$H$6)*(raw!$G$2:$G$1289))</f>
        <v>19</v>
      </c>
      <c r="E26" s="7">
        <f>SUMPRODUCT((raw!$B$2:$B$1289='2018-19_working'!$A26)*(raw!$F$2:$F$1289='2018-19_working'!E$7)*(raw!$E$2:$E$1289='2018-19_working'!$B$6:$H$6)*(raw!$G$2:$G$1289))</f>
        <v>14</v>
      </c>
      <c r="F26" s="7">
        <f>SUMPRODUCT((raw!$B$2:$B$1289='2018-19_working'!$A26)*(raw!$F$2:$F$1289='2018-19_working'!F$7)*(raw!$E$2:$E$1289='2018-19_working'!$B$6:$H$6)*(raw!$G$2:$G$1289))</f>
        <v>2</v>
      </c>
      <c r="G26" s="7">
        <f>SUMPRODUCT((raw!$B$2:$B$1289='2018-19_working'!$A26)*(raw!$F$2:$F$1289='2018-19_working'!G$7)*(raw!$E$2:$E$1289='2018-19_working'!$B$6:$H$6)*(raw!$G$2:$G$1289))</f>
        <v>0</v>
      </c>
      <c r="H26" s="7">
        <f>SUMPRODUCT((raw!$B$2:$B$1289='2018-19_working'!$A26)*(raw!$F$2:$F$1289='2018-19_working'!H$7)*(raw!$E$2:$E$1289='2018-19_working'!$B$6:$H$6)*(raw!$G$2:$G$1289))</f>
        <v>0</v>
      </c>
      <c r="J26" s="7">
        <f>SUMPRODUCT((raw!$B$2:$B$1289='2018-19_working'!$A26)*(raw!$F$2:$F$1289='2018-19_working'!J$7)*(raw!$E$2:$E$1289='2018-19_working'!$J$6)*(raw!$G$2:$G$1289))</f>
        <v>18</v>
      </c>
      <c r="K26" s="7">
        <f>SUMPRODUCT((raw!$B$2:$B$1289='2018-19_working'!$A26)*(raw!$F$2:$F$1289='2018-19_working'!K$7)*(raw!$E$2:$E$1289='2018-19_working'!$J$6)*(raw!$G$2:$G$1289))</f>
        <v>39</v>
      </c>
      <c r="L26" s="7">
        <f>SUMPRODUCT((raw!$B$2:$B$1289='2018-19_working'!$A26)*(raw!$F$2:$F$1289='2018-19_working'!L$7)*(raw!$E$2:$E$1289='2018-19_working'!$J$6)*(raw!$G$2:$G$1289))</f>
        <v>27</v>
      </c>
      <c r="M26" s="7">
        <f>SUMPRODUCT((raw!$B$2:$B$1289='2018-19_working'!$A26)*(raw!$F$2:$F$1289='2018-19_working'!M$7)*(raw!$E$2:$E$1289='2018-19_working'!$J$6)*(raw!$G$2:$G$1289))</f>
        <v>23</v>
      </c>
      <c r="N26" s="7">
        <f>SUMPRODUCT((raw!$B$2:$B$1289='2018-19_working'!$A26)*(raw!$F$2:$F$1289='2018-19_working'!N$7)*(raw!$E$2:$E$1289='2018-19_working'!$J$6)*(raw!$G$2:$G$1289))</f>
        <v>3</v>
      </c>
      <c r="O26" s="7">
        <f>SUMPRODUCT((raw!$B$2:$B$1289='2018-19_working'!$A26)*(raw!$F$2:$F$1289='2018-19_working'!O$7)*(raw!$E$2:$E$1289='2018-19_working'!$J$6)*(raw!$G$2:$G$1289))</f>
        <v>0</v>
      </c>
      <c r="P26" s="7">
        <f>SUMPRODUCT((raw!$B$2:$B$1289='2018-19_working'!$A26)*(raw!$F$2:$F$1289='2018-19_working'!P$7)*(raw!$E$2:$E$1289='2018-19_working'!$J$6)*(raw!$G$2:$G$1289))</f>
        <v>0</v>
      </c>
      <c r="R26" s="7">
        <f>SUMPRODUCT((raw!$B$2:$B$1289='2018-19_working'!$A26)*(raw!$F$2:$F$1289='2018-19_working'!R$7)*(raw!$E$2:$E$1289='2018-19_working'!$R$6)*(raw!$G$2:$G$1289))</f>
        <v>0</v>
      </c>
      <c r="S26" s="7">
        <f>SUMPRODUCT((raw!$B$2:$B$1289='2018-19_working'!$A26)*(raw!$F$2:$F$1289='2018-19_working'!S$7)*(raw!$E$2:$E$1289='2018-19_working'!$R$6)*(raw!$G$2:$G$1289))</f>
        <v>3</v>
      </c>
      <c r="T26" s="7">
        <f>SUMPRODUCT((raw!$B$2:$B$1289='2018-19_working'!$A26)*(raw!$F$2:$F$1289='2018-19_working'!T$7)*(raw!$E$2:$E$1289='2018-19_working'!$R$6)*(raw!$G$2:$G$1289))</f>
        <v>0</v>
      </c>
      <c r="U26" s="7">
        <f>SUMPRODUCT((raw!$B$2:$B$1289='2018-19_working'!$A26)*(raw!$F$2:$F$1289='2018-19_working'!U$7)*(raw!$E$2:$E$1289='2018-19_working'!$R$6)*(raw!$G$2:$G$1289))</f>
        <v>0</v>
      </c>
      <c r="V26" s="7">
        <f>SUMPRODUCT((raw!$B$2:$B$1289='2018-19_working'!$A26)*(raw!$F$2:$F$1289='2018-19_working'!V$7)*(raw!$E$2:$E$1289='2018-19_working'!$R$6)*(raw!$G$2:$G$1289))</f>
        <v>0</v>
      </c>
      <c r="W26" s="7">
        <f>SUMPRODUCT((raw!$B$2:$B$1289='2018-19_working'!$A26)*(raw!$F$2:$F$1289='2018-19_working'!W$7)*(raw!$E$2:$E$1289='2018-19_working'!$R$6)*(raw!$G$2:$G$1289))</f>
        <v>0</v>
      </c>
      <c r="X26" s="7">
        <f>SUMPRODUCT((raw!$B$2:$B$1289='2018-19_working'!$A26)*(raw!$F$2:$F$1289='2018-19_working'!X$7)*(raw!$E$2:$E$1289='2018-19_working'!$R$6)*(raw!$G$2:$G$1289))</f>
        <v>0</v>
      </c>
      <c r="Z26" s="7">
        <f>SUMPRODUCT((raw!$B$2:$B$1289='2018-19_working'!$A26)*(raw!$F$2:$F$1289='2018-19_working'!Z$7)*(raw!$E$2:$E$1289='2018-19_working'!$Z$6)*(raw!$G$2:$G$1289))</f>
        <v>2</v>
      </c>
      <c r="AA26" s="7">
        <f>SUMPRODUCT((raw!$B$2:$B$1289='2018-19_working'!$A26)*(raw!$F$2:$F$1289='2018-19_working'!AA$7)*(raw!$E$2:$E$1289='2018-19_working'!$Z$6)*(raw!$G$2:$G$1289))</f>
        <v>13</v>
      </c>
      <c r="AB26" s="7">
        <f>SUMPRODUCT((raw!$B$2:$B$1289='2018-19_working'!$A26)*(raw!$F$2:$F$1289='2018-19_working'!AB$7)*(raw!$E$2:$E$1289='2018-19_working'!$Z$6)*(raw!$G$2:$G$1289))</f>
        <v>8</v>
      </c>
      <c r="AC26" s="7">
        <f>SUMPRODUCT((raw!$B$2:$B$1289='2018-19_working'!$A26)*(raw!$F$2:$F$1289='2018-19_working'!AC$7)*(raw!$E$2:$E$1289='2018-19_working'!$Z$6)*(raw!$G$2:$G$1289))</f>
        <v>4</v>
      </c>
      <c r="AD26" s="7">
        <f>SUMPRODUCT((raw!$B$2:$B$1289='2018-19_working'!$A26)*(raw!$F$2:$F$1289='2018-19_working'!AD$7)*(raw!$E$2:$E$1289='2018-19_working'!$Z$6)*(raw!$G$2:$G$1289))</f>
        <v>1</v>
      </c>
      <c r="AE26" s="7">
        <f>SUMPRODUCT((raw!$B$2:$B$1289='2018-19_working'!$A26)*(raw!$F$2:$F$1289='2018-19_working'!AE$7)*(raw!$E$2:$E$1289='2018-19_working'!$Z$6)*(raw!$G$2:$G$1289))</f>
        <v>0</v>
      </c>
      <c r="AF26" s="7">
        <f>SUMPRODUCT((raw!$B$2:$B$1289='2018-19_working'!$A26)*(raw!$F$2:$F$1289='2018-19_working'!AF$7)*(raw!$E$2:$E$1289='2018-19_working'!$Z$6)*(raw!$G$2:$G$1289))</f>
        <v>0</v>
      </c>
    </row>
    <row r="27" spans="1:32" x14ac:dyDescent="0.35">
      <c r="A27" s="7" t="s">
        <v>32</v>
      </c>
      <c r="B27" s="7">
        <f>SUMPRODUCT((raw!$B$2:$B$1289='2018-19_working'!$A27)*(raw!$F$2:$F$1289='2018-19_working'!B$7)*(raw!$E$2:$E$1289='2018-19_working'!$B$6:$H$6)*(raw!$G$2:$G$1289))</f>
        <v>1</v>
      </c>
      <c r="C27" s="7">
        <f>SUMPRODUCT((raw!$B$2:$B$1289='2018-19_working'!$A27)*(raw!$F$2:$F$1289='2018-19_working'!C$7)*(raw!$E$2:$E$1289='2018-19_working'!$B$6:$H$6)*(raw!$G$2:$G$1289))</f>
        <v>17</v>
      </c>
      <c r="D27" s="7">
        <f>SUMPRODUCT((raw!$B$2:$B$1289='2018-19_working'!$A27)*(raw!$F$2:$F$1289='2018-19_working'!D$7)*(raw!$E$2:$E$1289='2018-19_working'!$B$6:$H$6)*(raw!$G$2:$G$1289))</f>
        <v>6</v>
      </c>
      <c r="E27" s="7">
        <f>SUMPRODUCT((raw!$B$2:$B$1289='2018-19_working'!$A27)*(raw!$F$2:$F$1289='2018-19_working'!E$7)*(raw!$E$2:$E$1289='2018-19_working'!$B$6:$H$6)*(raw!$G$2:$G$1289))</f>
        <v>1</v>
      </c>
      <c r="F27" s="7">
        <f>SUMPRODUCT((raw!$B$2:$B$1289='2018-19_working'!$A27)*(raw!$F$2:$F$1289='2018-19_working'!F$7)*(raw!$E$2:$E$1289='2018-19_working'!$B$6:$H$6)*(raw!$G$2:$G$1289))</f>
        <v>0</v>
      </c>
      <c r="G27" s="7">
        <f>SUMPRODUCT((raw!$B$2:$B$1289='2018-19_working'!$A27)*(raw!$F$2:$F$1289='2018-19_working'!G$7)*(raw!$E$2:$E$1289='2018-19_working'!$B$6:$H$6)*(raw!$G$2:$G$1289))</f>
        <v>0</v>
      </c>
      <c r="H27" s="7">
        <f>SUMPRODUCT((raw!$B$2:$B$1289='2018-19_working'!$A27)*(raw!$F$2:$F$1289='2018-19_working'!H$7)*(raw!$E$2:$E$1289='2018-19_working'!$B$6:$H$6)*(raw!$G$2:$G$1289))</f>
        <v>0</v>
      </c>
      <c r="J27" s="7">
        <f>SUMPRODUCT((raw!$B$2:$B$1289='2018-19_working'!$A27)*(raw!$F$2:$F$1289='2018-19_working'!J$7)*(raw!$E$2:$E$1289='2018-19_working'!$J$6)*(raw!$G$2:$G$1289))</f>
        <v>7</v>
      </c>
      <c r="K27" s="7">
        <f>SUMPRODUCT((raw!$B$2:$B$1289='2018-19_working'!$A27)*(raw!$F$2:$F$1289='2018-19_working'!K$7)*(raw!$E$2:$E$1289='2018-19_working'!$J$6)*(raw!$G$2:$G$1289))</f>
        <v>33</v>
      </c>
      <c r="L27" s="7">
        <f>SUMPRODUCT((raw!$B$2:$B$1289='2018-19_working'!$A27)*(raw!$F$2:$F$1289='2018-19_working'!L$7)*(raw!$E$2:$E$1289='2018-19_working'!$J$6)*(raw!$G$2:$G$1289))</f>
        <v>12</v>
      </c>
      <c r="M27" s="7">
        <f>SUMPRODUCT((raw!$B$2:$B$1289='2018-19_working'!$A27)*(raw!$F$2:$F$1289='2018-19_working'!M$7)*(raw!$E$2:$E$1289='2018-19_working'!$J$6)*(raw!$G$2:$G$1289))</f>
        <v>9</v>
      </c>
      <c r="N27" s="7">
        <f>SUMPRODUCT((raw!$B$2:$B$1289='2018-19_working'!$A27)*(raw!$F$2:$F$1289='2018-19_working'!N$7)*(raw!$E$2:$E$1289='2018-19_working'!$J$6)*(raw!$G$2:$G$1289))</f>
        <v>2</v>
      </c>
      <c r="O27" s="7">
        <f>SUMPRODUCT((raw!$B$2:$B$1289='2018-19_working'!$A27)*(raw!$F$2:$F$1289='2018-19_working'!O$7)*(raw!$E$2:$E$1289='2018-19_working'!$J$6)*(raw!$G$2:$G$1289))</f>
        <v>0</v>
      </c>
      <c r="P27" s="7">
        <f>SUMPRODUCT((raw!$B$2:$B$1289='2018-19_working'!$A27)*(raw!$F$2:$F$1289='2018-19_working'!P$7)*(raw!$E$2:$E$1289='2018-19_working'!$J$6)*(raw!$G$2:$G$1289))</f>
        <v>0</v>
      </c>
      <c r="R27" s="7">
        <f>SUMPRODUCT((raw!$B$2:$B$1289='2018-19_working'!$A27)*(raw!$F$2:$F$1289='2018-19_working'!R$7)*(raw!$E$2:$E$1289='2018-19_working'!$R$6)*(raw!$G$2:$G$1289))</f>
        <v>0</v>
      </c>
      <c r="S27" s="7">
        <f>SUMPRODUCT((raw!$B$2:$B$1289='2018-19_working'!$A27)*(raw!$F$2:$F$1289='2018-19_working'!S$7)*(raw!$E$2:$E$1289='2018-19_working'!$R$6)*(raw!$G$2:$G$1289))</f>
        <v>2</v>
      </c>
      <c r="T27" s="7">
        <f>SUMPRODUCT((raw!$B$2:$B$1289='2018-19_working'!$A27)*(raw!$F$2:$F$1289='2018-19_working'!T$7)*(raw!$E$2:$E$1289='2018-19_working'!$R$6)*(raw!$G$2:$G$1289))</f>
        <v>0</v>
      </c>
      <c r="U27" s="7">
        <f>SUMPRODUCT((raw!$B$2:$B$1289='2018-19_working'!$A27)*(raw!$F$2:$F$1289='2018-19_working'!U$7)*(raw!$E$2:$E$1289='2018-19_working'!$R$6)*(raw!$G$2:$G$1289))</f>
        <v>0</v>
      </c>
      <c r="V27" s="7">
        <f>SUMPRODUCT((raw!$B$2:$B$1289='2018-19_working'!$A27)*(raw!$F$2:$F$1289='2018-19_working'!V$7)*(raw!$E$2:$E$1289='2018-19_working'!$R$6)*(raw!$G$2:$G$1289))</f>
        <v>0</v>
      </c>
      <c r="W27" s="7">
        <f>SUMPRODUCT((raw!$B$2:$B$1289='2018-19_working'!$A27)*(raw!$F$2:$F$1289='2018-19_working'!W$7)*(raw!$E$2:$E$1289='2018-19_working'!$R$6)*(raw!$G$2:$G$1289))</f>
        <v>0</v>
      </c>
      <c r="X27" s="7">
        <f>SUMPRODUCT((raw!$B$2:$B$1289='2018-19_working'!$A27)*(raw!$F$2:$F$1289='2018-19_working'!X$7)*(raw!$E$2:$E$1289='2018-19_working'!$R$6)*(raw!$G$2:$G$1289))</f>
        <v>0</v>
      </c>
      <c r="Z27" s="7">
        <f>SUMPRODUCT((raw!$B$2:$B$1289='2018-19_working'!$A27)*(raw!$F$2:$F$1289='2018-19_working'!Z$7)*(raw!$E$2:$E$1289='2018-19_working'!$Z$6)*(raw!$G$2:$G$1289))</f>
        <v>3</v>
      </c>
      <c r="AA27" s="7">
        <f>SUMPRODUCT((raw!$B$2:$B$1289='2018-19_working'!$A27)*(raw!$F$2:$F$1289='2018-19_working'!AA$7)*(raw!$E$2:$E$1289='2018-19_working'!$Z$6)*(raw!$G$2:$G$1289))</f>
        <v>4</v>
      </c>
      <c r="AB27" s="7">
        <f>SUMPRODUCT((raw!$B$2:$B$1289='2018-19_working'!$A27)*(raw!$F$2:$F$1289='2018-19_working'!AB$7)*(raw!$E$2:$E$1289='2018-19_working'!$Z$6)*(raw!$G$2:$G$1289))</f>
        <v>6</v>
      </c>
      <c r="AC27" s="7">
        <f>SUMPRODUCT((raw!$B$2:$B$1289='2018-19_working'!$A27)*(raw!$F$2:$F$1289='2018-19_working'!AC$7)*(raw!$E$2:$E$1289='2018-19_working'!$Z$6)*(raw!$G$2:$G$1289))</f>
        <v>7</v>
      </c>
      <c r="AD27" s="7">
        <f>SUMPRODUCT((raw!$B$2:$B$1289='2018-19_working'!$A27)*(raw!$F$2:$F$1289='2018-19_working'!AD$7)*(raw!$E$2:$E$1289='2018-19_working'!$Z$6)*(raw!$G$2:$G$1289))</f>
        <v>5</v>
      </c>
      <c r="AE27" s="7">
        <f>SUMPRODUCT((raw!$B$2:$B$1289='2018-19_working'!$A27)*(raw!$F$2:$F$1289='2018-19_working'!AE$7)*(raw!$E$2:$E$1289='2018-19_working'!$Z$6)*(raw!$G$2:$G$1289))</f>
        <v>0</v>
      </c>
      <c r="AF27" s="7">
        <f>SUMPRODUCT((raw!$B$2:$B$1289='2018-19_working'!$A27)*(raw!$F$2:$F$1289='2018-19_working'!AF$7)*(raw!$E$2:$E$1289='2018-19_working'!$Z$6)*(raw!$G$2:$G$1289))</f>
        <v>0</v>
      </c>
    </row>
    <row r="28" spans="1:32" x14ac:dyDescent="0.35">
      <c r="A28" s="7" t="s">
        <v>33</v>
      </c>
      <c r="B28" s="7">
        <f>SUMPRODUCT((raw!$B$2:$B$1289='2018-19_working'!$A28)*(raw!$F$2:$F$1289='2018-19_working'!B$7)*(raw!$E$2:$E$1289='2018-19_working'!$B$6:$H$6)*(raw!$G$2:$G$1289))</f>
        <v>6</v>
      </c>
      <c r="C28" s="7">
        <f>SUMPRODUCT((raw!$B$2:$B$1289='2018-19_working'!$A28)*(raw!$F$2:$F$1289='2018-19_working'!C$7)*(raw!$E$2:$E$1289='2018-19_working'!$B$6:$H$6)*(raw!$G$2:$G$1289))</f>
        <v>12</v>
      </c>
      <c r="D28" s="7">
        <f>SUMPRODUCT((raw!$B$2:$B$1289='2018-19_working'!$A28)*(raw!$F$2:$F$1289='2018-19_working'!D$7)*(raw!$E$2:$E$1289='2018-19_working'!$B$6:$H$6)*(raw!$G$2:$G$1289))</f>
        <v>4</v>
      </c>
      <c r="E28" s="7">
        <f>SUMPRODUCT((raw!$B$2:$B$1289='2018-19_working'!$A28)*(raw!$F$2:$F$1289='2018-19_working'!E$7)*(raw!$E$2:$E$1289='2018-19_working'!$B$6:$H$6)*(raw!$G$2:$G$1289))</f>
        <v>4</v>
      </c>
      <c r="F28" s="7">
        <f>SUMPRODUCT((raw!$B$2:$B$1289='2018-19_working'!$A28)*(raw!$F$2:$F$1289='2018-19_working'!F$7)*(raw!$E$2:$E$1289='2018-19_working'!$B$6:$H$6)*(raw!$G$2:$G$1289))</f>
        <v>0</v>
      </c>
      <c r="G28" s="7">
        <f>SUMPRODUCT((raw!$B$2:$B$1289='2018-19_working'!$A28)*(raw!$F$2:$F$1289='2018-19_working'!G$7)*(raw!$E$2:$E$1289='2018-19_working'!$B$6:$H$6)*(raw!$G$2:$G$1289))</f>
        <v>0</v>
      </c>
      <c r="H28" s="7">
        <f>SUMPRODUCT((raw!$B$2:$B$1289='2018-19_working'!$A28)*(raw!$F$2:$F$1289='2018-19_working'!H$7)*(raw!$E$2:$E$1289='2018-19_working'!$B$6:$H$6)*(raw!$G$2:$G$1289))</f>
        <v>0</v>
      </c>
      <c r="J28" s="7">
        <f>SUMPRODUCT((raw!$B$2:$B$1289='2018-19_working'!$A28)*(raw!$F$2:$F$1289='2018-19_working'!J$7)*(raw!$E$2:$E$1289='2018-19_working'!$J$6)*(raw!$G$2:$G$1289))</f>
        <v>3</v>
      </c>
      <c r="K28" s="7">
        <f>SUMPRODUCT((raw!$B$2:$B$1289='2018-19_working'!$A28)*(raw!$F$2:$F$1289='2018-19_working'!K$7)*(raw!$E$2:$E$1289='2018-19_working'!$J$6)*(raw!$G$2:$G$1289))</f>
        <v>10</v>
      </c>
      <c r="L28" s="7">
        <f>SUMPRODUCT((raw!$B$2:$B$1289='2018-19_working'!$A28)*(raw!$F$2:$F$1289='2018-19_working'!L$7)*(raw!$E$2:$E$1289='2018-19_working'!$J$6)*(raw!$G$2:$G$1289))</f>
        <v>7</v>
      </c>
      <c r="M28" s="7">
        <f>SUMPRODUCT((raw!$B$2:$B$1289='2018-19_working'!$A28)*(raw!$F$2:$F$1289='2018-19_working'!M$7)*(raw!$E$2:$E$1289='2018-19_working'!$J$6)*(raw!$G$2:$G$1289))</f>
        <v>1</v>
      </c>
      <c r="N28" s="7">
        <f>SUMPRODUCT((raw!$B$2:$B$1289='2018-19_working'!$A28)*(raw!$F$2:$F$1289='2018-19_working'!N$7)*(raw!$E$2:$E$1289='2018-19_working'!$J$6)*(raw!$G$2:$G$1289))</f>
        <v>1</v>
      </c>
      <c r="O28" s="7">
        <f>SUMPRODUCT((raw!$B$2:$B$1289='2018-19_working'!$A28)*(raw!$F$2:$F$1289='2018-19_working'!O$7)*(raw!$E$2:$E$1289='2018-19_working'!$J$6)*(raw!$G$2:$G$1289))</f>
        <v>0</v>
      </c>
      <c r="P28" s="7">
        <f>SUMPRODUCT((raw!$B$2:$B$1289='2018-19_working'!$A28)*(raw!$F$2:$F$1289='2018-19_working'!P$7)*(raw!$E$2:$E$1289='2018-19_working'!$J$6)*(raw!$G$2:$G$1289))</f>
        <v>0</v>
      </c>
      <c r="R28" s="7">
        <f>SUMPRODUCT((raw!$B$2:$B$1289='2018-19_working'!$A28)*(raw!$F$2:$F$1289='2018-19_working'!R$7)*(raw!$E$2:$E$1289='2018-19_working'!$R$6)*(raw!$G$2:$G$1289))</f>
        <v>0</v>
      </c>
      <c r="S28" s="7">
        <f>SUMPRODUCT((raw!$B$2:$B$1289='2018-19_working'!$A28)*(raw!$F$2:$F$1289='2018-19_working'!S$7)*(raw!$E$2:$E$1289='2018-19_working'!$R$6)*(raw!$G$2:$G$1289))</f>
        <v>0</v>
      </c>
      <c r="T28" s="7">
        <f>SUMPRODUCT((raw!$B$2:$B$1289='2018-19_working'!$A28)*(raw!$F$2:$F$1289='2018-19_working'!T$7)*(raw!$E$2:$E$1289='2018-19_working'!$R$6)*(raw!$G$2:$G$1289))</f>
        <v>0</v>
      </c>
      <c r="U28" s="7">
        <f>SUMPRODUCT((raw!$B$2:$B$1289='2018-19_working'!$A28)*(raw!$F$2:$F$1289='2018-19_working'!U$7)*(raw!$E$2:$E$1289='2018-19_working'!$R$6)*(raw!$G$2:$G$1289))</f>
        <v>0</v>
      </c>
      <c r="V28" s="7">
        <f>SUMPRODUCT((raw!$B$2:$B$1289='2018-19_working'!$A28)*(raw!$F$2:$F$1289='2018-19_working'!V$7)*(raw!$E$2:$E$1289='2018-19_working'!$R$6)*(raw!$G$2:$G$1289))</f>
        <v>0</v>
      </c>
      <c r="W28" s="7">
        <f>SUMPRODUCT((raw!$B$2:$B$1289='2018-19_working'!$A28)*(raw!$F$2:$F$1289='2018-19_working'!W$7)*(raw!$E$2:$E$1289='2018-19_working'!$R$6)*(raw!$G$2:$G$1289))</f>
        <v>0</v>
      </c>
      <c r="X28" s="7">
        <f>SUMPRODUCT((raw!$B$2:$B$1289='2018-19_working'!$A28)*(raw!$F$2:$F$1289='2018-19_working'!X$7)*(raw!$E$2:$E$1289='2018-19_working'!$R$6)*(raw!$G$2:$G$1289))</f>
        <v>0</v>
      </c>
      <c r="Z28" s="7">
        <f>SUMPRODUCT((raw!$B$2:$B$1289='2018-19_working'!$A28)*(raw!$F$2:$F$1289='2018-19_working'!Z$7)*(raw!$E$2:$E$1289='2018-19_working'!$Z$6)*(raw!$G$2:$G$1289))</f>
        <v>0</v>
      </c>
      <c r="AA28" s="7">
        <f>SUMPRODUCT((raw!$B$2:$B$1289='2018-19_working'!$A28)*(raw!$F$2:$F$1289='2018-19_working'!AA$7)*(raw!$E$2:$E$1289='2018-19_working'!$Z$6)*(raw!$G$2:$G$1289))</f>
        <v>0</v>
      </c>
      <c r="AB28" s="7">
        <f>SUMPRODUCT((raw!$B$2:$B$1289='2018-19_working'!$A28)*(raw!$F$2:$F$1289='2018-19_working'!AB$7)*(raw!$E$2:$E$1289='2018-19_working'!$Z$6)*(raw!$G$2:$G$1289))</f>
        <v>2</v>
      </c>
      <c r="AC28" s="7">
        <f>SUMPRODUCT((raw!$B$2:$B$1289='2018-19_working'!$A28)*(raw!$F$2:$F$1289='2018-19_working'!AC$7)*(raw!$E$2:$E$1289='2018-19_working'!$Z$6)*(raw!$G$2:$G$1289))</f>
        <v>8</v>
      </c>
      <c r="AD28" s="7">
        <f>SUMPRODUCT((raw!$B$2:$B$1289='2018-19_working'!$A28)*(raw!$F$2:$F$1289='2018-19_working'!AD$7)*(raw!$E$2:$E$1289='2018-19_working'!$Z$6)*(raw!$G$2:$G$1289))</f>
        <v>2</v>
      </c>
      <c r="AE28" s="7">
        <f>SUMPRODUCT((raw!$B$2:$B$1289='2018-19_working'!$A28)*(raw!$F$2:$F$1289='2018-19_working'!AE$7)*(raw!$E$2:$E$1289='2018-19_working'!$Z$6)*(raw!$G$2:$G$1289))</f>
        <v>0</v>
      </c>
      <c r="AF28" s="7">
        <f>SUMPRODUCT((raw!$B$2:$B$1289='2018-19_working'!$A28)*(raw!$F$2:$F$1289='2018-19_working'!AF$7)*(raw!$E$2:$E$1289='2018-19_working'!$Z$6)*(raw!$G$2:$G$1289))</f>
        <v>0</v>
      </c>
    </row>
    <row r="29" spans="1:32" x14ac:dyDescent="0.35">
      <c r="A29" s="7" t="s">
        <v>34</v>
      </c>
      <c r="B29" s="7">
        <f>SUMPRODUCT((raw!$B$2:$B$1289='2018-19_working'!$A29)*(raw!$F$2:$F$1289='2018-19_working'!B$7)*(raw!$E$2:$E$1289='2018-19_working'!$B$6:$H$6)*(raw!$G$2:$G$1289))</f>
        <v>4</v>
      </c>
      <c r="C29" s="7">
        <f>SUMPRODUCT((raw!$B$2:$B$1289='2018-19_working'!$A29)*(raw!$F$2:$F$1289='2018-19_working'!C$7)*(raw!$E$2:$E$1289='2018-19_working'!$B$6:$H$6)*(raw!$G$2:$G$1289))</f>
        <v>15</v>
      </c>
      <c r="D29" s="7">
        <f>SUMPRODUCT((raw!$B$2:$B$1289='2018-19_working'!$A29)*(raw!$F$2:$F$1289='2018-19_working'!D$7)*(raw!$E$2:$E$1289='2018-19_working'!$B$6:$H$6)*(raw!$G$2:$G$1289))</f>
        <v>3</v>
      </c>
      <c r="E29" s="7">
        <f>SUMPRODUCT((raw!$B$2:$B$1289='2018-19_working'!$A29)*(raw!$F$2:$F$1289='2018-19_working'!E$7)*(raw!$E$2:$E$1289='2018-19_working'!$B$6:$H$6)*(raw!$G$2:$G$1289))</f>
        <v>0</v>
      </c>
      <c r="F29" s="7">
        <f>SUMPRODUCT((raw!$B$2:$B$1289='2018-19_working'!$A29)*(raw!$F$2:$F$1289='2018-19_working'!F$7)*(raw!$E$2:$E$1289='2018-19_working'!$B$6:$H$6)*(raw!$G$2:$G$1289))</f>
        <v>0</v>
      </c>
      <c r="G29" s="7">
        <f>SUMPRODUCT((raw!$B$2:$B$1289='2018-19_working'!$A29)*(raw!$F$2:$F$1289='2018-19_working'!G$7)*(raw!$E$2:$E$1289='2018-19_working'!$B$6:$H$6)*(raw!$G$2:$G$1289))</f>
        <v>0</v>
      </c>
      <c r="H29" s="7">
        <f>SUMPRODUCT((raw!$B$2:$B$1289='2018-19_working'!$A29)*(raw!$F$2:$F$1289='2018-19_working'!H$7)*(raw!$E$2:$E$1289='2018-19_working'!$B$6:$H$6)*(raw!$G$2:$G$1289))</f>
        <v>0</v>
      </c>
      <c r="J29" s="7">
        <f>SUMPRODUCT((raw!$B$2:$B$1289='2018-19_working'!$A29)*(raw!$F$2:$F$1289='2018-19_working'!J$7)*(raw!$E$2:$E$1289='2018-19_working'!$J$6)*(raw!$G$2:$G$1289))</f>
        <v>10</v>
      </c>
      <c r="K29" s="7">
        <f>SUMPRODUCT((raw!$B$2:$B$1289='2018-19_working'!$A29)*(raw!$F$2:$F$1289='2018-19_working'!K$7)*(raw!$E$2:$E$1289='2018-19_working'!$J$6)*(raw!$G$2:$G$1289))</f>
        <v>16</v>
      </c>
      <c r="L29" s="7">
        <f>SUMPRODUCT((raw!$B$2:$B$1289='2018-19_working'!$A29)*(raw!$F$2:$F$1289='2018-19_working'!L$7)*(raw!$E$2:$E$1289='2018-19_working'!$J$6)*(raw!$G$2:$G$1289))</f>
        <v>3</v>
      </c>
      <c r="M29" s="7">
        <f>SUMPRODUCT((raw!$B$2:$B$1289='2018-19_working'!$A29)*(raw!$F$2:$F$1289='2018-19_working'!M$7)*(raw!$E$2:$E$1289='2018-19_working'!$J$6)*(raw!$G$2:$G$1289))</f>
        <v>2</v>
      </c>
      <c r="N29" s="7">
        <f>SUMPRODUCT((raw!$B$2:$B$1289='2018-19_working'!$A29)*(raw!$F$2:$F$1289='2018-19_working'!N$7)*(raw!$E$2:$E$1289='2018-19_working'!$J$6)*(raw!$G$2:$G$1289))</f>
        <v>0</v>
      </c>
      <c r="O29" s="7">
        <f>SUMPRODUCT((raw!$B$2:$B$1289='2018-19_working'!$A29)*(raw!$F$2:$F$1289='2018-19_working'!O$7)*(raw!$E$2:$E$1289='2018-19_working'!$J$6)*(raw!$G$2:$G$1289))</f>
        <v>0</v>
      </c>
      <c r="P29" s="7">
        <f>SUMPRODUCT((raw!$B$2:$B$1289='2018-19_working'!$A29)*(raw!$F$2:$F$1289='2018-19_working'!P$7)*(raw!$E$2:$E$1289='2018-19_working'!$J$6)*(raw!$G$2:$G$1289))</f>
        <v>0</v>
      </c>
      <c r="R29" s="7">
        <f>SUMPRODUCT((raw!$B$2:$B$1289='2018-19_working'!$A29)*(raw!$F$2:$F$1289='2018-19_working'!R$7)*(raw!$E$2:$E$1289='2018-19_working'!$R$6)*(raw!$G$2:$G$1289))</f>
        <v>0</v>
      </c>
      <c r="S29" s="7">
        <f>SUMPRODUCT((raw!$B$2:$B$1289='2018-19_working'!$A29)*(raw!$F$2:$F$1289='2018-19_working'!S$7)*(raw!$E$2:$E$1289='2018-19_working'!$R$6)*(raw!$G$2:$G$1289))</f>
        <v>1</v>
      </c>
      <c r="T29" s="7">
        <f>SUMPRODUCT((raw!$B$2:$B$1289='2018-19_working'!$A29)*(raw!$F$2:$F$1289='2018-19_working'!T$7)*(raw!$E$2:$E$1289='2018-19_working'!$R$6)*(raw!$G$2:$G$1289))</f>
        <v>2</v>
      </c>
      <c r="U29" s="7">
        <f>SUMPRODUCT((raw!$B$2:$B$1289='2018-19_working'!$A29)*(raw!$F$2:$F$1289='2018-19_working'!U$7)*(raw!$E$2:$E$1289='2018-19_working'!$R$6)*(raw!$G$2:$G$1289))</f>
        <v>1</v>
      </c>
      <c r="V29" s="7">
        <f>SUMPRODUCT((raw!$B$2:$B$1289='2018-19_working'!$A29)*(raw!$F$2:$F$1289='2018-19_working'!V$7)*(raw!$E$2:$E$1289='2018-19_working'!$R$6)*(raw!$G$2:$G$1289))</f>
        <v>0</v>
      </c>
      <c r="W29" s="7">
        <f>SUMPRODUCT((raw!$B$2:$B$1289='2018-19_working'!$A29)*(raw!$F$2:$F$1289='2018-19_working'!W$7)*(raw!$E$2:$E$1289='2018-19_working'!$R$6)*(raw!$G$2:$G$1289))</f>
        <v>0</v>
      </c>
      <c r="X29" s="7">
        <f>SUMPRODUCT((raw!$B$2:$B$1289='2018-19_working'!$A29)*(raw!$F$2:$F$1289='2018-19_working'!X$7)*(raw!$E$2:$E$1289='2018-19_working'!$R$6)*(raw!$G$2:$G$1289))</f>
        <v>0</v>
      </c>
      <c r="Z29" s="7">
        <f>SUMPRODUCT((raw!$B$2:$B$1289='2018-19_working'!$A29)*(raw!$F$2:$F$1289='2018-19_working'!Z$7)*(raw!$E$2:$E$1289='2018-19_working'!$Z$6)*(raw!$G$2:$G$1289))</f>
        <v>3</v>
      </c>
      <c r="AA29" s="7">
        <f>SUMPRODUCT((raw!$B$2:$B$1289='2018-19_working'!$A29)*(raw!$F$2:$F$1289='2018-19_working'!AA$7)*(raw!$E$2:$E$1289='2018-19_working'!$Z$6)*(raw!$G$2:$G$1289))</f>
        <v>7</v>
      </c>
      <c r="AB29" s="7">
        <f>SUMPRODUCT((raw!$B$2:$B$1289='2018-19_working'!$A29)*(raw!$F$2:$F$1289='2018-19_working'!AB$7)*(raw!$E$2:$E$1289='2018-19_working'!$Z$6)*(raw!$G$2:$G$1289))</f>
        <v>5</v>
      </c>
      <c r="AC29" s="7">
        <f>SUMPRODUCT((raw!$B$2:$B$1289='2018-19_working'!$A29)*(raw!$F$2:$F$1289='2018-19_working'!AC$7)*(raw!$E$2:$E$1289='2018-19_working'!$Z$6)*(raw!$G$2:$G$1289))</f>
        <v>2</v>
      </c>
      <c r="AD29" s="7">
        <f>SUMPRODUCT((raw!$B$2:$B$1289='2018-19_working'!$A29)*(raw!$F$2:$F$1289='2018-19_working'!AD$7)*(raw!$E$2:$E$1289='2018-19_working'!$Z$6)*(raw!$G$2:$G$1289))</f>
        <v>1</v>
      </c>
      <c r="AE29" s="7">
        <f>SUMPRODUCT((raw!$B$2:$B$1289='2018-19_working'!$A29)*(raw!$F$2:$F$1289='2018-19_working'!AE$7)*(raw!$E$2:$E$1289='2018-19_working'!$Z$6)*(raw!$G$2:$G$1289))</f>
        <v>0</v>
      </c>
      <c r="AF29" s="7">
        <f>SUMPRODUCT((raw!$B$2:$B$1289='2018-19_working'!$A29)*(raw!$F$2:$F$1289='2018-19_working'!AF$7)*(raw!$E$2:$E$1289='2018-19_working'!$Z$6)*(raw!$G$2:$G$1289))</f>
        <v>0</v>
      </c>
    </row>
    <row r="30" spans="1:32" x14ac:dyDescent="0.35">
      <c r="A30" s="7" t="s">
        <v>35</v>
      </c>
      <c r="B30" s="7">
        <f>SUMPRODUCT((raw!$B$2:$B$1289='2018-19_working'!$A30)*(raw!$F$2:$F$1289='2018-19_working'!B$7)*(raw!$E$2:$E$1289='2018-19_working'!$B$6:$H$6)*(raw!$G$2:$G$1289))</f>
        <v>0</v>
      </c>
      <c r="C30" s="7">
        <f>SUMPRODUCT((raw!$B$2:$B$1289='2018-19_working'!$A30)*(raw!$F$2:$F$1289='2018-19_working'!C$7)*(raw!$E$2:$E$1289='2018-19_working'!$B$6:$H$6)*(raw!$G$2:$G$1289))</f>
        <v>0</v>
      </c>
      <c r="D30" s="7">
        <f>SUMPRODUCT((raw!$B$2:$B$1289='2018-19_working'!$A30)*(raw!$F$2:$F$1289='2018-19_working'!D$7)*(raw!$E$2:$E$1289='2018-19_working'!$B$6:$H$6)*(raw!$G$2:$G$1289))</f>
        <v>0</v>
      </c>
      <c r="E30" s="7">
        <f>SUMPRODUCT((raw!$B$2:$B$1289='2018-19_working'!$A30)*(raw!$F$2:$F$1289='2018-19_working'!E$7)*(raw!$E$2:$E$1289='2018-19_working'!$B$6:$H$6)*(raw!$G$2:$G$1289))</f>
        <v>0</v>
      </c>
      <c r="F30" s="7">
        <f>SUMPRODUCT((raw!$B$2:$B$1289='2018-19_working'!$A30)*(raw!$F$2:$F$1289='2018-19_working'!F$7)*(raw!$E$2:$E$1289='2018-19_working'!$B$6:$H$6)*(raw!$G$2:$G$1289))</f>
        <v>0</v>
      </c>
      <c r="G30" s="7">
        <f>SUMPRODUCT((raw!$B$2:$B$1289='2018-19_working'!$A30)*(raw!$F$2:$F$1289='2018-19_working'!G$7)*(raw!$E$2:$E$1289='2018-19_working'!$B$6:$H$6)*(raw!$G$2:$G$1289))</f>
        <v>0</v>
      </c>
      <c r="H30" s="7">
        <f>SUMPRODUCT((raw!$B$2:$B$1289='2018-19_working'!$A30)*(raw!$F$2:$F$1289='2018-19_working'!H$7)*(raw!$E$2:$E$1289='2018-19_working'!$B$6:$H$6)*(raw!$G$2:$G$1289))</f>
        <v>0</v>
      </c>
      <c r="J30" s="7">
        <f>SUMPRODUCT((raw!$B$2:$B$1289='2018-19_working'!$A30)*(raw!$F$2:$F$1289='2018-19_working'!J$7)*(raw!$E$2:$E$1289='2018-19_working'!$J$6)*(raw!$G$2:$G$1289))</f>
        <v>0</v>
      </c>
      <c r="K30" s="7">
        <f>SUMPRODUCT((raw!$B$2:$B$1289='2018-19_working'!$A30)*(raw!$F$2:$F$1289='2018-19_working'!K$7)*(raw!$E$2:$E$1289='2018-19_working'!$J$6)*(raw!$G$2:$G$1289))</f>
        <v>5</v>
      </c>
      <c r="L30" s="7">
        <f>SUMPRODUCT((raw!$B$2:$B$1289='2018-19_working'!$A30)*(raw!$F$2:$F$1289='2018-19_working'!L$7)*(raw!$E$2:$E$1289='2018-19_working'!$J$6)*(raw!$G$2:$G$1289))</f>
        <v>3</v>
      </c>
      <c r="M30" s="7">
        <f>SUMPRODUCT((raw!$B$2:$B$1289='2018-19_working'!$A30)*(raw!$F$2:$F$1289='2018-19_working'!M$7)*(raw!$E$2:$E$1289='2018-19_working'!$J$6)*(raw!$G$2:$G$1289))</f>
        <v>1</v>
      </c>
      <c r="N30" s="7">
        <f>SUMPRODUCT((raw!$B$2:$B$1289='2018-19_working'!$A30)*(raw!$F$2:$F$1289='2018-19_working'!N$7)*(raw!$E$2:$E$1289='2018-19_working'!$J$6)*(raw!$G$2:$G$1289))</f>
        <v>0</v>
      </c>
      <c r="O30" s="7">
        <f>SUMPRODUCT((raw!$B$2:$B$1289='2018-19_working'!$A30)*(raw!$F$2:$F$1289='2018-19_working'!O$7)*(raw!$E$2:$E$1289='2018-19_working'!$J$6)*(raw!$G$2:$G$1289))</f>
        <v>0</v>
      </c>
      <c r="P30" s="7">
        <f>SUMPRODUCT((raw!$B$2:$B$1289='2018-19_working'!$A30)*(raw!$F$2:$F$1289='2018-19_working'!P$7)*(raw!$E$2:$E$1289='2018-19_working'!$J$6)*(raw!$G$2:$G$1289))</f>
        <v>0</v>
      </c>
      <c r="R30" s="7">
        <f>SUMPRODUCT((raw!$B$2:$B$1289='2018-19_working'!$A30)*(raw!$F$2:$F$1289='2018-19_working'!R$7)*(raw!$E$2:$E$1289='2018-19_working'!$R$6)*(raw!$G$2:$G$1289))</f>
        <v>0</v>
      </c>
      <c r="S30" s="7">
        <f>SUMPRODUCT((raw!$B$2:$B$1289='2018-19_working'!$A30)*(raw!$F$2:$F$1289='2018-19_working'!S$7)*(raw!$E$2:$E$1289='2018-19_working'!$R$6)*(raw!$G$2:$G$1289))</f>
        <v>0</v>
      </c>
      <c r="T30" s="7">
        <f>SUMPRODUCT((raw!$B$2:$B$1289='2018-19_working'!$A30)*(raw!$F$2:$F$1289='2018-19_working'!T$7)*(raw!$E$2:$E$1289='2018-19_working'!$R$6)*(raw!$G$2:$G$1289))</f>
        <v>0</v>
      </c>
      <c r="U30" s="7">
        <f>SUMPRODUCT((raw!$B$2:$B$1289='2018-19_working'!$A30)*(raw!$F$2:$F$1289='2018-19_working'!U$7)*(raw!$E$2:$E$1289='2018-19_working'!$R$6)*(raw!$G$2:$G$1289))</f>
        <v>0</v>
      </c>
      <c r="V30" s="7">
        <f>SUMPRODUCT((raw!$B$2:$B$1289='2018-19_working'!$A30)*(raw!$F$2:$F$1289='2018-19_working'!V$7)*(raw!$E$2:$E$1289='2018-19_working'!$R$6)*(raw!$G$2:$G$1289))</f>
        <v>0</v>
      </c>
      <c r="W30" s="7">
        <f>SUMPRODUCT((raw!$B$2:$B$1289='2018-19_working'!$A30)*(raw!$F$2:$F$1289='2018-19_working'!W$7)*(raw!$E$2:$E$1289='2018-19_working'!$R$6)*(raw!$G$2:$G$1289))</f>
        <v>0</v>
      </c>
      <c r="X30" s="7">
        <f>SUMPRODUCT((raw!$B$2:$B$1289='2018-19_working'!$A30)*(raw!$F$2:$F$1289='2018-19_working'!X$7)*(raw!$E$2:$E$1289='2018-19_working'!$R$6)*(raw!$G$2:$G$1289))</f>
        <v>0</v>
      </c>
      <c r="Z30" s="7">
        <f>SUMPRODUCT((raw!$B$2:$B$1289='2018-19_working'!$A30)*(raw!$F$2:$F$1289='2018-19_working'!Z$7)*(raw!$E$2:$E$1289='2018-19_working'!$Z$6)*(raw!$G$2:$G$1289))</f>
        <v>0</v>
      </c>
      <c r="AA30" s="7">
        <f>SUMPRODUCT((raw!$B$2:$B$1289='2018-19_working'!$A30)*(raw!$F$2:$F$1289='2018-19_working'!AA$7)*(raw!$E$2:$E$1289='2018-19_working'!$Z$6)*(raw!$G$2:$G$1289))</f>
        <v>0</v>
      </c>
      <c r="AB30" s="7">
        <f>SUMPRODUCT((raw!$B$2:$B$1289='2018-19_working'!$A30)*(raw!$F$2:$F$1289='2018-19_working'!AB$7)*(raw!$E$2:$E$1289='2018-19_working'!$Z$6)*(raw!$G$2:$G$1289))</f>
        <v>0</v>
      </c>
      <c r="AC30" s="7">
        <f>SUMPRODUCT((raw!$B$2:$B$1289='2018-19_working'!$A30)*(raw!$F$2:$F$1289='2018-19_working'!AC$7)*(raw!$E$2:$E$1289='2018-19_working'!$Z$6)*(raw!$G$2:$G$1289))</f>
        <v>2</v>
      </c>
      <c r="AD30" s="7">
        <f>SUMPRODUCT((raw!$B$2:$B$1289='2018-19_working'!$A30)*(raw!$F$2:$F$1289='2018-19_working'!AD$7)*(raw!$E$2:$E$1289='2018-19_working'!$Z$6)*(raw!$G$2:$G$1289))</f>
        <v>0</v>
      </c>
      <c r="AE30" s="7">
        <f>SUMPRODUCT((raw!$B$2:$B$1289='2018-19_working'!$A30)*(raw!$F$2:$F$1289='2018-19_working'!AE$7)*(raw!$E$2:$E$1289='2018-19_working'!$Z$6)*(raw!$G$2:$G$1289))</f>
        <v>0</v>
      </c>
      <c r="AF30" s="7">
        <f>SUMPRODUCT((raw!$B$2:$B$1289='2018-19_working'!$A30)*(raw!$F$2:$F$1289='2018-19_working'!AF$7)*(raw!$E$2:$E$1289='2018-19_working'!$Z$6)*(raw!$G$2:$G$1289))</f>
        <v>0</v>
      </c>
    </row>
    <row r="31" spans="1:32" x14ac:dyDescent="0.35">
      <c r="A31" s="7" t="s">
        <v>36</v>
      </c>
      <c r="B31" s="7">
        <f>SUMPRODUCT((raw!$B$2:$B$1289='2018-19_working'!$A31)*(raw!$F$2:$F$1289='2018-19_working'!B$7)*(raw!$E$2:$E$1289='2018-19_working'!$B$6:$H$6)*(raw!$G$2:$G$1289))</f>
        <v>3</v>
      </c>
      <c r="C31" s="7">
        <f>SUMPRODUCT((raw!$B$2:$B$1289='2018-19_working'!$A31)*(raw!$F$2:$F$1289='2018-19_working'!C$7)*(raw!$E$2:$E$1289='2018-19_working'!$B$6:$H$6)*(raw!$G$2:$G$1289))</f>
        <v>20</v>
      </c>
      <c r="D31" s="7">
        <f>SUMPRODUCT((raw!$B$2:$B$1289='2018-19_working'!$A31)*(raw!$F$2:$F$1289='2018-19_working'!D$7)*(raw!$E$2:$E$1289='2018-19_working'!$B$6:$H$6)*(raw!$G$2:$G$1289))</f>
        <v>6</v>
      </c>
      <c r="E31" s="7">
        <f>SUMPRODUCT((raw!$B$2:$B$1289='2018-19_working'!$A31)*(raw!$F$2:$F$1289='2018-19_working'!E$7)*(raw!$E$2:$E$1289='2018-19_working'!$B$6:$H$6)*(raw!$G$2:$G$1289))</f>
        <v>4</v>
      </c>
      <c r="F31" s="7">
        <f>SUMPRODUCT((raw!$B$2:$B$1289='2018-19_working'!$A31)*(raw!$F$2:$F$1289='2018-19_working'!F$7)*(raw!$E$2:$E$1289='2018-19_working'!$B$6:$H$6)*(raw!$G$2:$G$1289))</f>
        <v>0</v>
      </c>
      <c r="G31" s="7">
        <f>SUMPRODUCT((raw!$B$2:$B$1289='2018-19_working'!$A31)*(raw!$F$2:$F$1289='2018-19_working'!G$7)*(raw!$E$2:$E$1289='2018-19_working'!$B$6:$H$6)*(raw!$G$2:$G$1289))</f>
        <v>0</v>
      </c>
      <c r="H31" s="7">
        <f>SUMPRODUCT((raw!$B$2:$B$1289='2018-19_working'!$A31)*(raw!$F$2:$F$1289='2018-19_working'!H$7)*(raw!$E$2:$E$1289='2018-19_working'!$B$6:$H$6)*(raw!$G$2:$G$1289))</f>
        <v>0</v>
      </c>
      <c r="J31" s="7">
        <f>SUMPRODUCT((raw!$B$2:$B$1289='2018-19_working'!$A31)*(raw!$F$2:$F$1289='2018-19_working'!J$7)*(raw!$E$2:$E$1289='2018-19_working'!$J$6)*(raw!$G$2:$G$1289))</f>
        <v>19</v>
      </c>
      <c r="K31" s="7">
        <f>SUMPRODUCT((raw!$B$2:$B$1289='2018-19_working'!$A31)*(raw!$F$2:$F$1289='2018-19_working'!K$7)*(raw!$E$2:$E$1289='2018-19_working'!$J$6)*(raw!$G$2:$G$1289))</f>
        <v>50</v>
      </c>
      <c r="L31" s="7">
        <f>SUMPRODUCT((raw!$B$2:$B$1289='2018-19_working'!$A31)*(raw!$F$2:$F$1289='2018-19_working'!L$7)*(raw!$E$2:$E$1289='2018-19_working'!$J$6)*(raw!$G$2:$G$1289))</f>
        <v>20</v>
      </c>
      <c r="M31" s="7">
        <f>SUMPRODUCT((raw!$B$2:$B$1289='2018-19_working'!$A31)*(raw!$F$2:$F$1289='2018-19_working'!M$7)*(raw!$E$2:$E$1289='2018-19_working'!$J$6)*(raw!$G$2:$G$1289))</f>
        <v>11</v>
      </c>
      <c r="N31" s="7">
        <f>SUMPRODUCT((raw!$B$2:$B$1289='2018-19_working'!$A31)*(raw!$F$2:$F$1289='2018-19_working'!N$7)*(raw!$E$2:$E$1289='2018-19_working'!$J$6)*(raw!$G$2:$G$1289))</f>
        <v>2</v>
      </c>
      <c r="O31" s="7">
        <f>SUMPRODUCT((raw!$B$2:$B$1289='2018-19_working'!$A31)*(raw!$F$2:$F$1289='2018-19_working'!O$7)*(raw!$E$2:$E$1289='2018-19_working'!$J$6)*(raw!$G$2:$G$1289))</f>
        <v>0</v>
      </c>
      <c r="P31" s="7">
        <f>SUMPRODUCT((raw!$B$2:$B$1289='2018-19_working'!$A31)*(raw!$F$2:$F$1289='2018-19_working'!P$7)*(raw!$E$2:$E$1289='2018-19_working'!$J$6)*(raw!$G$2:$G$1289))</f>
        <v>0</v>
      </c>
      <c r="R31" s="7">
        <f>SUMPRODUCT((raw!$B$2:$B$1289='2018-19_working'!$A31)*(raw!$F$2:$F$1289='2018-19_working'!R$7)*(raw!$E$2:$E$1289='2018-19_working'!$R$6)*(raw!$G$2:$G$1289))</f>
        <v>0</v>
      </c>
      <c r="S31" s="7">
        <f>SUMPRODUCT((raw!$B$2:$B$1289='2018-19_working'!$A31)*(raw!$F$2:$F$1289='2018-19_working'!S$7)*(raw!$E$2:$E$1289='2018-19_working'!$R$6)*(raw!$G$2:$G$1289))</f>
        <v>0</v>
      </c>
      <c r="T31" s="7">
        <f>SUMPRODUCT((raw!$B$2:$B$1289='2018-19_working'!$A31)*(raw!$F$2:$F$1289='2018-19_working'!T$7)*(raw!$E$2:$E$1289='2018-19_working'!$R$6)*(raw!$G$2:$G$1289))</f>
        <v>0</v>
      </c>
      <c r="U31" s="7">
        <f>SUMPRODUCT((raw!$B$2:$B$1289='2018-19_working'!$A31)*(raw!$F$2:$F$1289='2018-19_working'!U$7)*(raw!$E$2:$E$1289='2018-19_working'!$R$6)*(raw!$G$2:$G$1289))</f>
        <v>1</v>
      </c>
      <c r="V31" s="7">
        <f>SUMPRODUCT((raw!$B$2:$B$1289='2018-19_working'!$A31)*(raw!$F$2:$F$1289='2018-19_working'!V$7)*(raw!$E$2:$E$1289='2018-19_working'!$R$6)*(raw!$G$2:$G$1289))</f>
        <v>0</v>
      </c>
      <c r="W31" s="7">
        <f>SUMPRODUCT((raw!$B$2:$B$1289='2018-19_working'!$A31)*(raw!$F$2:$F$1289='2018-19_working'!W$7)*(raw!$E$2:$E$1289='2018-19_working'!$R$6)*(raw!$G$2:$G$1289))</f>
        <v>0</v>
      </c>
      <c r="X31" s="7">
        <f>SUMPRODUCT((raw!$B$2:$B$1289='2018-19_working'!$A31)*(raw!$F$2:$F$1289='2018-19_working'!X$7)*(raw!$E$2:$E$1289='2018-19_working'!$R$6)*(raw!$G$2:$G$1289))</f>
        <v>0</v>
      </c>
      <c r="Z31" s="7">
        <f>SUMPRODUCT((raw!$B$2:$B$1289='2018-19_working'!$A31)*(raw!$F$2:$F$1289='2018-19_working'!Z$7)*(raw!$E$2:$E$1289='2018-19_working'!$Z$6)*(raw!$G$2:$G$1289))</f>
        <v>2</v>
      </c>
      <c r="AA31" s="7">
        <f>SUMPRODUCT((raw!$B$2:$B$1289='2018-19_working'!$A31)*(raw!$F$2:$F$1289='2018-19_working'!AA$7)*(raw!$E$2:$E$1289='2018-19_working'!$Z$6)*(raw!$G$2:$G$1289))</f>
        <v>10</v>
      </c>
      <c r="AB31" s="7">
        <f>SUMPRODUCT((raw!$B$2:$B$1289='2018-19_working'!$A31)*(raw!$F$2:$F$1289='2018-19_working'!AB$7)*(raw!$E$2:$E$1289='2018-19_working'!$Z$6)*(raw!$G$2:$G$1289))</f>
        <v>10</v>
      </c>
      <c r="AC31" s="7">
        <f>SUMPRODUCT((raw!$B$2:$B$1289='2018-19_working'!$A31)*(raw!$F$2:$F$1289='2018-19_working'!AC$7)*(raw!$E$2:$E$1289='2018-19_working'!$Z$6)*(raw!$G$2:$G$1289))</f>
        <v>9</v>
      </c>
      <c r="AD31" s="7">
        <f>SUMPRODUCT((raw!$B$2:$B$1289='2018-19_working'!$A31)*(raw!$F$2:$F$1289='2018-19_working'!AD$7)*(raw!$E$2:$E$1289='2018-19_working'!$Z$6)*(raw!$G$2:$G$1289))</f>
        <v>9</v>
      </c>
      <c r="AE31" s="7">
        <f>SUMPRODUCT((raw!$B$2:$B$1289='2018-19_working'!$A31)*(raw!$F$2:$F$1289='2018-19_working'!AE$7)*(raw!$E$2:$E$1289='2018-19_working'!$Z$6)*(raw!$G$2:$G$1289))</f>
        <v>0</v>
      </c>
      <c r="AF31" s="7">
        <f>SUMPRODUCT((raw!$B$2:$B$1289='2018-19_working'!$A31)*(raw!$F$2:$F$1289='2018-19_working'!AF$7)*(raw!$E$2:$E$1289='2018-19_working'!$Z$6)*(raw!$G$2:$G$1289))</f>
        <v>0</v>
      </c>
    </row>
    <row r="32" spans="1:32" x14ac:dyDescent="0.35">
      <c r="A32" s="7" t="s">
        <v>37</v>
      </c>
      <c r="B32" s="7">
        <f>SUMPRODUCT((raw!$B$2:$B$1289='2018-19_working'!$A32)*(raw!$F$2:$F$1289='2018-19_working'!B$7)*(raw!$E$2:$E$1289='2018-19_working'!$B$6:$H$6)*(raw!$G$2:$G$1289))</f>
        <v>6</v>
      </c>
      <c r="C32" s="7">
        <f>SUMPRODUCT((raw!$B$2:$B$1289='2018-19_working'!$A32)*(raw!$F$2:$F$1289='2018-19_working'!C$7)*(raw!$E$2:$E$1289='2018-19_working'!$B$6:$H$6)*(raw!$G$2:$G$1289))</f>
        <v>29</v>
      </c>
      <c r="D32" s="7">
        <f>SUMPRODUCT((raw!$B$2:$B$1289='2018-19_working'!$A32)*(raw!$F$2:$F$1289='2018-19_working'!D$7)*(raw!$E$2:$E$1289='2018-19_working'!$B$6:$H$6)*(raw!$G$2:$G$1289))</f>
        <v>17</v>
      </c>
      <c r="E32" s="7">
        <f>SUMPRODUCT((raw!$B$2:$B$1289='2018-19_working'!$A32)*(raw!$F$2:$F$1289='2018-19_working'!E$7)*(raw!$E$2:$E$1289='2018-19_working'!$B$6:$H$6)*(raw!$G$2:$G$1289))</f>
        <v>3</v>
      </c>
      <c r="F32" s="7">
        <f>SUMPRODUCT((raw!$B$2:$B$1289='2018-19_working'!$A32)*(raw!$F$2:$F$1289='2018-19_working'!F$7)*(raw!$E$2:$E$1289='2018-19_working'!$B$6:$H$6)*(raw!$G$2:$G$1289))</f>
        <v>0</v>
      </c>
      <c r="G32" s="7">
        <f>SUMPRODUCT((raw!$B$2:$B$1289='2018-19_working'!$A32)*(raw!$F$2:$F$1289='2018-19_working'!G$7)*(raw!$E$2:$E$1289='2018-19_working'!$B$6:$H$6)*(raw!$G$2:$G$1289))</f>
        <v>0</v>
      </c>
      <c r="H32" s="7">
        <f>SUMPRODUCT((raw!$B$2:$B$1289='2018-19_working'!$A32)*(raw!$F$2:$F$1289='2018-19_working'!H$7)*(raw!$E$2:$E$1289='2018-19_working'!$B$6:$H$6)*(raw!$G$2:$G$1289))</f>
        <v>0</v>
      </c>
      <c r="J32" s="7">
        <f>SUMPRODUCT((raw!$B$2:$B$1289='2018-19_working'!$A32)*(raw!$F$2:$F$1289='2018-19_working'!J$7)*(raw!$E$2:$E$1289='2018-19_working'!$J$6)*(raw!$G$2:$G$1289))</f>
        <v>19</v>
      </c>
      <c r="K32" s="7">
        <f>SUMPRODUCT((raw!$B$2:$B$1289='2018-19_working'!$A32)*(raw!$F$2:$F$1289='2018-19_working'!K$7)*(raw!$E$2:$E$1289='2018-19_working'!$J$6)*(raw!$G$2:$G$1289))</f>
        <v>32</v>
      </c>
      <c r="L32" s="7">
        <f>SUMPRODUCT((raw!$B$2:$B$1289='2018-19_working'!$A32)*(raw!$F$2:$F$1289='2018-19_working'!L$7)*(raw!$E$2:$E$1289='2018-19_working'!$J$6)*(raw!$G$2:$G$1289))</f>
        <v>18</v>
      </c>
      <c r="M32" s="7">
        <f>SUMPRODUCT((raw!$B$2:$B$1289='2018-19_working'!$A32)*(raw!$F$2:$F$1289='2018-19_working'!M$7)*(raw!$E$2:$E$1289='2018-19_working'!$J$6)*(raw!$G$2:$G$1289))</f>
        <v>3</v>
      </c>
      <c r="N32" s="7">
        <f>SUMPRODUCT((raw!$B$2:$B$1289='2018-19_working'!$A32)*(raw!$F$2:$F$1289='2018-19_working'!N$7)*(raw!$E$2:$E$1289='2018-19_working'!$J$6)*(raw!$G$2:$G$1289))</f>
        <v>0</v>
      </c>
      <c r="O32" s="7">
        <f>SUMPRODUCT((raw!$B$2:$B$1289='2018-19_working'!$A32)*(raw!$F$2:$F$1289='2018-19_working'!O$7)*(raw!$E$2:$E$1289='2018-19_working'!$J$6)*(raw!$G$2:$G$1289))</f>
        <v>0</v>
      </c>
      <c r="P32" s="7">
        <f>SUMPRODUCT((raw!$B$2:$B$1289='2018-19_working'!$A32)*(raw!$F$2:$F$1289='2018-19_working'!P$7)*(raw!$E$2:$E$1289='2018-19_working'!$J$6)*(raw!$G$2:$G$1289))</f>
        <v>0</v>
      </c>
      <c r="R32" s="7">
        <f>SUMPRODUCT((raw!$B$2:$B$1289='2018-19_working'!$A32)*(raw!$F$2:$F$1289='2018-19_working'!R$7)*(raw!$E$2:$E$1289='2018-19_working'!$R$6)*(raw!$G$2:$G$1289))</f>
        <v>0</v>
      </c>
      <c r="S32" s="7">
        <f>SUMPRODUCT((raw!$B$2:$B$1289='2018-19_working'!$A32)*(raw!$F$2:$F$1289='2018-19_working'!S$7)*(raw!$E$2:$E$1289='2018-19_working'!$R$6)*(raw!$G$2:$G$1289))</f>
        <v>0</v>
      </c>
      <c r="T32" s="7">
        <f>SUMPRODUCT((raw!$B$2:$B$1289='2018-19_working'!$A32)*(raw!$F$2:$F$1289='2018-19_working'!T$7)*(raw!$E$2:$E$1289='2018-19_working'!$R$6)*(raw!$G$2:$G$1289))</f>
        <v>0</v>
      </c>
      <c r="U32" s="7">
        <f>SUMPRODUCT((raw!$B$2:$B$1289='2018-19_working'!$A32)*(raw!$F$2:$F$1289='2018-19_working'!U$7)*(raw!$E$2:$E$1289='2018-19_working'!$R$6)*(raw!$G$2:$G$1289))</f>
        <v>0</v>
      </c>
      <c r="V32" s="7">
        <f>SUMPRODUCT((raw!$B$2:$B$1289='2018-19_working'!$A32)*(raw!$F$2:$F$1289='2018-19_working'!V$7)*(raw!$E$2:$E$1289='2018-19_working'!$R$6)*(raw!$G$2:$G$1289))</f>
        <v>0</v>
      </c>
      <c r="W32" s="7">
        <f>SUMPRODUCT((raw!$B$2:$B$1289='2018-19_working'!$A32)*(raw!$F$2:$F$1289='2018-19_working'!W$7)*(raw!$E$2:$E$1289='2018-19_working'!$R$6)*(raw!$G$2:$G$1289))</f>
        <v>0</v>
      </c>
      <c r="X32" s="7">
        <f>SUMPRODUCT((raw!$B$2:$B$1289='2018-19_working'!$A32)*(raw!$F$2:$F$1289='2018-19_working'!X$7)*(raw!$E$2:$E$1289='2018-19_working'!$R$6)*(raw!$G$2:$G$1289))</f>
        <v>0</v>
      </c>
      <c r="Z32" s="7">
        <f>SUMPRODUCT((raw!$B$2:$B$1289='2018-19_working'!$A32)*(raw!$F$2:$F$1289='2018-19_working'!Z$7)*(raw!$E$2:$E$1289='2018-19_working'!$Z$6)*(raw!$G$2:$G$1289))</f>
        <v>4</v>
      </c>
      <c r="AA32" s="7">
        <f>SUMPRODUCT((raw!$B$2:$B$1289='2018-19_working'!$A32)*(raw!$F$2:$F$1289='2018-19_working'!AA$7)*(raw!$E$2:$E$1289='2018-19_working'!$Z$6)*(raw!$G$2:$G$1289))</f>
        <v>6</v>
      </c>
      <c r="AB32" s="7">
        <f>SUMPRODUCT((raw!$B$2:$B$1289='2018-19_working'!$A32)*(raw!$F$2:$F$1289='2018-19_working'!AB$7)*(raw!$E$2:$E$1289='2018-19_working'!$Z$6)*(raw!$G$2:$G$1289))</f>
        <v>7</v>
      </c>
      <c r="AC32" s="7">
        <f>SUMPRODUCT((raw!$B$2:$B$1289='2018-19_working'!$A32)*(raw!$F$2:$F$1289='2018-19_working'!AC$7)*(raw!$E$2:$E$1289='2018-19_working'!$Z$6)*(raw!$G$2:$G$1289))</f>
        <v>4</v>
      </c>
      <c r="AD32" s="7">
        <f>SUMPRODUCT((raw!$B$2:$B$1289='2018-19_working'!$A32)*(raw!$F$2:$F$1289='2018-19_working'!AD$7)*(raw!$E$2:$E$1289='2018-19_working'!$Z$6)*(raw!$G$2:$G$1289))</f>
        <v>1</v>
      </c>
      <c r="AE32" s="7">
        <f>SUMPRODUCT((raw!$B$2:$B$1289='2018-19_working'!$A32)*(raw!$F$2:$F$1289='2018-19_working'!AE$7)*(raw!$E$2:$E$1289='2018-19_working'!$Z$6)*(raw!$G$2:$G$1289))</f>
        <v>0</v>
      </c>
      <c r="AF32" s="7">
        <f>SUMPRODUCT((raw!$B$2:$B$1289='2018-19_working'!$A32)*(raw!$F$2:$F$1289='2018-19_working'!AF$7)*(raw!$E$2:$E$1289='2018-19_working'!$Z$6)*(raw!$G$2:$G$1289))</f>
        <v>0</v>
      </c>
    </row>
    <row r="33" spans="1:32" x14ac:dyDescent="0.35">
      <c r="A33" s="7" t="s">
        <v>38</v>
      </c>
      <c r="B33" s="7">
        <f>SUMPRODUCT((raw!$B$2:$B$1289='2018-19_working'!$A33)*(raw!$F$2:$F$1289='2018-19_working'!B$7)*(raw!$E$2:$E$1289='2018-19_working'!$B$6:$H$6)*(raw!$G$2:$G$1289))</f>
        <v>2</v>
      </c>
      <c r="C33" s="7">
        <f>SUMPRODUCT((raw!$B$2:$B$1289='2018-19_working'!$A33)*(raw!$F$2:$F$1289='2018-19_working'!C$7)*(raw!$E$2:$E$1289='2018-19_working'!$B$6:$H$6)*(raw!$G$2:$G$1289))</f>
        <v>0</v>
      </c>
      <c r="D33" s="7">
        <f>SUMPRODUCT((raw!$B$2:$B$1289='2018-19_working'!$A33)*(raw!$F$2:$F$1289='2018-19_working'!D$7)*(raw!$E$2:$E$1289='2018-19_working'!$B$6:$H$6)*(raw!$G$2:$G$1289))</f>
        <v>6</v>
      </c>
      <c r="E33" s="7">
        <f>SUMPRODUCT((raw!$B$2:$B$1289='2018-19_working'!$A33)*(raw!$F$2:$F$1289='2018-19_working'!E$7)*(raw!$E$2:$E$1289='2018-19_working'!$B$6:$H$6)*(raw!$G$2:$G$1289))</f>
        <v>0</v>
      </c>
      <c r="F33" s="7">
        <f>SUMPRODUCT((raw!$B$2:$B$1289='2018-19_working'!$A33)*(raw!$F$2:$F$1289='2018-19_working'!F$7)*(raw!$E$2:$E$1289='2018-19_working'!$B$6:$H$6)*(raw!$G$2:$G$1289))</f>
        <v>0</v>
      </c>
      <c r="G33" s="7">
        <f>SUMPRODUCT((raw!$B$2:$B$1289='2018-19_working'!$A33)*(raw!$F$2:$F$1289='2018-19_working'!G$7)*(raw!$E$2:$E$1289='2018-19_working'!$B$6:$H$6)*(raw!$G$2:$G$1289))</f>
        <v>0</v>
      </c>
      <c r="H33" s="7">
        <f>SUMPRODUCT((raw!$B$2:$B$1289='2018-19_working'!$A33)*(raw!$F$2:$F$1289='2018-19_working'!H$7)*(raw!$E$2:$E$1289='2018-19_working'!$B$6:$H$6)*(raw!$G$2:$G$1289))</f>
        <v>0</v>
      </c>
      <c r="J33" s="7">
        <f>SUMPRODUCT((raw!$B$2:$B$1289='2018-19_working'!$A33)*(raw!$F$2:$F$1289='2018-19_working'!J$7)*(raw!$E$2:$E$1289='2018-19_working'!$J$6)*(raw!$G$2:$G$1289))</f>
        <v>7</v>
      </c>
      <c r="K33" s="7">
        <f>SUMPRODUCT((raw!$B$2:$B$1289='2018-19_working'!$A33)*(raw!$F$2:$F$1289='2018-19_working'!K$7)*(raw!$E$2:$E$1289='2018-19_working'!$J$6)*(raw!$G$2:$G$1289))</f>
        <v>10</v>
      </c>
      <c r="L33" s="7">
        <f>SUMPRODUCT((raw!$B$2:$B$1289='2018-19_working'!$A33)*(raw!$F$2:$F$1289='2018-19_working'!L$7)*(raw!$E$2:$E$1289='2018-19_working'!$J$6)*(raw!$G$2:$G$1289))</f>
        <v>14</v>
      </c>
      <c r="M33" s="7">
        <f>SUMPRODUCT((raw!$B$2:$B$1289='2018-19_working'!$A33)*(raw!$F$2:$F$1289='2018-19_working'!M$7)*(raw!$E$2:$E$1289='2018-19_working'!$J$6)*(raw!$G$2:$G$1289))</f>
        <v>2</v>
      </c>
      <c r="N33" s="7">
        <f>SUMPRODUCT((raw!$B$2:$B$1289='2018-19_working'!$A33)*(raw!$F$2:$F$1289='2018-19_working'!N$7)*(raw!$E$2:$E$1289='2018-19_working'!$J$6)*(raw!$G$2:$G$1289))</f>
        <v>0</v>
      </c>
      <c r="O33" s="7">
        <f>SUMPRODUCT((raw!$B$2:$B$1289='2018-19_working'!$A33)*(raw!$F$2:$F$1289='2018-19_working'!O$7)*(raw!$E$2:$E$1289='2018-19_working'!$J$6)*(raw!$G$2:$G$1289))</f>
        <v>0</v>
      </c>
      <c r="P33" s="7">
        <f>SUMPRODUCT((raw!$B$2:$B$1289='2018-19_working'!$A33)*(raw!$F$2:$F$1289='2018-19_working'!P$7)*(raw!$E$2:$E$1289='2018-19_working'!$J$6)*(raw!$G$2:$G$1289))</f>
        <v>0</v>
      </c>
      <c r="R33" s="7">
        <f>SUMPRODUCT((raw!$B$2:$B$1289='2018-19_working'!$A33)*(raw!$F$2:$F$1289='2018-19_working'!R$7)*(raw!$E$2:$E$1289='2018-19_working'!$R$6)*(raw!$G$2:$G$1289))</f>
        <v>0</v>
      </c>
      <c r="S33" s="7">
        <f>SUMPRODUCT((raw!$B$2:$B$1289='2018-19_working'!$A33)*(raw!$F$2:$F$1289='2018-19_working'!S$7)*(raw!$E$2:$E$1289='2018-19_working'!$R$6)*(raw!$G$2:$G$1289))</f>
        <v>0</v>
      </c>
      <c r="T33" s="7">
        <f>SUMPRODUCT((raw!$B$2:$B$1289='2018-19_working'!$A33)*(raw!$F$2:$F$1289='2018-19_working'!T$7)*(raw!$E$2:$E$1289='2018-19_working'!$R$6)*(raw!$G$2:$G$1289))</f>
        <v>0</v>
      </c>
      <c r="U33" s="7">
        <f>SUMPRODUCT((raw!$B$2:$B$1289='2018-19_working'!$A33)*(raw!$F$2:$F$1289='2018-19_working'!U$7)*(raw!$E$2:$E$1289='2018-19_working'!$R$6)*(raw!$G$2:$G$1289))</f>
        <v>0</v>
      </c>
      <c r="V33" s="7">
        <f>SUMPRODUCT((raw!$B$2:$B$1289='2018-19_working'!$A33)*(raw!$F$2:$F$1289='2018-19_working'!V$7)*(raw!$E$2:$E$1289='2018-19_working'!$R$6)*(raw!$G$2:$G$1289))</f>
        <v>0</v>
      </c>
      <c r="W33" s="7">
        <f>SUMPRODUCT((raw!$B$2:$B$1289='2018-19_working'!$A33)*(raw!$F$2:$F$1289='2018-19_working'!W$7)*(raw!$E$2:$E$1289='2018-19_working'!$R$6)*(raw!$G$2:$G$1289))</f>
        <v>0</v>
      </c>
      <c r="X33" s="7">
        <f>SUMPRODUCT((raw!$B$2:$B$1289='2018-19_working'!$A33)*(raw!$F$2:$F$1289='2018-19_working'!X$7)*(raw!$E$2:$E$1289='2018-19_working'!$R$6)*(raw!$G$2:$G$1289))</f>
        <v>0</v>
      </c>
      <c r="Z33" s="7">
        <f>SUMPRODUCT((raw!$B$2:$B$1289='2018-19_working'!$A33)*(raw!$F$2:$F$1289='2018-19_working'!Z$7)*(raw!$E$2:$E$1289='2018-19_working'!$Z$6)*(raw!$G$2:$G$1289))</f>
        <v>0</v>
      </c>
      <c r="AA33" s="7">
        <f>SUMPRODUCT((raw!$B$2:$B$1289='2018-19_working'!$A33)*(raw!$F$2:$F$1289='2018-19_working'!AA$7)*(raw!$E$2:$E$1289='2018-19_working'!$Z$6)*(raw!$G$2:$G$1289))</f>
        <v>5</v>
      </c>
      <c r="AB33" s="7">
        <f>SUMPRODUCT((raw!$B$2:$B$1289='2018-19_working'!$A33)*(raw!$F$2:$F$1289='2018-19_working'!AB$7)*(raw!$E$2:$E$1289='2018-19_working'!$Z$6)*(raw!$G$2:$G$1289))</f>
        <v>1</v>
      </c>
      <c r="AC33" s="7">
        <f>SUMPRODUCT((raw!$B$2:$B$1289='2018-19_working'!$A33)*(raw!$F$2:$F$1289='2018-19_working'!AC$7)*(raw!$E$2:$E$1289='2018-19_working'!$Z$6)*(raw!$G$2:$G$1289))</f>
        <v>2</v>
      </c>
      <c r="AD33" s="7">
        <f>SUMPRODUCT((raw!$B$2:$B$1289='2018-19_working'!$A33)*(raw!$F$2:$F$1289='2018-19_working'!AD$7)*(raw!$E$2:$E$1289='2018-19_working'!$Z$6)*(raw!$G$2:$G$1289))</f>
        <v>1</v>
      </c>
      <c r="AE33" s="7">
        <f>SUMPRODUCT((raw!$B$2:$B$1289='2018-19_working'!$A33)*(raw!$F$2:$F$1289='2018-19_working'!AE$7)*(raw!$E$2:$E$1289='2018-19_working'!$Z$6)*(raw!$G$2:$G$1289))</f>
        <v>0</v>
      </c>
      <c r="AF33" s="7">
        <f>SUMPRODUCT((raw!$B$2:$B$1289='2018-19_working'!$A33)*(raw!$F$2:$F$1289='2018-19_working'!AF$7)*(raw!$E$2:$E$1289='2018-19_working'!$Z$6)*(raw!$G$2:$G$1289))</f>
        <v>0</v>
      </c>
    </row>
    <row r="34" spans="1:32" x14ac:dyDescent="0.35">
      <c r="A34" s="7" t="s">
        <v>39</v>
      </c>
      <c r="B34" s="7">
        <f>SUMPRODUCT((raw!$B$2:$B$1289='2018-19_working'!$A34)*(raw!$F$2:$F$1289='2018-19_working'!B$7)*(raw!$E$2:$E$1289='2018-19_working'!$B$6:$H$6)*(raw!$G$2:$G$1289))</f>
        <v>1</v>
      </c>
      <c r="C34" s="7">
        <f>SUMPRODUCT((raw!$B$2:$B$1289='2018-19_working'!$A34)*(raw!$F$2:$F$1289='2018-19_working'!C$7)*(raw!$E$2:$E$1289='2018-19_working'!$B$6:$H$6)*(raw!$G$2:$G$1289))</f>
        <v>12</v>
      </c>
      <c r="D34" s="7">
        <f>SUMPRODUCT((raw!$B$2:$B$1289='2018-19_working'!$A34)*(raw!$F$2:$F$1289='2018-19_working'!D$7)*(raw!$E$2:$E$1289='2018-19_working'!$B$6:$H$6)*(raw!$G$2:$G$1289))</f>
        <v>0</v>
      </c>
      <c r="E34" s="7">
        <f>SUMPRODUCT((raw!$B$2:$B$1289='2018-19_working'!$A34)*(raw!$F$2:$F$1289='2018-19_working'!E$7)*(raw!$E$2:$E$1289='2018-19_working'!$B$6:$H$6)*(raw!$G$2:$G$1289))</f>
        <v>0</v>
      </c>
      <c r="F34" s="7">
        <f>SUMPRODUCT((raw!$B$2:$B$1289='2018-19_working'!$A34)*(raw!$F$2:$F$1289='2018-19_working'!F$7)*(raw!$E$2:$E$1289='2018-19_working'!$B$6:$H$6)*(raw!$G$2:$G$1289))</f>
        <v>0</v>
      </c>
      <c r="G34" s="7">
        <f>SUMPRODUCT((raw!$B$2:$B$1289='2018-19_working'!$A34)*(raw!$F$2:$F$1289='2018-19_working'!G$7)*(raw!$E$2:$E$1289='2018-19_working'!$B$6:$H$6)*(raw!$G$2:$G$1289))</f>
        <v>0</v>
      </c>
      <c r="H34" s="7">
        <f>SUMPRODUCT((raw!$B$2:$B$1289='2018-19_working'!$A34)*(raw!$F$2:$F$1289='2018-19_working'!H$7)*(raw!$E$2:$E$1289='2018-19_working'!$B$6:$H$6)*(raw!$G$2:$G$1289))</f>
        <v>0</v>
      </c>
      <c r="J34" s="7">
        <f>SUMPRODUCT((raw!$B$2:$B$1289='2018-19_working'!$A34)*(raw!$F$2:$F$1289='2018-19_working'!J$7)*(raw!$E$2:$E$1289='2018-19_working'!$J$6)*(raw!$G$2:$G$1289))</f>
        <v>17</v>
      </c>
      <c r="K34" s="7">
        <f>SUMPRODUCT((raw!$B$2:$B$1289='2018-19_working'!$A34)*(raw!$F$2:$F$1289='2018-19_working'!K$7)*(raw!$E$2:$E$1289='2018-19_working'!$J$6)*(raw!$G$2:$G$1289))</f>
        <v>21</v>
      </c>
      <c r="L34" s="7">
        <f>SUMPRODUCT((raw!$B$2:$B$1289='2018-19_working'!$A34)*(raw!$F$2:$F$1289='2018-19_working'!L$7)*(raw!$E$2:$E$1289='2018-19_working'!$J$6)*(raw!$G$2:$G$1289))</f>
        <v>10</v>
      </c>
      <c r="M34" s="7">
        <f>SUMPRODUCT((raw!$B$2:$B$1289='2018-19_working'!$A34)*(raw!$F$2:$F$1289='2018-19_working'!M$7)*(raw!$E$2:$E$1289='2018-19_working'!$J$6)*(raw!$G$2:$G$1289))</f>
        <v>4</v>
      </c>
      <c r="N34" s="7">
        <f>SUMPRODUCT((raw!$B$2:$B$1289='2018-19_working'!$A34)*(raw!$F$2:$F$1289='2018-19_working'!N$7)*(raw!$E$2:$E$1289='2018-19_working'!$J$6)*(raw!$G$2:$G$1289))</f>
        <v>1</v>
      </c>
      <c r="O34" s="7">
        <f>SUMPRODUCT((raw!$B$2:$B$1289='2018-19_working'!$A34)*(raw!$F$2:$F$1289='2018-19_working'!O$7)*(raw!$E$2:$E$1289='2018-19_working'!$J$6)*(raw!$G$2:$G$1289))</f>
        <v>0</v>
      </c>
      <c r="P34" s="7">
        <f>SUMPRODUCT((raw!$B$2:$B$1289='2018-19_working'!$A34)*(raw!$F$2:$F$1289='2018-19_working'!P$7)*(raw!$E$2:$E$1289='2018-19_working'!$J$6)*(raw!$G$2:$G$1289))</f>
        <v>0</v>
      </c>
      <c r="R34" s="7">
        <f>SUMPRODUCT((raw!$B$2:$B$1289='2018-19_working'!$A34)*(raw!$F$2:$F$1289='2018-19_working'!R$7)*(raw!$E$2:$E$1289='2018-19_working'!$R$6)*(raw!$G$2:$G$1289))</f>
        <v>0</v>
      </c>
      <c r="S34" s="7">
        <f>SUMPRODUCT((raw!$B$2:$B$1289='2018-19_working'!$A34)*(raw!$F$2:$F$1289='2018-19_working'!S$7)*(raw!$E$2:$E$1289='2018-19_working'!$R$6)*(raw!$G$2:$G$1289))</f>
        <v>4</v>
      </c>
      <c r="T34" s="7">
        <f>SUMPRODUCT((raw!$B$2:$B$1289='2018-19_working'!$A34)*(raw!$F$2:$F$1289='2018-19_working'!T$7)*(raw!$E$2:$E$1289='2018-19_working'!$R$6)*(raw!$G$2:$G$1289))</f>
        <v>0</v>
      </c>
      <c r="U34" s="7">
        <f>SUMPRODUCT((raw!$B$2:$B$1289='2018-19_working'!$A34)*(raw!$F$2:$F$1289='2018-19_working'!U$7)*(raw!$E$2:$E$1289='2018-19_working'!$R$6)*(raw!$G$2:$G$1289))</f>
        <v>0</v>
      </c>
      <c r="V34" s="7">
        <f>SUMPRODUCT((raw!$B$2:$B$1289='2018-19_working'!$A34)*(raw!$F$2:$F$1289='2018-19_working'!V$7)*(raw!$E$2:$E$1289='2018-19_working'!$R$6)*(raw!$G$2:$G$1289))</f>
        <v>0</v>
      </c>
      <c r="W34" s="7">
        <f>SUMPRODUCT((raw!$B$2:$B$1289='2018-19_working'!$A34)*(raw!$F$2:$F$1289='2018-19_working'!W$7)*(raw!$E$2:$E$1289='2018-19_working'!$R$6)*(raw!$G$2:$G$1289))</f>
        <v>0</v>
      </c>
      <c r="X34" s="7">
        <f>SUMPRODUCT((raw!$B$2:$B$1289='2018-19_working'!$A34)*(raw!$F$2:$F$1289='2018-19_working'!X$7)*(raw!$E$2:$E$1289='2018-19_working'!$R$6)*(raw!$G$2:$G$1289))</f>
        <v>0</v>
      </c>
      <c r="Z34" s="7">
        <f>SUMPRODUCT((raw!$B$2:$B$1289='2018-19_working'!$A34)*(raw!$F$2:$F$1289='2018-19_working'!Z$7)*(raw!$E$2:$E$1289='2018-19_working'!$Z$6)*(raw!$G$2:$G$1289))</f>
        <v>3</v>
      </c>
      <c r="AA34" s="7">
        <f>SUMPRODUCT((raw!$B$2:$B$1289='2018-19_working'!$A34)*(raw!$F$2:$F$1289='2018-19_working'!AA$7)*(raw!$E$2:$E$1289='2018-19_working'!$Z$6)*(raw!$G$2:$G$1289))</f>
        <v>2</v>
      </c>
      <c r="AB34" s="7">
        <f>SUMPRODUCT((raw!$B$2:$B$1289='2018-19_working'!$A34)*(raw!$F$2:$F$1289='2018-19_working'!AB$7)*(raw!$E$2:$E$1289='2018-19_working'!$Z$6)*(raw!$G$2:$G$1289))</f>
        <v>1</v>
      </c>
      <c r="AC34" s="7">
        <f>SUMPRODUCT((raw!$B$2:$B$1289='2018-19_working'!$A34)*(raw!$F$2:$F$1289='2018-19_working'!AC$7)*(raw!$E$2:$E$1289='2018-19_working'!$Z$6)*(raw!$G$2:$G$1289))</f>
        <v>2</v>
      </c>
      <c r="AD34" s="7">
        <f>SUMPRODUCT((raw!$B$2:$B$1289='2018-19_working'!$A34)*(raw!$F$2:$F$1289='2018-19_working'!AD$7)*(raw!$E$2:$E$1289='2018-19_working'!$Z$6)*(raw!$G$2:$G$1289))</f>
        <v>2</v>
      </c>
      <c r="AE34" s="7">
        <f>SUMPRODUCT((raw!$B$2:$B$1289='2018-19_working'!$A34)*(raw!$F$2:$F$1289='2018-19_working'!AE$7)*(raw!$E$2:$E$1289='2018-19_working'!$Z$6)*(raw!$G$2:$G$1289))</f>
        <v>0</v>
      </c>
      <c r="AF34" s="7">
        <f>SUMPRODUCT((raw!$B$2:$B$1289='2018-19_working'!$A34)*(raw!$F$2:$F$1289='2018-19_working'!AF$7)*(raw!$E$2:$E$1289='2018-19_working'!$Z$6)*(raw!$G$2:$G$1289))</f>
        <v>0</v>
      </c>
    </row>
    <row r="35" spans="1:32" x14ac:dyDescent="0.35">
      <c r="A35" s="7" t="s">
        <v>40</v>
      </c>
      <c r="B35" s="7">
        <f>SUMPRODUCT((raw!$B$2:$B$1289='2018-19_working'!$A35)*(raw!$F$2:$F$1289='2018-19_working'!B$7)*(raw!$E$2:$E$1289='2018-19_working'!$B$6:$H$6)*(raw!$G$2:$G$1289))</f>
        <v>5</v>
      </c>
      <c r="C35" s="7">
        <f>SUMPRODUCT((raw!$B$2:$B$1289='2018-19_working'!$A35)*(raw!$F$2:$F$1289='2018-19_working'!C$7)*(raw!$E$2:$E$1289='2018-19_working'!$B$6:$H$6)*(raw!$G$2:$G$1289))</f>
        <v>12</v>
      </c>
      <c r="D35" s="7">
        <f>SUMPRODUCT((raw!$B$2:$B$1289='2018-19_working'!$A35)*(raw!$F$2:$F$1289='2018-19_working'!D$7)*(raw!$E$2:$E$1289='2018-19_working'!$B$6:$H$6)*(raw!$G$2:$G$1289))</f>
        <v>10</v>
      </c>
      <c r="E35" s="7">
        <f>SUMPRODUCT((raw!$B$2:$B$1289='2018-19_working'!$A35)*(raw!$F$2:$F$1289='2018-19_working'!E$7)*(raw!$E$2:$E$1289='2018-19_working'!$B$6:$H$6)*(raw!$G$2:$G$1289))</f>
        <v>3</v>
      </c>
      <c r="F35" s="7">
        <f>SUMPRODUCT((raw!$B$2:$B$1289='2018-19_working'!$A35)*(raw!$F$2:$F$1289='2018-19_working'!F$7)*(raw!$E$2:$E$1289='2018-19_working'!$B$6:$H$6)*(raw!$G$2:$G$1289))</f>
        <v>0</v>
      </c>
      <c r="G35" s="7">
        <f>SUMPRODUCT((raw!$B$2:$B$1289='2018-19_working'!$A35)*(raw!$F$2:$F$1289='2018-19_working'!G$7)*(raw!$E$2:$E$1289='2018-19_working'!$B$6:$H$6)*(raw!$G$2:$G$1289))</f>
        <v>0</v>
      </c>
      <c r="H35" s="7">
        <f>SUMPRODUCT((raw!$B$2:$B$1289='2018-19_working'!$A35)*(raw!$F$2:$F$1289='2018-19_working'!H$7)*(raw!$E$2:$E$1289='2018-19_working'!$B$6:$H$6)*(raw!$G$2:$G$1289))</f>
        <v>0</v>
      </c>
      <c r="J35" s="7">
        <f>SUMPRODUCT((raw!$B$2:$B$1289='2018-19_working'!$A35)*(raw!$F$2:$F$1289='2018-19_working'!J$7)*(raw!$E$2:$E$1289='2018-19_working'!$J$6)*(raw!$G$2:$G$1289))</f>
        <v>7</v>
      </c>
      <c r="K35" s="7">
        <f>SUMPRODUCT((raw!$B$2:$B$1289='2018-19_working'!$A35)*(raw!$F$2:$F$1289='2018-19_working'!K$7)*(raw!$E$2:$E$1289='2018-19_working'!$J$6)*(raw!$G$2:$G$1289))</f>
        <v>17</v>
      </c>
      <c r="L35" s="7">
        <f>SUMPRODUCT((raw!$B$2:$B$1289='2018-19_working'!$A35)*(raw!$F$2:$F$1289='2018-19_working'!L$7)*(raw!$E$2:$E$1289='2018-19_working'!$J$6)*(raw!$G$2:$G$1289))</f>
        <v>11</v>
      </c>
      <c r="M35" s="7">
        <f>SUMPRODUCT((raw!$B$2:$B$1289='2018-19_working'!$A35)*(raw!$F$2:$F$1289='2018-19_working'!M$7)*(raw!$E$2:$E$1289='2018-19_working'!$J$6)*(raw!$G$2:$G$1289))</f>
        <v>3</v>
      </c>
      <c r="N35" s="7">
        <f>SUMPRODUCT((raw!$B$2:$B$1289='2018-19_working'!$A35)*(raw!$F$2:$F$1289='2018-19_working'!N$7)*(raw!$E$2:$E$1289='2018-19_working'!$J$6)*(raw!$G$2:$G$1289))</f>
        <v>0</v>
      </c>
      <c r="O35" s="7">
        <f>SUMPRODUCT((raw!$B$2:$B$1289='2018-19_working'!$A35)*(raw!$F$2:$F$1289='2018-19_working'!O$7)*(raw!$E$2:$E$1289='2018-19_working'!$J$6)*(raw!$G$2:$G$1289))</f>
        <v>0</v>
      </c>
      <c r="P35" s="7">
        <f>SUMPRODUCT((raw!$B$2:$B$1289='2018-19_working'!$A35)*(raw!$F$2:$F$1289='2018-19_working'!P$7)*(raw!$E$2:$E$1289='2018-19_working'!$J$6)*(raw!$G$2:$G$1289))</f>
        <v>0</v>
      </c>
      <c r="R35" s="7">
        <f>SUMPRODUCT((raw!$B$2:$B$1289='2018-19_working'!$A35)*(raw!$F$2:$F$1289='2018-19_working'!R$7)*(raw!$E$2:$E$1289='2018-19_working'!$R$6)*(raw!$G$2:$G$1289))</f>
        <v>0</v>
      </c>
      <c r="S35" s="7">
        <f>SUMPRODUCT((raw!$B$2:$B$1289='2018-19_working'!$A35)*(raw!$F$2:$F$1289='2018-19_working'!S$7)*(raw!$E$2:$E$1289='2018-19_working'!$R$6)*(raw!$G$2:$G$1289))</f>
        <v>2</v>
      </c>
      <c r="T35" s="7">
        <f>SUMPRODUCT((raw!$B$2:$B$1289='2018-19_working'!$A35)*(raw!$F$2:$F$1289='2018-19_working'!T$7)*(raw!$E$2:$E$1289='2018-19_working'!$R$6)*(raw!$G$2:$G$1289))</f>
        <v>0</v>
      </c>
      <c r="U35" s="7">
        <f>SUMPRODUCT((raw!$B$2:$B$1289='2018-19_working'!$A35)*(raw!$F$2:$F$1289='2018-19_working'!U$7)*(raw!$E$2:$E$1289='2018-19_working'!$R$6)*(raw!$G$2:$G$1289))</f>
        <v>0</v>
      </c>
      <c r="V35" s="7">
        <f>SUMPRODUCT((raw!$B$2:$B$1289='2018-19_working'!$A35)*(raw!$F$2:$F$1289='2018-19_working'!V$7)*(raw!$E$2:$E$1289='2018-19_working'!$R$6)*(raw!$G$2:$G$1289))</f>
        <v>0</v>
      </c>
      <c r="W35" s="7">
        <f>SUMPRODUCT((raw!$B$2:$B$1289='2018-19_working'!$A35)*(raw!$F$2:$F$1289='2018-19_working'!W$7)*(raw!$E$2:$E$1289='2018-19_working'!$R$6)*(raw!$G$2:$G$1289))</f>
        <v>0</v>
      </c>
      <c r="X35" s="7">
        <f>SUMPRODUCT((raw!$B$2:$B$1289='2018-19_working'!$A35)*(raw!$F$2:$F$1289='2018-19_working'!X$7)*(raw!$E$2:$E$1289='2018-19_working'!$R$6)*(raw!$G$2:$G$1289))</f>
        <v>0</v>
      </c>
      <c r="Z35" s="7">
        <f>SUMPRODUCT((raw!$B$2:$B$1289='2018-19_working'!$A35)*(raw!$F$2:$F$1289='2018-19_working'!Z$7)*(raw!$E$2:$E$1289='2018-19_working'!$Z$6)*(raw!$G$2:$G$1289))</f>
        <v>2</v>
      </c>
      <c r="AA35" s="7">
        <f>SUMPRODUCT((raw!$B$2:$B$1289='2018-19_working'!$A35)*(raw!$F$2:$F$1289='2018-19_working'!AA$7)*(raw!$E$2:$E$1289='2018-19_working'!$Z$6)*(raw!$G$2:$G$1289))</f>
        <v>2</v>
      </c>
      <c r="AB35" s="7">
        <f>SUMPRODUCT((raw!$B$2:$B$1289='2018-19_working'!$A35)*(raw!$F$2:$F$1289='2018-19_working'!AB$7)*(raw!$E$2:$E$1289='2018-19_working'!$Z$6)*(raw!$G$2:$G$1289))</f>
        <v>2</v>
      </c>
      <c r="AC35" s="7">
        <f>SUMPRODUCT((raw!$B$2:$B$1289='2018-19_working'!$A35)*(raw!$F$2:$F$1289='2018-19_working'!AC$7)*(raw!$E$2:$E$1289='2018-19_working'!$Z$6)*(raw!$G$2:$G$1289))</f>
        <v>2</v>
      </c>
      <c r="AD35" s="7">
        <f>SUMPRODUCT((raw!$B$2:$B$1289='2018-19_working'!$A35)*(raw!$F$2:$F$1289='2018-19_working'!AD$7)*(raw!$E$2:$E$1289='2018-19_working'!$Z$6)*(raw!$G$2:$G$1289))</f>
        <v>2</v>
      </c>
      <c r="AE35" s="7">
        <f>SUMPRODUCT((raw!$B$2:$B$1289='2018-19_working'!$A35)*(raw!$F$2:$F$1289='2018-19_working'!AE$7)*(raw!$E$2:$E$1289='2018-19_working'!$Z$6)*(raw!$G$2:$G$1289))</f>
        <v>0</v>
      </c>
      <c r="AF35" s="7">
        <f>SUMPRODUCT((raw!$B$2:$B$1289='2018-19_working'!$A35)*(raw!$F$2:$F$1289='2018-19_working'!AF$7)*(raw!$E$2:$E$1289='2018-19_working'!$Z$6)*(raw!$G$2:$G$1289))</f>
        <v>0</v>
      </c>
    </row>
    <row r="36" spans="1:32" x14ac:dyDescent="0.35">
      <c r="A36" s="7" t="s">
        <v>41</v>
      </c>
      <c r="B36" s="7">
        <f>SUMPRODUCT((raw!$B$2:$B$1289='2018-19_working'!$A36)*(raw!$F$2:$F$1289='2018-19_working'!B$7)*(raw!$E$2:$E$1289='2018-19_working'!$B$6:$H$6)*(raw!$G$2:$G$1289))</f>
        <v>0</v>
      </c>
      <c r="C36" s="7">
        <f>SUMPRODUCT((raw!$B$2:$B$1289='2018-19_working'!$A36)*(raw!$F$2:$F$1289='2018-19_working'!C$7)*(raw!$E$2:$E$1289='2018-19_working'!$B$6:$H$6)*(raw!$G$2:$G$1289))</f>
        <v>0</v>
      </c>
      <c r="D36" s="7">
        <f>SUMPRODUCT((raw!$B$2:$B$1289='2018-19_working'!$A36)*(raw!$F$2:$F$1289='2018-19_working'!D$7)*(raw!$E$2:$E$1289='2018-19_working'!$B$6:$H$6)*(raw!$G$2:$G$1289))</f>
        <v>0</v>
      </c>
      <c r="E36" s="7">
        <f>SUMPRODUCT((raw!$B$2:$B$1289='2018-19_working'!$A36)*(raw!$F$2:$F$1289='2018-19_working'!E$7)*(raw!$E$2:$E$1289='2018-19_working'!$B$6:$H$6)*(raw!$G$2:$G$1289))</f>
        <v>0</v>
      </c>
      <c r="F36" s="7">
        <f>SUMPRODUCT((raw!$B$2:$B$1289='2018-19_working'!$A36)*(raw!$F$2:$F$1289='2018-19_working'!F$7)*(raw!$E$2:$E$1289='2018-19_working'!$B$6:$H$6)*(raw!$G$2:$G$1289))</f>
        <v>0</v>
      </c>
      <c r="G36" s="7">
        <f>SUMPRODUCT((raw!$B$2:$B$1289='2018-19_working'!$A36)*(raw!$F$2:$F$1289='2018-19_working'!G$7)*(raw!$E$2:$E$1289='2018-19_working'!$B$6:$H$6)*(raw!$G$2:$G$1289))</f>
        <v>0</v>
      </c>
      <c r="H36" s="7">
        <f>SUMPRODUCT((raw!$B$2:$B$1289='2018-19_working'!$A36)*(raw!$F$2:$F$1289='2018-19_working'!H$7)*(raw!$E$2:$E$1289='2018-19_working'!$B$6:$H$6)*(raw!$G$2:$G$1289))</f>
        <v>0</v>
      </c>
      <c r="J36" s="7">
        <f>SUMPRODUCT((raw!$B$2:$B$1289='2018-19_working'!$A36)*(raw!$F$2:$F$1289='2018-19_working'!J$7)*(raw!$E$2:$E$1289='2018-19_working'!$J$6)*(raw!$G$2:$G$1289))</f>
        <v>0</v>
      </c>
      <c r="K36" s="7">
        <f>SUMPRODUCT((raw!$B$2:$B$1289='2018-19_working'!$A36)*(raw!$F$2:$F$1289='2018-19_working'!K$7)*(raw!$E$2:$E$1289='2018-19_working'!$J$6)*(raw!$G$2:$G$1289))</f>
        <v>0</v>
      </c>
      <c r="L36" s="7">
        <f>SUMPRODUCT((raw!$B$2:$B$1289='2018-19_working'!$A36)*(raw!$F$2:$F$1289='2018-19_working'!L$7)*(raw!$E$2:$E$1289='2018-19_working'!$J$6)*(raw!$G$2:$G$1289))</f>
        <v>0</v>
      </c>
      <c r="M36" s="7">
        <f>SUMPRODUCT((raw!$B$2:$B$1289='2018-19_working'!$A36)*(raw!$F$2:$F$1289='2018-19_working'!M$7)*(raw!$E$2:$E$1289='2018-19_working'!$J$6)*(raw!$G$2:$G$1289))</f>
        <v>0</v>
      </c>
      <c r="N36" s="7">
        <f>SUMPRODUCT((raw!$B$2:$B$1289='2018-19_working'!$A36)*(raw!$F$2:$F$1289='2018-19_working'!N$7)*(raw!$E$2:$E$1289='2018-19_working'!$J$6)*(raw!$G$2:$G$1289))</f>
        <v>0</v>
      </c>
      <c r="O36" s="7">
        <f>SUMPRODUCT((raw!$B$2:$B$1289='2018-19_working'!$A36)*(raw!$F$2:$F$1289='2018-19_working'!O$7)*(raw!$E$2:$E$1289='2018-19_working'!$J$6)*(raw!$G$2:$G$1289))</f>
        <v>0</v>
      </c>
      <c r="P36" s="7">
        <f>SUMPRODUCT((raw!$B$2:$B$1289='2018-19_working'!$A36)*(raw!$F$2:$F$1289='2018-19_working'!P$7)*(raw!$E$2:$E$1289='2018-19_working'!$J$6)*(raw!$G$2:$G$1289))</f>
        <v>0</v>
      </c>
      <c r="R36" s="7">
        <f>SUMPRODUCT((raw!$B$2:$B$1289='2018-19_working'!$A36)*(raw!$F$2:$F$1289='2018-19_working'!R$7)*(raw!$E$2:$E$1289='2018-19_working'!$R$6)*(raw!$G$2:$G$1289))</f>
        <v>2</v>
      </c>
      <c r="S36" s="7">
        <f>SUMPRODUCT((raw!$B$2:$B$1289='2018-19_working'!$A36)*(raw!$F$2:$F$1289='2018-19_working'!S$7)*(raw!$E$2:$E$1289='2018-19_working'!$R$6)*(raw!$G$2:$G$1289))</f>
        <v>3</v>
      </c>
      <c r="T36" s="7">
        <f>SUMPRODUCT((raw!$B$2:$B$1289='2018-19_working'!$A36)*(raw!$F$2:$F$1289='2018-19_working'!T$7)*(raw!$E$2:$E$1289='2018-19_working'!$R$6)*(raw!$G$2:$G$1289))</f>
        <v>2</v>
      </c>
      <c r="U36" s="7">
        <f>SUMPRODUCT((raw!$B$2:$B$1289='2018-19_working'!$A36)*(raw!$F$2:$F$1289='2018-19_working'!U$7)*(raw!$E$2:$E$1289='2018-19_working'!$R$6)*(raw!$G$2:$G$1289))</f>
        <v>0</v>
      </c>
      <c r="V36" s="7">
        <f>SUMPRODUCT((raw!$B$2:$B$1289='2018-19_working'!$A36)*(raw!$F$2:$F$1289='2018-19_working'!V$7)*(raw!$E$2:$E$1289='2018-19_working'!$R$6)*(raw!$G$2:$G$1289))</f>
        <v>0</v>
      </c>
      <c r="W36" s="7">
        <f>SUMPRODUCT((raw!$B$2:$B$1289='2018-19_working'!$A36)*(raw!$F$2:$F$1289='2018-19_working'!W$7)*(raw!$E$2:$E$1289='2018-19_working'!$R$6)*(raw!$G$2:$G$1289))</f>
        <v>0</v>
      </c>
      <c r="X36" s="7">
        <f>SUMPRODUCT((raw!$B$2:$B$1289='2018-19_working'!$A36)*(raw!$F$2:$F$1289='2018-19_working'!X$7)*(raw!$E$2:$E$1289='2018-19_working'!$R$6)*(raw!$G$2:$G$1289))</f>
        <v>0</v>
      </c>
      <c r="Z36" s="7">
        <f>SUMPRODUCT((raw!$B$2:$B$1289='2018-19_working'!$A36)*(raw!$F$2:$F$1289='2018-19_working'!Z$7)*(raw!$E$2:$E$1289='2018-19_working'!$Z$6)*(raw!$G$2:$G$1289))</f>
        <v>0</v>
      </c>
      <c r="AA36" s="7">
        <f>SUMPRODUCT((raw!$B$2:$B$1289='2018-19_working'!$A36)*(raw!$F$2:$F$1289='2018-19_working'!AA$7)*(raw!$E$2:$E$1289='2018-19_working'!$Z$6)*(raw!$G$2:$G$1289))</f>
        <v>0</v>
      </c>
      <c r="AB36" s="7">
        <f>SUMPRODUCT((raw!$B$2:$B$1289='2018-19_working'!$A36)*(raw!$F$2:$F$1289='2018-19_working'!AB$7)*(raw!$E$2:$E$1289='2018-19_working'!$Z$6)*(raw!$G$2:$G$1289))</f>
        <v>0</v>
      </c>
      <c r="AC36" s="7">
        <f>SUMPRODUCT((raw!$B$2:$B$1289='2018-19_working'!$A36)*(raw!$F$2:$F$1289='2018-19_working'!AC$7)*(raw!$E$2:$E$1289='2018-19_working'!$Z$6)*(raw!$G$2:$G$1289))</f>
        <v>1</v>
      </c>
      <c r="AD36" s="7">
        <f>SUMPRODUCT((raw!$B$2:$B$1289='2018-19_working'!$A36)*(raw!$F$2:$F$1289='2018-19_working'!AD$7)*(raw!$E$2:$E$1289='2018-19_working'!$Z$6)*(raw!$G$2:$G$1289))</f>
        <v>0</v>
      </c>
      <c r="AE36" s="7">
        <f>SUMPRODUCT((raw!$B$2:$B$1289='2018-19_working'!$A36)*(raw!$F$2:$F$1289='2018-19_working'!AE$7)*(raw!$E$2:$E$1289='2018-19_working'!$Z$6)*(raw!$G$2:$G$1289))</f>
        <v>0</v>
      </c>
      <c r="AF36" s="7">
        <f>SUMPRODUCT((raw!$B$2:$B$1289='2018-19_working'!$A36)*(raw!$F$2:$F$1289='2018-19_working'!AF$7)*(raw!$E$2:$E$1289='2018-19_working'!$Z$6)*(raw!$G$2:$G$1289))</f>
        <v>0</v>
      </c>
    </row>
    <row r="37" spans="1:32" x14ac:dyDescent="0.35">
      <c r="A37" s="7" t="s">
        <v>42</v>
      </c>
      <c r="B37" s="7">
        <f>SUMPRODUCT((raw!$B$2:$B$1289='2018-19_working'!$A37)*(raw!$F$2:$F$1289='2018-19_working'!B$7)*(raw!$E$2:$E$1289='2018-19_working'!$B$6:$H$6)*(raw!$G$2:$G$1289))</f>
        <v>2</v>
      </c>
      <c r="C37" s="7">
        <f>SUMPRODUCT((raw!$B$2:$B$1289='2018-19_working'!$A37)*(raw!$F$2:$F$1289='2018-19_working'!C$7)*(raw!$E$2:$E$1289='2018-19_working'!$B$6:$H$6)*(raw!$G$2:$G$1289))</f>
        <v>15</v>
      </c>
      <c r="D37" s="7">
        <f>SUMPRODUCT((raw!$B$2:$B$1289='2018-19_working'!$A37)*(raw!$F$2:$F$1289='2018-19_working'!D$7)*(raw!$E$2:$E$1289='2018-19_working'!$B$6:$H$6)*(raw!$G$2:$G$1289))</f>
        <v>11</v>
      </c>
      <c r="E37" s="7">
        <f>SUMPRODUCT((raw!$B$2:$B$1289='2018-19_working'!$A37)*(raw!$F$2:$F$1289='2018-19_working'!E$7)*(raw!$E$2:$E$1289='2018-19_working'!$B$6:$H$6)*(raw!$G$2:$G$1289))</f>
        <v>2</v>
      </c>
      <c r="F37" s="7">
        <f>SUMPRODUCT((raw!$B$2:$B$1289='2018-19_working'!$A37)*(raw!$F$2:$F$1289='2018-19_working'!F$7)*(raw!$E$2:$E$1289='2018-19_working'!$B$6:$H$6)*(raw!$G$2:$G$1289))</f>
        <v>0</v>
      </c>
      <c r="G37" s="7">
        <f>SUMPRODUCT((raw!$B$2:$B$1289='2018-19_working'!$A37)*(raw!$F$2:$F$1289='2018-19_working'!G$7)*(raw!$E$2:$E$1289='2018-19_working'!$B$6:$H$6)*(raw!$G$2:$G$1289))</f>
        <v>0</v>
      </c>
      <c r="H37" s="7">
        <f>SUMPRODUCT((raw!$B$2:$B$1289='2018-19_working'!$A37)*(raw!$F$2:$F$1289='2018-19_working'!H$7)*(raw!$E$2:$E$1289='2018-19_working'!$B$6:$H$6)*(raw!$G$2:$G$1289))</f>
        <v>0</v>
      </c>
      <c r="J37" s="7">
        <f>SUMPRODUCT((raw!$B$2:$B$1289='2018-19_working'!$A37)*(raw!$F$2:$F$1289='2018-19_working'!J$7)*(raw!$E$2:$E$1289='2018-19_working'!$J$6)*(raw!$G$2:$G$1289))</f>
        <v>11</v>
      </c>
      <c r="K37" s="7">
        <f>SUMPRODUCT((raw!$B$2:$B$1289='2018-19_working'!$A37)*(raw!$F$2:$F$1289='2018-19_working'!K$7)*(raw!$E$2:$E$1289='2018-19_working'!$J$6)*(raw!$G$2:$G$1289))</f>
        <v>15</v>
      </c>
      <c r="L37" s="7">
        <f>SUMPRODUCT((raw!$B$2:$B$1289='2018-19_working'!$A37)*(raw!$F$2:$F$1289='2018-19_working'!L$7)*(raw!$E$2:$E$1289='2018-19_working'!$J$6)*(raw!$G$2:$G$1289))</f>
        <v>10</v>
      </c>
      <c r="M37" s="7">
        <f>SUMPRODUCT((raw!$B$2:$B$1289='2018-19_working'!$A37)*(raw!$F$2:$F$1289='2018-19_working'!M$7)*(raw!$E$2:$E$1289='2018-19_working'!$J$6)*(raw!$G$2:$G$1289))</f>
        <v>5</v>
      </c>
      <c r="N37" s="7">
        <f>SUMPRODUCT((raw!$B$2:$B$1289='2018-19_working'!$A37)*(raw!$F$2:$F$1289='2018-19_working'!N$7)*(raw!$E$2:$E$1289='2018-19_working'!$J$6)*(raw!$G$2:$G$1289))</f>
        <v>0</v>
      </c>
      <c r="O37" s="7">
        <f>SUMPRODUCT((raw!$B$2:$B$1289='2018-19_working'!$A37)*(raw!$F$2:$F$1289='2018-19_working'!O$7)*(raw!$E$2:$E$1289='2018-19_working'!$J$6)*(raw!$G$2:$G$1289))</f>
        <v>0</v>
      </c>
      <c r="P37" s="7">
        <f>SUMPRODUCT((raw!$B$2:$B$1289='2018-19_working'!$A37)*(raw!$F$2:$F$1289='2018-19_working'!P$7)*(raw!$E$2:$E$1289='2018-19_working'!$J$6)*(raw!$G$2:$G$1289))</f>
        <v>0</v>
      </c>
      <c r="R37" s="7">
        <f>SUMPRODUCT((raw!$B$2:$B$1289='2018-19_working'!$A37)*(raw!$F$2:$F$1289='2018-19_working'!R$7)*(raw!$E$2:$E$1289='2018-19_working'!$R$6)*(raw!$G$2:$G$1289))</f>
        <v>1</v>
      </c>
      <c r="S37" s="7">
        <f>SUMPRODUCT((raw!$B$2:$B$1289='2018-19_working'!$A37)*(raw!$F$2:$F$1289='2018-19_working'!S$7)*(raw!$E$2:$E$1289='2018-19_working'!$R$6)*(raw!$G$2:$G$1289))</f>
        <v>3</v>
      </c>
      <c r="T37" s="7">
        <f>SUMPRODUCT((raw!$B$2:$B$1289='2018-19_working'!$A37)*(raw!$F$2:$F$1289='2018-19_working'!T$7)*(raw!$E$2:$E$1289='2018-19_working'!$R$6)*(raw!$G$2:$G$1289))</f>
        <v>0</v>
      </c>
      <c r="U37" s="7">
        <f>SUMPRODUCT((raw!$B$2:$B$1289='2018-19_working'!$A37)*(raw!$F$2:$F$1289='2018-19_working'!U$7)*(raw!$E$2:$E$1289='2018-19_working'!$R$6)*(raw!$G$2:$G$1289))</f>
        <v>0</v>
      </c>
      <c r="V37" s="7">
        <f>SUMPRODUCT((raw!$B$2:$B$1289='2018-19_working'!$A37)*(raw!$F$2:$F$1289='2018-19_working'!V$7)*(raw!$E$2:$E$1289='2018-19_working'!$R$6)*(raw!$G$2:$G$1289))</f>
        <v>0</v>
      </c>
      <c r="W37" s="7">
        <f>SUMPRODUCT((raw!$B$2:$B$1289='2018-19_working'!$A37)*(raw!$F$2:$F$1289='2018-19_working'!W$7)*(raw!$E$2:$E$1289='2018-19_working'!$R$6)*(raw!$G$2:$G$1289))</f>
        <v>0</v>
      </c>
      <c r="X37" s="7">
        <f>SUMPRODUCT((raw!$B$2:$B$1289='2018-19_working'!$A37)*(raw!$F$2:$F$1289='2018-19_working'!X$7)*(raw!$E$2:$E$1289='2018-19_working'!$R$6)*(raw!$G$2:$G$1289))</f>
        <v>0</v>
      </c>
      <c r="Z37" s="7">
        <f>SUMPRODUCT((raw!$B$2:$B$1289='2018-19_working'!$A37)*(raw!$F$2:$F$1289='2018-19_working'!Z$7)*(raw!$E$2:$E$1289='2018-19_working'!$Z$6)*(raw!$G$2:$G$1289))</f>
        <v>0</v>
      </c>
      <c r="AA37" s="7">
        <f>SUMPRODUCT((raw!$B$2:$B$1289='2018-19_working'!$A37)*(raw!$F$2:$F$1289='2018-19_working'!AA$7)*(raw!$E$2:$E$1289='2018-19_working'!$Z$6)*(raw!$G$2:$G$1289))</f>
        <v>6</v>
      </c>
      <c r="AB37" s="7">
        <f>SUMPRODUCT((raw!$B$2:$B$1289='2018-19_working'!$A37)*(raw!$F$2:$F$1289='2018-19_working'!AB$7)*(raw!$E$2:$E$1289='2018-19_working'!$Z$6)*(raw!$G$2:$G$1289))</f>
        <v>2</v>
      </c>
      <c r="AC37" s="7">
        <f>SUMPRODUCT((raw!$B$2:$B$1289='2018-19_working'!$A37)*(raw!$F$2:$F$1289='2018-19_working'!AC$7)*(raw!$E$2:$E$1289='2018-19_working'!$Z$6)*(raw!$G$2:$G$1289))</f>
        <v>0</v>
      </c>
      <c r="AD37" s="7">
        <f>SUMPRODUCT((raw!$B$2:$B$1289='2018-19_working'!$A37)*(raw!$F$2:$F$1289='2018-19_working'!AD$7)*(raw!$E$2:$E$1289='2018-19_working'!$Z$6)*(raw!$G$2:$G$1289))</f>
        <v>0</v>
      </c>
      <c r="AE37" s="7">
        <f>SUMPRODUCT((raw!$B$2:$B$1289='2018-19_working'!$A37)*(raw!$F$2:$F$1289='2018-19_working'!AE$7)*(raw!$E$2:$E$1289='2018-19_working'!$Z$6)*(raw!$G$2:$G$1289))</f>
        <v>0</v>
      </c>
      <c r="AF37" s="7">
        <f>SUMPRODUCT((raw!$B$2:$B$1289='2018-19_working'!$A37)*(raw!$F$2:$F$1289='2018-19_working'!AF$7)*(raw!$E$2:$E$1289='2018-19_working'!$Z$6)*(raw!$G$2:$G$1289))</f>
        <v>10</v>
      </c>
    </row>
    <row r="38" spans="1:32" x14ac:dyDescent="0.35">
      <c r="A38" s="7" t="s">
        <v>43</v>
      </c>
      <c r="B38" s="7">
        <f>SUMPRODUCT((raw!$B$2:$B$1289='2018-19_working'!$A38)*(raw!$F$2:$F$1289='2018-19_working'!B$7)*(raw!$E$2:$E$1289='2018-19_working'!$B$6:$H$6)*(raw!$G$2:$G$1289))</f>
        <v>1</v>
      </c>
      <c r="C38" s="7">
        <f>SUMPRODUCT((raw!$B$2:$B$1289='2018-19_working'!$A38)*(raw!$F$2:$F$1289='2018-19_working'!C$7)*(raw!$E$2:$E$1289='2018-19_working'!$B$6:$H$6)*(raw!$G$2:$G$1289))</f>
        <v>7</v>
      </c>
      <c r="D38" s="7">
        <f>SUMPRODUCT((raw!$B$2:$B$1289='2018-19_working'!$A38)*(raw!$F$2:$F$1289='2018-19_working'!D$7)*(raw!$E$2:$E$1289='2018-19_working'!$B$6:$H$6)*(raw!$G$2:$G$1289))</f>
        <v>1</v>
      </c>
      <c r="E38" s="7">
        <f>SUMPRODUCT((raw!$B$2:$B$1289='2018-19_working'!$A38)*(raw!$F$2:$F$1289='2018-19_working'!E$7)*(raw!$E$2:$E$1289='2018-19_working'!$B$6:$H$6)*(raw!$G$2:$G$1289))</f>
        <v>0</v>
      </c>
      <c r="F38" s="7">
        <f>SUMPRODUCT((raw!$B$2:$B$1289='2018-19_working'!$A38)*(raw!$F$2:$F$1289='2018-19_working'!F$7)*(raw!$E$2:$E$1289='2018-19_working'!$B$6:$H$6)*(raw!$G$2:$G$1289))</f>
        <v>0</v>
      </c>
      <c r="G38" s="7">
        <f>SUMPRODUCT((raw!$B$2:$B$1289='2018-19_working'!$A38)*(raw!$F$2:$F$1289='2018-19_working'!G$7)*(raw!$E$2:$E$1289='2018-19_working'!$B$6:$H$6)*(raw!$G$2:$G$1289))</f>
        <v>0</v>
      </c>
      <c r="H38" s="7">
        <f>SUMPRODUCT((raw!$B$2:$B$1289='2018-19_working'!$A38)*(raw!$F$2:$F$1289='2018-19_working'!H$7)*(raw!$E$2:$E$1289='2018-19_working'!$B$6:$H$6)*(raw!$G$2:$G$1289))</f>
        <v>0</v>
      </c>
      <c r="J38" s="7">
        <f>SUMPRODUCT((raw!$B$2:$B$1289='2018-19_working'!$A38)*(raw!$F$2:$F$1289='2018-19_working'!J$7)*(raw!$E$2:$E$1289='2018-19_working'!$J$6)*(raw!$G$2:$G$1289))</f>
        <v>14</v>
      </c>
      <c r="K38" s="7">
        <f>SUMPRODUCT((raw!$B$2:$B$1289='2018-19_working'!$A38)*(raw!$F$2:$F$1289='2018-19_working'!K$7)*(raw!$E$2:$E$1289='2018-19_working'!$J$6)*(raw!$G$2:$G$1289))</f>
        <v>26</v>
      </c>
      <c r="L38" s="7">
        <f>SUMPRODUCT((raw!$B$2:$B$1289='2018-19_working'!$A38)*(raw!$F$2:$F$1289='2018-19_working'!L$7)*(raw!$E$2:$E$1289='2018-19_working'!$J$6)*(raw!$G$2:$G$1289))</f>
        <v>4</v>
      </c>
      <c r="M38" s="7">
        <f>SUMPRODUCT((raw!$B$2:$B$1289='2018-19_working'!$A38)*(raw!$F$2:$F$1289='2018-19_working'!M$7)*(raw!$E$2:$E$1289='2018-19_working'!$J$6)*(raw!$G$2:$G$1289))</f>
        <v>3</v>
      </c>
      <c r="N38" s="7">
        <f>SUMPRODUCT((raw!$B$2:$B$1289='2018-19_working'!$A38)*(raw!$F$2:$F$1289='2018-19_working'!N$7)*(raw!$E$2:$E$1289='2018-19_working'!$J$6)*(raw!$G$2:$G$1289))</f>
        <v>1</v>
      </c>
      <c r="O38" s="7">
        <f>SUMPRODUCT((raw!$B$2:$B$1289='2018-19_working'!$A38)*(raw!$F$2:$F$1289='2018-19_working'!O$7)*(raw!$E$2:$E$1289='2018-19_working'!$J$6)*(raw!$G$2:$G$1289))</f>
        <v>0</v>
      </c>
      <c r="P38" s="7">
        <f>SUMPRODUCT((raw!$B$2:$B$1289='2018-19_working'!$A38)*(raw!$F$2:$F$1289='2018-19_working'!P$7)*(raw!$E$2:$E$1289='2018-19_working'!$J$6)*(raw!$G$2:$G$1289))</f>
        <v>0</v>
      </c>
      <c r="R38" s="7">
        <f>SUMPRODUCT((raw!$B$2:$B$1289='2018-19_working'!$A38)*(raw!$F$2:$F$1289='2018-19_working'!R$7)*(raw!$E$2:$E$1289='2018-19_working'!$R$6)*(raw!$G$2:$G$1289))</f>
        <v>0</v>
      </c>
      <c r="S38" s="7">
        <f>SUMPRODUCT((raw!$B$2:$B$1289='2018-19_working'!$A38)*(raw!$F$2:$F$1289='2018-19_working'!S$7)*(raw!$E$2:$E$1289='2018-19_working'!$R$6)*(raw!$G$2:$G$1289))</f>
        <v>2</v>
      </c>
      <c r="T38" s="7">
        <f>SUMPRODUCT((raw!$B$2:$B$1289='2018-19_working'!$A38)*(raw!$F$2:$F$1289='2018-19_working'!T$7)*(raw!$E$2:$E$1289='2018-19_working'!$R$6)*(raw!$G$2:$G$1289))</f>
        <v>2</v>
      </c>
      <c r="U38" s="7">
        <f>SUMPRODUCT((raw!$B$2:$B$1289='2018-19_working'!$A38)*(raw!$F$2:$F$1289='2018-19_working'!U$7)*(raw!$E$2:$E$1289='2018-19_working'!$R$6)*(raw!$G$2:$G$1289))</f>
        <v>0</v>
      </c>
      <c r="V38" s="7">
        <f>SUMPRODUCT((raw!$B$2:$B$1289='2018-19_working'!$A38)*(raw!$F$2:$F$1289='2018-19_working'!V$7)*(raw!$E$2:$E$1289='2018-19_working'!$R$6)*(raw!$G$2:$G$1289))</f>
        <v>0</v>
      </c>
      <c r="W38" s="7">
        <f>SUMPRODUCT((raw!$B$2:$B$1289='2018-19_working'!$A38)*(raw!$F$2:$F$1289='2018-19_working'!W$7)*(raw!$E$2:$E$1289='2018-19_working'!$R$6)*(raw!$G$2:$G$1289))</f>
        <v>0</v>
      </c>
      <c r="X38" s="7">
        <f>SUMPRODUCT((raw!$B$2:$B$1289='2018-19_working'!$A38)*(raw!$F$2:$F$1289='2018-19_working'!X$7)*(raw!$E$2:$E$1289='2018-19_working'!$R$6)*(raw!$G$2:$G$1289))</f>
        <v>0</v>
      </c>
      <c r="Z38" s="7">
        <f>SUMPRODUCT((raw!$B$2:$B$1289='2018-19_working'!$A38)*(raw!$F$2:$F$1289='2018-19_working'!Z$7)*(raw!$E$2:$E$1289='2018-19_working'!$Z$6)*(raw!$G$2:$G$1289))</f>
        <v>0</v>
      </c>
      <c r="AA38" s="7">
        <f>SUMPRODUCT((raw!$B$2:$B$1289='2018-19_working'!$A38)*(raw!$F$2:$F$1289='2018-19_working'!AA$7)*(raw!$E$2:$E$1289='2018-19_working'!$Z$6)*(raw!$G$2:$G$1289))</f>
        <v>2</v>
      </c>
      <c r="AB38" s="7">
        <f>SUMPRODUCT((raw!$B$2:$B$1289='2018-19_working'!$A38)*(raw!$F$2:$F$1289='2018-19_working'!AB$7)*(raw!$E$2:$E$1289='2018-19_working'!$Z$6)*(raw!$G$2:$G$1289))</f>
        <v>3</v>
      </c>
      <c r="AC38" s="7">
        <f>SUMPRODUCT((raw!$B$2:$B$1289='2018-19_working'!$A38)*(raw!$F$2:$F$1289='2018-19_working'!AC$7)*(raw!$E$2:$E$1289='2018-19_working'!$Z$6)*(raw!$G$2:$G$1289))</f>
        <v>3</v>
      </c>
      <c r="AD38" s="7">
        <f>SUMPRODUCT((raw!$B$2:$B$1289='2018-19_working'!$A38)*(raw!$F$2:$F$1289='2018-19_working'!AD$7)*(raw!$E$2:$E$1289='2018-19_working'!$Z$6)*(raw!$G$2:$G$1289))</f>
        <v>1</v>
      </c>
      <c r="AE38" s="7">
        <f>SUMPRODUCT((raw!$B$2:$B$1289='2018-19_working'!$A38)*(raw!$F$2:$F$1289='2018-19_working'!AE$7)*(raw!$E$2:$E$1289='2018-19_working'!$Z$6)*(raw!$G$2:$G$1289))</f>
        <v>0</v>
      </c>
      <c r="AF38" s="7">
        <f>SUMPRODUCT((raw!$B$2:$B$1289='2018-19_working'!$A38)*(raw!$F$2:$F$1289='2018-19_working'!AF$7)*(raw!$E$2:$E$1289='2018-19_working'!$Z$6)*(raw!$G$2:$G$1289))</f>
        <v>0</v>
      </c>
    </row>
    <row r="39" spans="1:32" x14ac:dyDescent="0.35">
      <c r="A39" s="7" t="s">
        <v>44</v>
      </c>
      <c r="B39" s="7">
        <f>SUMPRODUCT((raw!$B$2:$B$1289='2018-19_working'!$A39)*(raw!$F$2:$F$1289='2018-19_working'!B$7)*(raw!$E$2:$E$1289='2018-19_working'!$B$6:$H$6)*(raw!$G$2:$G$1289))</f>
        <v>0</v>
      </c>
      <c r="C39" s="7">
        <f>SUMPRODUCT((raw!$B$2:$B$1289='2018-19_working'!$A39)*(raw!$F$2:$F$1289='2018-19_working'!C$7)*(raw!$E$2:$E$1289='2018-19_working'!$B$6:$H$6)*(raw!$G$2:$G$1289))</f>
        <v>3</v>
      </c>
      <c r="D39" s="7">
        <f>SUMPRODUCT((raw!$B$2:$B$1289='2018-19_working'!$A39)*(raw!$F$2:$F$1289='2018-19_working'!D$7)*(raw!$E$2:$E$1289='2018-19_working'!$B$6:$H$6)*(raw!$G$2:$G$1289))</f>
        <v>5</v>
      </c>
      <c r="E39" s="7">
        <f>SUMPRODUCT((raw!$B$2:$B$1289='2018-19_working'!$A39)*(raw!$F$2:$F$1289='2018-19_working'!E$7)*(raw!$E$2:$E$1289='2018-19_working'!$B$6:$H$6)*(raw!$G$2:$G$1289))</f>
        <v>1</v>
      </c>
      <c r="F39" s="7">
        <f>SUMPRODUCT((raw!$B$2:$B$1289='2018-19_working'!$A39)*(raw!$F$2:$F$1289='2018-19_working'!F$7)*(raw!$E$2:$E$1289='2018-19_working'!$B$6:$H$6)*(raw!$G$2:$G$1289))</f>
        <v>0</v>
      </c>
      <c r="G39" s="7">
        <f>SUMPRODUCT((raw!$B$2:$B$1289='2018-19_working'!$A39)*(raw!$F$2:$F$1289='2018-19_working'!G$7)*(raw!$E$2:$E$1289='2018-19_working'!$B$6:$H$6)*(raw!$G$2:$G$1289))</f>
        <v>0</v>
      </c>
      <c r="H39" s="7">
        <f>SUMPRODUCT((raw!$B$2:$B$1289='2018-19_working'!$A39)*(raw!$F$2:$F$1289='2018-19_working'!H$7)*(raw!$E$2:$E$1289='2018-19_working'!$B$6:$H$6)*(raw!$G$2:$G$1289))</f>
        <v>0</v>
      </c>
      <c r="J39" s="7">
        <f>SUMPRODUCT((raw!$B$2:$B$1289='2018-19_working'!$A39)*(raw!$F$2:$F$1289='2018-19_working'!J$7)*(raw!$E$2:$E$1289='2018-19_working'!$J$6)*(raw!$G$2:$G$1289))</f>
        <v>9</v>
      </c>
      <c r="K39" s="7">
        <f>SUMPRODUCT((raw!$B$2:$B$1289='2018-19_working'!$A39)*(raw!$F$2:$F$1289='2018-19_working'!K$7)*(raw!$E$2:$E$1289='2018-19_working'!$J$6)*(raw!$G$2:$G$1289))</f>
        <v>5</v>
      </c>
      <c r="L39" s="7">
        <f>SUMPRODUCT((raw!$B$2:$B$1289='2018-19_working'!$A39)*(raw!$F$2:$F$1289='2018-19_working'!L$7)*(raw!$E$2:$E$1289='2018-19_working'!$J$6)*(raw!$G$2:$G$1289))</f>
        <v>4</v>
      </c>
      <c r="M39" s="7">
        <f>SUMPRODUCT((raw!$B$2:$B$1289='2018-19_working'!$A39)*(raw!$F$2:$F$1289='2018-19_working'!M$7)*(raw!$E$2:$E$1289='2018-19_working'!$J$6)*(raw!$G$2:$G$1289))</f>
        <v>1</v>
      </c>
      <c r="N39" s="7">
        <f>SUMPRODUCT((raw!$B$2:$B$1289='2018-19_working'!$A39)*(raw!$F$2:$F$1289='2018-19_working'!N$7)*(raw!$E$2:$E$1289='2018-19_working'!$J$6)*(raw!$G$2:$G$1289))</f>
        <v>0</v>
      </c>
      <c r="O39" s="7">
        <f>SUMPRODUCT((raw!$B$2:$B$1289='2018-19_working'!$A39)*(raw!$F$2:$F$1289='2018-19_working'!O$7)*(raw!$E$2:$E$1289='2018-19_working'!$J$6)*(raw!$G$2:$G$1289))</f>
        <v>0</v>
      </c>
      <c r="P39" s="7">
        <f>SUMPRODUCT((raw!$B$2:$B$1289='2018-19_working'!$A39)*(raw!$F$2:$F$1289='2018-19_working'!P$7)*(raw!$E$2:$E$1289='2018-19_working'!$J$6)*(raw!$G$2:$G$1289))</f>
        <v>0</v>
      </c>
      <c r="R39" s="7">
        <f>SUMPRODUCT((raw!$B$2:$B$1289='2018-19_working'!$A39)*(raw!$F$2:$F$1289='2018-19_working'!R$7)*(raw!$E$2:$E$1289='2018-19_working'!$R$6)*(raw!$G$2:$G$1289))</f>
        <v>0</v>
      </c>
      <c r="S39" s="7">
        <f>SUMPRODUCT((raw!$B$2:$B$1289='2018-19_working'!$A39)*(raw!$F$2:$F$1289='2018-19_working'!S$7)*(raw!$E$2:$E$1289='2018-19_working'!$R$6)*(raw!$G$2:$G$1289))</f>
        <v>0</v>
      </c>
      <c r="T39" s="7">
        <f>SUMPRODUCT((raw!$B$2:$B$1289='2018-19_working'!$A39)*(raw!$F$2:$F$1289='2018-19_working'!T$7)*(raw!$E$2:$E$1289='2018-19_working'!$R$6)*(raw!$G$2:$G$1289))</f>
        <v>0</v>
      </c>
      <c r="U39" s="7">
        <f>SUMPRODUCT((raw!$B$2:$B$1289='2018-19_working'!$A39)*(raw!$F$2:$F$1289='2018-19_working'!U$7)*(raw!$E$2:$E$1289='2018-19_working'!$R$6)*(raw!$G$2:$G$1289))</f>
        <v>0</v>
      </c>
      <c r="V39" s="7">
        <f>SUMPRODUCT((raw!$B$2:$B$1289='2018-19_working'!$A39)*(raw!$F$2:$F$1289='2018-19_working'!V$7)*(raw!$E$2:$E$1289='2018-19_working'!$R$6)*(raw!$G$2:$G$1289))</f>
        <v>0</v>
      </c>
      <c r="W39" s="7">
        <f>SUMPRODUCT((raw!$B$2:$B$1289='2018-19_working'!$A39)*(raw!$F$2:$F$1289='2018-19_working'!W$7)*(raw!$E$2:$E$1289='2018-19_working'!$R$6)*(raw!$G$2:$G$1289))</f>
        <v>0</v>
      </c>
      <c r="X39" s="7">
        <f>SUMPRODUCT((raw!$B$2:$B$1289='2018-19_working'!$A39)*(raw!$F$2:$F$1289='2018-19_working'!X$7)*(raw!$E$2:$E$1289='2018-19_working'!$R$6)*(raw!$G$2:$G$1289))</f>
        <v>0</v>
      </c>
      <c r="Z39" s="7">
        <f>SUMPRODUCT((raw!$B$2:$B$1289='2018-19_working'!$A39)*(raw!$F$2:$F$1289='2018-19_working'!Z$7)*(raw!$E$2:$E$1289='2018-19_working'!$Z$6)*(raw!$G$2:$G$1289))</f>
        <v>1</v>
      </c>
      <c r="AA39" s="7">
        <f>SUMPRODUCT((raw!$B$2:$B$1289='2018-19_working'!$A39)*(raw!$F$2:$F$1289='2018-19_working'!AA$7)*(raw!$E$2:$E$1289='2018-19_working'!$Z$6)*(raw!$G$2:$G$1289))</f>
        <v>0</v>
      </c>
      <c r="AB39" s="7">
        <f>SUMPRODUCT((raw!$B$2:$B$1289='2018-19_working'!$A39)*(raw!$F$2:$F$1289='2018-19_working'!AB$7)*(raw!$E$2:$E$1289='2018-19_working'!$Z$6)*(raw!$G$2:$G$1289))</f>
        <v>0</v>
      </c>
      <c r="AC39" s="7">
        <f>SUMPRODUCT((raw!$B$2:$B$1289='2018-19_working'!$A39)*(raw!$F$2:$F$1289='2018-19_working'!AC$7)*(raw!$E$2:$E$1289='2018-19_working'!$Z$6)*(raw!$G$2:$G$1289))</f>
        <v>0</v>
      </c>
      <c r="AD39" s="7">
        <f>SUMPRODUCT((raw!$B$2:$B$1289='2018-19_working'!$A39)*(raw!$F$2:$F$1289='2018-19_working'!AD$7)*(raw!$E$2:$E$1289='2018-19_working'!$Z$6)*(raw!$G$2:$G$1289))</f>
        <v>0</v>
      </c>
      <c r="AE39" s="7">
        <f>SUMPRODUCT((raw!$B$2:$B$1289='2018-19_working'!$A39)*(raw!$F$2:$F$1289='2018-19_working'!AE$7)*(raw!$E$2:$E$1289='2018-19_working'!$Z$6)*(raw!$G$2:$G$1289))</f>
        <v>0</v>
      </c>
      <c r="AF39" s="7">
        <f>SUMPRODUCT((raw!$B$2:$B$1289='2018-19_working'!$A39)*(raw!$F$2:$F$1289='2018-19_working'!AF$7)*(raw!$E$2:$E$1289='2018-19_working'!$Z$6)*(raw!$G$2:$G$1289))</f>
        <v>0</v>
      </c>
    </row>
    <row r="40" spans="1:32" x14ac:dyDescent="0.35">
      <c r="A40" s="7" t="s">
        <v>45</v>
      </c>
      <c r="B40" s="7">
        <f>SUMPRODUCT((raw!$B$2:$B$1289='2018-19_working'!$A40)*(raw!$F$2:$F$1289='2018-19_working'!B$7)*(raw!$E$2:$E$1289='2018-19_working'!$B$6:$H$6)*(raw!$G$2:$G$1289))</f>
        <v>1</v>
      </c>
      <c r="C40" s="7">
        <f>SUMPRODUCT((raw!$B$2:$B$1289='2018-19_working'!$A40)*(raw!$F$2:$F$1289='2018-19_working'!C$7)*(raw!$E$2:$E$1289='2018-19_working'!$B$6:$H$6)*(raw!$G$2:$G$1289))</f>
        <v>20</v>
      </c>
      <c r="D40" s="7">
        <f>SUMPRODUCT((raw!$B$2:$B$1289='2018-19_working'!$A40)*(raw!$F$2:$F$1289='2018-19_working'!D$7)*(raw!$E$2:$E$1289='2018-19_working'!$B$6:$H$6)*(raw!$G$2:$G$1289))</f>
        <v>9</v>
      </c>
      <c r="E40" s="7">
        <f>SUMPRODUCT((raw!$B$2:$B$1289='2018-19_working'!$A40)*(raw!$F$2:$F$1289='2018-19_working'!E$7)*(raw!$E$2:$E$1289='2018-19_working'!$B$6:$H$6)*(raw!$G$2:$G$1289))</f>
        <v>0</v>
      </c>
      <c r="F40" s="7">
        <f>SUMPRODUCT((raw!$B$2:$B$1289='2018-19_working'!$A40)*(raw!$F$2:$F$1289='2018-19_working'!F$7)*(raw!$E$2:$E$1289='2018-19_working'!$B$6:$H$6)*(raw!$G$2:$G$1289))</f>
        <v>0</v>
      </c>
      <c r="G40" s="7">
        <f>SUMPRODUCT((raw!$B$2:$B$1289='2018-19_working'!$A40)*(raw!$F$2:$F$1289='2018-19_working'!G$7)*(raw!$E$2:$E$1289='2018-19_working'!$B$6:$H$6)*(raw!$G$2:$G$1289))</f>
        <v>0</v>
      </c>
      <c r="H40" s="7">
        <f>SUMPRODUCT((raw!$B$2:$B$1289='2018-19_working'!$A40)*(raw!$F$2:$F$1289='2018-19_working'!H$7)*(raw!$E$2:$E$1289='2018-19_working'!$B$6:$H$6)*(raw!$G$2:$G$1289))</f>
        <v>0</v>
      </c>
      <c r="J40" s="7">
        <f>SUMPRODUCT((raw!$B$2:$B$1289='2018-19_working'!$A40)*(raw!$F$2:$F$1289='2018-19_working'!J$7)*(raw!$E$2:$E$1289='2018-19_working'!$J$6)*(raw!$G$2:$G$1289))</f>
        <v>8</v>
      </c>
      <c r="K40" s="7">
        <f>SUMPRODUCT((raw!$B$2:$B$1289='2018-19_working'!$A40)*(raw!$F$2:$F$1289='2018-19_working'!K$7)*(raw!$E$2:$E$1289='2018-19_working'!$J$6)*(raw!$G$2:$G$1289))</f>
        <v>8</v>
      </c>
      <c r="L40" s="7">
        <f>SUMPRODUCT((raw!$B$2:$B$1289='2018-19_working'!$A40)*(raw!$F$2:$F$1289='2018-19_working'!L$7)*(raw!$E$2:$E$1289='2018-19_working'!$J$6)*(raw!$G$2:$G$1289))</f>
        <v>6</v>
      </c>
      <c r="M40" s="7">
        <f>SUMPRODUCT((raw!$B$2:$B$1289='2018-19_working'!$A40)*(raw!$F$2:$F$1289='2018-19_working'!M$7)*(raw!$E$2:$E$1289='2018-19_working'!$J$6)*(raw!$G$2:$G$1289))</f>
        <v>3</v>
      </c>
      <c r="N40" s="7">
        <f>SUMPRODUCT((raw!$B$2:$B$1289='2018-19_working'!$A40)*(raw!$F$2:$F$1289='2018-19_working'!N$7)*(raw!$E$2:$E$1289='2018-19_working'!$J$6)*(raw!$G$2:$G$1289))</f>
        <v>0</v>
      </c>
      <c r="O40" s="7">
        <f>SUMPRODUCT((raw!$B$2:$B$1289='2018-19_working'!$A40)*(raw!$F$2:$F$1289='2018-19_working'!O$7)*(raw!$E$2:$E$1289='2018-19_working'!$J$6)*(raw!$G$2:$G$1289))</f>
        <v>0</v>
      </c>
      <c r="P40" s="7">
        <f>SUMPRODUCT((raw!$B$2:$B$1289='2018-19_working'!$A40)*(raw!$F$2:$F$1289='2018-19_working'!P$7)*(raw!$E$2:$E$1289='2018-19_working'!$J$6)*(raw!$G$2:$G$1289))</f>
        <v>0</v>
      </c>
      <c r="R40" s="7">
        <f>SUMPRODUCT((raw!$B$2:$B$1289='2018-19_working'!$A40)*(raw!$F$2:$F$1289='2018-19_working'!R$7)*(raw!$E$2:$E$1289='2018-19_working'!$R$6)*(raw!$G$2:$G$1289))</f>
        <v>0</v>
      </c>
      <c r="S40" s="7">
        <f>SUMPRODUCT((raw!$B$2:$B$1289='2018-19_working'!$A40)*(raw!$F$2:$F$1289='2018-19_working'!S$7)*(raw!$E$2:$E$1289='2018-19_working'!$R$6)*(raw!$G$2:$G$1289))</f>
        <v>0</v>
      </c>
      <c r="T40" s="7">
        <f>SUMPRODUCT((raw!$B$2:$B$1289='2018-19_working'!$A40)*(raw!$F$2:$F$1289='2018-19_working'!T$7)*(raw!$E$2:$E$1289='2018-19_working'!$R$6)*(raw!$G$2:$G$1289))</f>
        <v>0</v>
      </c>
      <c r="U40" s="7">
        <f>SUMPRODUCT((raw!$B$2:$B$1289='2018-19_working'!$A40)*(raw!$F$2:$F$1289='2018-19_working'!U$7)*(raw!$E$2:$E$1289='2018-19_working'!$R$6)*(raw!$G$2:$G$1289))</f>
        <v>0</v>
      </c>
      <c r="V40" s="7">
        <f>SUMPRODUCT((raw!$B$2:$B$1289='2018-19_working'!$A40)*(raw!$F$2:$F$1289='2018-19_working'!V$7)*(raw!$E$2:$E$1289='2018-19_working'!$R$6)*(raw!$G$2:$G$1289))</f>
        <v>0</v>
      </c>
      <c r="W40" s="7">
        <f>SUMPRODUCT((raw!$B$2:$B$1289='2018-19_working'!$A40)*(raw!$F$2:$F$1289='2018-19_working'!W$7)*(raw!$E$2:$E$1289='2018-19_working'!$R$6)*(raw!$G$2:$G$1289))</f>
        <v>0</v>
      </c>
      <c r="X40" s="7">
        <f>SUMPRODUCT((raw!$B$2:$B$1289='2018-19_working'!$A40)*(raw!$F$2:$F$1289='2018-19_working'!X$7)*(raw!$E$2:$E$1289='2018-19_working'!$R$6)*(raw!$G$2:$G$1289))</f>
        <v>0</v>
      </c>
      <c r="Z40" s="7">
        <f>SUMPRODUCT((raw!$B$2:$B$1289='2018-19_working'!$A40)*(raw!$F$2:$F$1289='2018-19_working'!Z$7)*(raw!$E$2:$E$1289='2018-19_working'!$Z$6)*(raw!$G$2:$G$1289))</f>
        <v>1</v>
      </c>
      <c r="AA40" s="7">
        <f>SUMPRODUCT((raw!$B$2:$B$1289='2018-19_working'!$A40)*(raw!$F$2:$F$1289='2018-19_working'!AA$7)*(raw!$E$2:$E$1289='2018-19_working'!$Z$6)*(raw!$G$2:$G$1289))</f>
        <v>3</v>
      </c>
      <c r="AB40" s="7">
        <f>SUMPRODUCT((raw!$B$2:$B$1289='2018-19_working'!$A40)*(raw!$F$2:$F$1289='2018-19_working'!AB$7)*(raw!$E$2:$E$1289='2018-19_working'!$Z$6)*(raw!$G$2:$G$1289))</f>
        <v>1</v>
      </c>
      <c r="AC40" s="7">
        <f>SUMPRODUCT((raw!$B$2:$B$1289='2018-19_working'!$A40)*(raw!$F$2:$F$1289='2018-19_working'!AC$7)*(raw!$E$2:$E$1289='2018-19_working'!$Z$6)*(raw!$G$2:$G$1289))</f>
        <v>3</v>
      </c>
      <c r="AD40" s="7">
        <f>SUMPRODUCT((raw!$B$2:$B$1289='2018-19_working'!$A40)*(raw!$F$2:$F$1289='2018-19_working'!AD$7)*(raw!$E$2:$E$1289='2018-19_working'!$Z$6)*(raw!$G$2:$G$1289))</f>
        <v>1</v>
      </c>
      <c r="AE40" s="7">
        <f>SUMPRODUCT((raw!$B$2:$B$1289='2018-19_working'!$A40)*(raw!$F$2:$F$1289='2018-19_working'!AE$7)*(raw!$E$2:$E$1289='2018-19_working'!$Z$6)*(raw!$G$2:$G$1289))</f>
        <v>0</v>
      </c>
      <c r="AF40" s="7">
        <f>SUMPRODUCT((raw!$B$2:$B$1289='2018-19_working'!$A40)*(raw!$F$2:$F$1289='2018-19_working'!AF$7)*(raw!$E$2:$E$1289='2018-19_working'!$Z$6)*(raw!$G$2:$G$1289))</f>
        <v>0</v>
      </c>
    </row>
    <row r="41" spans="1:32" x14ac:dyDescent="0.35">
      <c r="A41" s="7" t="s">
        <v>46</v>
      </c>
      <c r="B41" s="7">
        <f>SUMPRODUCT((raw!$B$2:$B$1289='2018-19_working'!$A41)*(raw!$F$2:$F$1289='2018-19_working'!B$7)*(raw!$E$2:$E$1289='2018-19_working'!$B$6:$H$6)*(raw!$G$2:$G$1289))</f>
        <v>0</v>
      </c>
      <c r="C41" s="7">
        <f>SUMPRODUCT((raw!$B$2:$B$1289='2018-19_working'!$A41)*(raw!$F$2:$F$1289='2018-19_working'!C$7)*(raw!$E$2:$E$1289='2018-19_working'!$B$6:$H$6)*(raw!$G$2:$G$1289))</f>
        <v>6</v>
      </c>
      <c r="D41" s="7">
        <f>SUMPRODUCT((raw!$B$2:$B$1289='2018-19_working'!$A41)*(raw!$F$2:$F$1289='2018-19_working'!D$7)*(raw!$E$2:$E$1289='2018-19_working'!$B$6:$H$6)*(raw!$G$2:$G$1289))</f>
        <v>2</v>
      </c>
      <c r="E41" s="7">
        <f>SUMPRODUCT((raw!$B$2:$B$1289='2018-19_working'!$A41)*(raw!$F$2:$F$1289='2018-19_working'!E$7)*(raw!$E$2:$E$1289='2018-19_working'!$B$6:$H$6)*(raw!$G$2:$G$1289))</f>
        <v>0</v>
      </c>
      <c r="F41" s="7">
        <f>SUMPRODUCT((raw!$B$2:$B$1289='2018-19_working'!$A41)*(raw!$F$2:$F$1289='2018-19_working'!F$7)*(raw!$E$2:$E$1289='2018-19_working'!$B$6:$H$6)*(raw!$G$2:$G$1289))</f>
        <v>0</v>
      </c>
      <c r="G41" s="7">
        <f>SUMPRODUCT((raw!$B$2:$B$1289='2018-19_working'!$A41)*(raw!$F$2:$F$1289='2018-19_working'!G$7)*(raw!$E$2:$E$1289='2018-19_working'!$B$6:$H$6)*(raw!$G$2:$G$1289))</f>
        <v>0</v>
      </c>
      <c r="H41" s="7">
        <f>SUMPRODUCT((raw!$B$2:$B$1289='2018-19_working'!$A41)*(raw!$F$2:$F$1289='2018-19_working'!H$7)*(raw!$E$2:$E$1289='2018-19_working'!$B$6:$H$6)*(raw!$G$2:$G$1289))</f>
        <v>0</v>
      </c>
      <c r="J41" s="7">
        <f>SUMPRODUCT((raw!$B$2:$B$1289='2018-19_working'!$A41)*(raw!$F$2:$F$1289='2018-19_working'!J$7)*(raw!$E$2:$E$1289='2018-19_working'!$J$6)*(raw!$G$2:$G$1289))</f>
        <v>8</v>
      </c>
      <c r="K41" s="7">
        <f>SUMPRODUCT((raw!$B$2:$B$1289='2018-19_working'!$A41)*(raw!$F$2:$F$1289='2018-19_working'!K$7)*(raw!$E$2:$E$1289='2018-19_working'!$J$6)*(raw!$G$2:$G$1289))</f>
        <v>29</v>
      </c>
      <c r="L41" s="7">
        <f>SUMPRODUCT((raw!$B$2:$B$1289='2018-19_working'!$A41)*(raw!$F$2:$F$1289='2018-19_working'!L$7)*(raw!$E$2:$E$1289='2018-19_working'!$J$6)*(raw!$G$2:$G$1289))</f>
        <v>12</v>
      </c>
      <c r="M41" s="7">
        <f>SUMPRODUCT((raw!$B$2:$B$1289='2018-19_working'!$A41)*(raw!$F$2:$F$1289='2018-19_working'!M$7)*(raw!$E$2:$E$1289='2018-19_working'!$J$6)*(raw!$G$2:$G$1289))</f>
        <v>6</v>
      </c>
      <c r="N41" s="7">
        <f>SUMPRODUCT((raw!$B$2:$B$1289='2018-19_working'!$A41)*(raw!$F$2:$F$1289='2018-19_working'!N$7)*(raw!$E$2:$E$1289='2018-19_working'!$J$6)*(raw!$G$2:$G$1289))</f>
        <v>1</v>
      </c>
      <c r="O41" s="7">
        <f>SUMPRODUCT((raw!$B$2:$B$1289='2018-19_working'!$A41)*(raw!$F$2:$F$1289='2018-19_working'!O$7)*(raw!$E$2:$E$1289='2018-19_working'!$J$6)*(raw!$G$2:$G$1289))</f>
        <v>0</v>
      </c>
      <c r="P41" s="7">
        <f>SUMPRODUCT((raw!$B$2:$B$1289='2018-19_working'!$A41)*(raw!$F$2:$F$1289='2018-19_working'!P$7)*(raw!$E$2:$E$1289='2018-19_working'!$J$6)*(raw!$G$2:$G$1289))</f>
        <v>0</v>
      </c>
      <c r="R41" s="7">
        <f>SUMPRODUCT((raw!$B$2:$B$1289='2018-19_working'!$A41)*(raw!$F$2:$F$1289='2018-19_working'!R$7)*(raw!$E$2:$E$1289='2018-19_working'!$R$6)*(raw!$G$2:$G$1289))</f>
        <v>0</v>
      </c>
      <c r="S41" s="7">
        <f>SUMPRODUCT((raw!$B$2:$B$1289='2018-19_working'!$A41)*(raw!$F$2:$F$1289='2018-19_working'!S$7)*(raw!$E$2:$E$1289='2018-19_working'!$R$6)*(raw!$G$2:$G$1289))</f>
        <v>0</v>
      </c>
      <c r="T41" s="7">
        <f>SUMPRODUCT((raw!$B$2:$B$1289='2018-19_working'!$A41)*(raw!$F$2:$F$1289='2018-19_working'!T$7)*(raw!$E$2:$E$1289='2018-19_working'!$R$6)*(raw!$G$2:$G$1289))</f>
        <v>0</v>
      </c>
      <c r="U41" s="7">
        <f>SUMPRODUCT((raw!$B$2:$B$1289='2018-19_working'!$A41)*(raw!$F$2:$F$1289='2018-19_working'!U$7)*(raw!$E$2:$E$1289='2018-19_working'!$R$6)*(raw!$G$2:$G$1289))</f>
        <v>0</v>
      </c>
      <c r="V41" s="7">
        <f>SUMPRODUCT((raw!$B$2:$B$1289='2018-19_working'!$A41)*(raw!$F$2:$F$1289='2018-19_working'!V$7)*(raw!$E$2:$E$1289='2018-19_working'!$R$6)*(raw!$G$2:$G$1289))</f>
        <v>0</v>
      </c>
      <c r="W41" s="7">
        <f>SUMPRODUCT((raw!$B$2:$B$1289='2018-19_working'!$A41)*(raw!$F$2:$F$1289='2018-19_working'!W$7)*(raw!$E$2:$E$1289='2018-19_working'!$R$6)*(raw!$G$2:$G$1289))</f>
        <v>0</v>
      </c>
      <c r="X41" s="7">
        <f>SUMPRODUCT((raw!$B$2:$B$1289='2018-19_working'!$A41)*(raw!$F$2:$F$1289='2018-19_working'!X$7)*(raw!$E$2:$E$1289='2018-19_working'!$R$6)*(raw!$G$2:$G$1289))</f>
        <v>0</v>
      </c>
      <c r="Z41" s="7">
        <f>SUMPRODUCT((raw!$B$2:$B$1289='2018-19_working'!$A41)*(raw!$F$2:$F$1289='2018-19_working'!Z$7)*(raw!$E$2:$E$1289='2018-19_working'!$Z$6)*(raw!$G$2:$G$1289))</f>
        <v>0</v>
      </c>
      <c r="AA41" s="7">
        <f>SUMPRODUCT((raw!$B$2:$B$1289='2018-19_working'!$A41)*(raw!$F$2:$F$1289='2018-19_working'!AA$7)*(raw!$E$2:$E$1289='2018-19_working'!$Z$6)*(raw!$G$2:$G$1289))</f>
        <v>3</v>
      </c>
      <c r="AB41" s="7">
        <f>SUMPRODUCT((raw!$B$2:$B$1289='2018-19_working'!$A41)*(raw!$F$2:$F$1289='2018-19_working'!AB$7)*(raw!$E$2:$E$1289='2018-19_working'!$Z$6)*(raw!$G$2:$G$1289))</f>
        <v>2</v>
      </c>
      <c r="AC41" s="7">
        <f>SUMPRODUCT((raw!$B$2:$B$1289='2018-19_working'!$A41)*(raw!$F$2:$F$1289='2018-19_working'!AC$7)*(raw!$E$2:$E$1289='2018-19_working'!$Z$6)*(raw!$G$2:$G$1289))</f>
        <v>2</v>
      </c>
      <c r="AD41" s="7">
        <f>SUMPRODUCT((raw!$B$2:$B$1289='2018-19_working'!$A41)*(raw!$F$2:$F$1289='2018-19_working'!AD$7)*(raw!$E$2:$E$1289='2018-19_working'!$Z$6)*(raw!$G$2:$G$1289))</f>
        <v>2</v>
      </c>
      <c r="AE41" s="7">
        <f>SUMPRODUCT((raw!$B$2:$B$1289='2018-19_working'!$A41)*(raw!$F$2:$F$1289='2018-19_working'!AE$7)*(raw!$E$2:$E$1289='2018-19_working'!$Z$6)*(raw!$G$2:$G$1289))</f>
        <v>0</v>
      </c>
      <c r="AF41" s="7">
        <f>SUMPRODUCT((raw!$B$2:$B$1289='2018-19_working'!$A41)*(raw!$F$2:$F$1289='2018-19_working'!AF$7)*(raw!$E$2:$E$1289='2018-19_working'!$Z$6)*(raw!$G$2:$G$1289))</f>
        <v>0</v>
      </c>
    </row>
    <row r="42" spans="1:32" x14ac:dyDescent="0.35">
      <c r="A42" s="7" t="s">
        <v>47</v>
      </c>
      <c r="B42" s="7">
        <f>SUMPRODUCT((raw!$B$2:$B$1289='2018-19_working'!$A42)*(raw!$F$2:$F$1289='2018-19_working'!B$7)*(raw!$E$2:$E$1289='2018-19_working'!$B$6:$H$6)*(raw!$G$2:$G$1289))</f>
        <v>2</v>
      </c>
      <c r="C42" s="7">
        <f>SUMPRODUCT((raw!$B$2:$B$1289='2018-19_working'!$A42)*(raw!$F$2:$F$1289='2018-19_working'!C$7)*(raw!$E$2:$E$1289='2018-19_working'!$B$6:$H$6)*(raw!$G$2:$G$1289))</f>
        <v>5</v>
      </c>
      <c r="D42" s="7">
        <f>SUMPRODUCT((raw!$B$2:$B$1289='2018-19_working'!$A42)*(raw!$F$2:$F$1289='2018-19_working'!D$7)*(raw!$E$2:$E$1289='2018-19_working'!$B$6:$H$6)*(raw!$G$2:$G$1289))</f>
        <v>5</v>
      </c>
      <c r="E42" s="7">
        <f>SUMPRODUCT((raw!$B$2:$B$1289='2018-19_working'!$A42)*(raw!$F$2:$F$1289='2018-19_working'!E$7)*(raw!$E$2:$E$1289='2018-19_working'!$B$6:$H$6)*(raw!$G$2:$G$1289))</f>
        <v>0</v>
      </c>
      <c r="F42" s="7">
        <f>SUMPRODUCT((raw!$B$2:$B$1289='2018-19_working'!$A42)*(raw!$F$2:$F$1289='2018-19_working'!F$7)*(raw!$E$2:$E$1289='2018-19_working'!$B$6:$H$6)*(raw!$G$2:$G$1289))</f>
        <v>0</v>
      </c>
      <c r="G42" s="7">
        <f>SUMPRODUCT((raw!$B$2:$B$1289='2018-19_working'!$A42)*(raw!$F$2:$F$1289='2018-19_working'!G$7)*(raw!$E$2:$E$1289='2018-19_working'!$B$6:$H$6)*(raw!$G$2:$G$1289))</f>
        <v>0</v>
      </c>
      <c r="H42" s="7">
        <f>SUMPRODUCT((raw!$B$2:$B$1289='2018-19_working'!$A42)*(raw!$F$2:$F$1289='2018-19_working'!H$7)*(raw!$E$2:$E$1289='2018-19_working'!$B$6:$H$6)*(raw!$G$2:$G$1289))</f>
        <v>0</v>
      </c>
      <c r="J42" s="7">
        <f>SUMPRODUCT((raw!$B$2:$B$1289='2018-19_working'!$A42)*(raw!$F$2:$F$1289='2018-19_working'!J$7)*(raw!$E$2:$E$1289='2018-19_working'!$J$6)*(raw!$G$2:$G$1289))</f>
        <v>8</v>
      </c>
      <c r="K42" s="7">
        <f>SUMPRODUCT((raw!$B$2:$B$1289='2018-19_working'!$A42)*(raw!$F$2:$F$1289='2018-19_working'!K$7)*(raw!$E$2:$E$1289='2018-19_working'!$J$6)*(raw!$G$2:$G$1289))</f>
        <v>13</v>
      </c>
      <c r="L42" s="7">
        <f>SUMPRODUCT((raw!$B$2:$B$1289='2018-19_working'!$A42)*(raw!$F$2:$F$1289='2018-19_working'!L$7)*(raw!$E$2:$E$1289='2018-19_working'!$J$6)*(raw!$G$2:$G$1289))</f>
        <v>6</v>
      </c>
      <c r="M42" s="7">
        <f>SUMPRODUCT((raw!$B$2:$B$1289='2018-19_working'!$A42)*(raw!$F$2:$F$1289='2018-19_working'!M$7)*(raw!$E$2:$E$1289='2018-19_working'!$J$6)*(raw!$G$2:$G$1289))</f>
        <v>1</v>
      </c>
      <c r="N42" s="7">
        <f>SUMPRODUCT((raw!$B$2:$B$1289='2018-19_working'!$A42)*(raw!$F$2:$F$1289='2018-19_working'!N$7)*(raw!$E$2:$E$1289='2018-19_working'!$J$6)*(raw!$G$2:$G$1289))</f>
        <v>0</v>
      </c>
      <c r="O42" s="7">
        <f>SUMPRODUCT((raw!$B$2:$B$1289='2018-19_working'!$A42)*(raw!$F$2:$F$1289='2018-19_working'!O$7)*(raw!$E$2:$E$1289='2018-19_working'!$J$6)*(raw!$G$2:$G$1289))</f>
        <v>0</v>
      </c>
      <c r="P42" s="7">
        <f>SUMPRODUCT((raw!$B$2:$B$1289='2018-19_working'!$A42)*(raw!$F$2:$F$1289='2018-19_working'!P$7)*(raw!$E$2:$E$1289='2018-19_working'!$J$6)*(raw!$G$2:$G$1289))</f>
        <v>0</v>
      </c>
      <c r="R42" s="7">
        <f>SUMPRODUCT((raw!$B$2:$B$1289='2018-19_working'!$A42)*(raw!$F$2:$F$1289='2018-19_working'!R$7)*(raw!$E$2:$E$1289='2018-19_working'!$R$6)*(raw!$G$2:$G$1289))</f>
        <v>0</v>
      </c>
      <c r="S42" s="7">
        <f>SUMPRODUCT((raw!$B$2:$B$1289='2018-19_working'!$A42)*(raw!$F$2:$F$1289='2018-19_working'!S$7)*(raw!$E$2:$E$1289='2018-19_working'!$R$6)*(raw!$G$2:$G$1289))</f>
        <v>2</v>
      </c>
      <c r="T42" s="7">
        <f>SUMPRODUCT((raw!$B$2:$B$1289='2018-19_working'!$A42)*(raw!$F$2:$F$1289='2018-19_working'!T$7)*(raw!$E$2:$E$1289='2018-19_working'!$R$6)*(raw!$G$2:$G$1289))</f>
        <v>0</v>
      </c>
      <c r="U42" s="7">
        <f>SUMPRODUCT((raw!$B$2:$B$1289='2018-19_working'!$A42)*(raw!$F$2:$F$1289='2018-19_working'!U$7)*(raw!$E$2:$E$1289='2018-19_working'!$R$6)*(raw!$G$2:$G$1289))</f>
        <v>0</v>
      </c>
      <c r="V42" s="7">
        <f>SUMPRODUCT((raw!$B$2:$B$1289='2018-19_working'!$A42)*(raw!$F$2:$F$1289='2018-19_working'!V$7)*(raw!$E$2:$E$1289='2018-19_working'!$R$6)*(raw!$G$2:$G$1289))</f>
        <v>0</v>
      </c>
      <c r="W42" s="7">
        <f>SUMPRODUCT((raw!$B$2:$B$1289='2018-19_working'!$A42)*(raw!$F$2:$F$1289='2018-19_working'!W$7)*(raw!$E$2:$E$1289='2018-19_working'!$R$6)*(raw!$G$2:$G$1289))</f>
        <v>0</v>
      </c>
      <c r="X42" s="7">
        <f>SUMPRODUCT((raw!$B$2:$B$1289='2018-19_working'!$A42)*(raw!$F$2:$F$1289='2018-19_working'!X$7)*(raw!$E$2:$E$1289='2018-19_working'!$R$6)*(raw!$G$2:$G$1289))</f>
        <v>0</v>
      </c>
      <c r="Z42" s="7">
        <f>SUMPRODUCT((raw!$B$2:$B$1289='2018-19_working'!$A42)*(raw!$F$2:$F$1289='2018-19_working'!Z$7)*(raw!$E$2:$E$1289='2018-19_working'!$Z$6)*(raw!$G$2:$G$1289))</f>
        <v>2</v>
      </c>
      <c r="AA42" s="7">
        <f>SUMPRODUCT((raw!$B$2:$B$1289='2018-19_working'!$A42)*(raw!$F$2:$F$1289='2018-19_working'!AA$7)*(raw!$E$2:$E$1289='2018-19_working'!$Z$6)*(raw!$G$2:$G$1289))</f>
        <v>0</v>
      </c>
      <c r="AB42" s="7">
        <f>SUMPRODUCT((raw!$B$2:$B$1289='2018-19_working'!$A42)*(raw!$F$2:$F$1289='2018-19_working'!AB$7)*(raw!$E$2:$E$1289='2018-19_working'!$Z$6)*(raw!$G$2:$G$1289))</f>
        <v>2</v>
      </c>
      <c r="AC42" s="7">
        <f>SUMPRODUCT((raw!$B$2:$B$1289='2018-19_working'!$A42)*(raw!$F$2:$F$1289='2018-19_working'!AC$7)*(raw!$E$2:$E$1289='2018-19_working'!$Z$6)*(raw!$G$2:$G$1289))</f>
        <v>3</v>
      </c>
      <c r="AD42" s="7">
        <f>SUMPRODUCT((raw!$B$2:$B$1289='2018-19_working'!$A42)*(raw!$F$2:$F$1289='2018-19_working'!AD$7)*(raw!$E$2:$E$1289='2018-19_working'!$Z$6)*(raw!$G$2:$G$1289))</f>
        <v>1</v>
      </c>
      <c r="AE42" s="7">
        <f>SUMPRODUCT((raw!$B$2:$B$1289='2018-19_working'!$A42)*(raw!$F$2:$F$1289='2018-19_working'!AE$7)*(raw!$E$2:$E$1289='2018-19_working'!$Z$6)*(raw!$G$2:$G$1289))</f>
        <v>0</v>
      </c>
      <c r="AF42" s="7">
        <f>SUMPRODUCT((raw!$B$2:$B$1289='2018-19_working'!$A42)*(raw!$F$2:$F$1289='2018-19_working'!AF$7)*(raw!$E$2:$E$1289='2018-19_working'!$Z$6)*(raw!$G$2:$G$1289))</f>
        <v>0</v>
      </c>
    </row>
    <row r="43" spans="1:32" x14ac:dyDescent="0.35">
      <c r="A43" s="7" t="s">
        <v>48</v>
      </c>
      <c r="B43" s="7">
        <f>SUMPRODUCT((raw!$B$2:$B$1289='2018-19_working'!$A43)*(raw!$F$2:$F$1289='2018-19_working'!B$7)*(raw!$E$2:$E$1289='2018-19_working'!$B$6:$H$6)*(raw!$G$2:$G$1289))</f>
        <v>1</v>
      </c>
      <c r="C43" s="7">
        <f>SUMPRODUCT((raw!$B$2:$B$1289='2018-19_working'!$A43)*(raw!$F$2:$F$1289='2018-19_working'!C$7)*(raw!$E$2:$E$1289='2018-19_working'!$B$6:$H$6)*(raw!$G$2:$G$1289))</f>
        <v>7</v>
      </c>
      <c r="D43" s="7">
        <f>SUMPRODUCT((raw!$B$2:$B$1289='2018-19_working'!$A43)*(raw!$F$2:$F$1289='2018-19_working'!D$7)*(raw!$E$2:$E$1289='2018-19_working'!$B$6:$H$6)*(raw!$G$2:$G$1289))</f>
        <v>5</v>
      </c>
      <c r="E43" s="7">
        <f>SUMPRODUCT((raw!$B$2:$B$1289='2018-19_working'!$A43)*(raw!$F$2:$F$1289='2018-19_working'!E$7)*(raw!$E$2:$E$1289='2018-19_working'!$B$6:$H$6)*(raw!$G$2:$G$1289))</f>
        <v>0</v>
      </c>
      <c r="F43" s="7">
        <f>SUMPRODUCT((raw!$B$2:$B$1289='2018-19_working'!$A43)*(raw!$F$2:$F$1289='2018-19_working'!F$7)*(raw!$E$2:$E$1289='2018-19_working'!$B$6:$H$6)*(raw!$G$2:$G$1289))</f>
        <v>0</v>
      </c>
      <c r="G43" s="7">
        <f>SUMPRODUCT((raw!$B$2:$B$1289='2018-19_working'!$A43)*(raw!$F$2:$F$1289='2018-19_working'!G$7)*(raw!$E$2:$E$1289='2018-19_working'!$B$6:$H$6)*(raw!$G$2:$G$1289))</f>
        <v>0</v>
      </c>
      <c r="H43" s="7">
        <f>SUMPRODUCT((raw!$B$2:$B$1289='2018-19_working'!$A43)*(raw!$F$2:$F$1289='2018-19_working'!H$7)*(raw!$E$2:$E$1289='2018-19_working'!$B$6:$H$6)*(raw!$G$2:$G$1289))</f>
        <v>0</v>
      </c>
      <c r="J43" s="7">
        <f>SUMPRODUCT((raw!$B$2:$B$1289='2018-19_working'!$A43)*(raw!$F$2:$F$1289='2018-19_working'!J$7)*(raw!$E$2:$E$1289='2018-19_working'!$J$6)*(raw!$G$2:$G$1289))</f>
        <v>12</v>
      </c>
      <c r="K43" s="7">
        <f>SUMPRODUCT((raw!$B$2:$B$1289='2018-19_working'!$A43)*(raw!$F$2:$F$1289='2018-19_working'!K$7)*(raw!$E$2:$E$1289='2018-19_working'!$J$6)*(raw!$G$2:$G$1289))</f>
        <v>17</v>
      </c>
      <c r="L43" s="7">
        <f>SUMPRODUCT((raw!$B$2:$B$1289='2018-19_working'!$A43)*(raw!$F$2:$F$1289='2018-19_working'!L$7)*(raw!$E$2:$E$1289='2018-19_working'!$J$6)*(raw!$G$2:$G$1289))</f>
        <v>11</v>
      </c>
      <c r="M43" s="7">
        <f>SUMPRODUCT((raw!$B$2:$B$1289='2018-19_working'!$A43)*(raw!$F$2:$F$1289='2018-19_working'!M$7)*(raw!$E$2:$E$1289='2018-19_working'!$J$6)*(raw!$G$2:$G$1289))</f>
        <v>3</v>
      </c>
      <c r="N43" s="7">
        <f>SUMPRODUCT((raw!$B$2:$B$1289='2018-19_working'!$A43)*(raw!$F$2:$F$1289='2018-19_working'!N$7)*(raw!$E$2:$E$1289='2018-19_working'!$J$6)*(raw!$G$2:$G$1289))</f>
        <v>1</v>
      </c>
      <c r="O43" s="7">
        <f>SUMPRODUCT((raw!$B$2:$B$1289='2018-19_working'!$A43)*(raw!$F$2:$F$1289='2018-19_working'!O$7)*(raw!$E$2:$E$1289='2018-19_working'!$J$6)*(raw!$G$2:$G$1289))</f>
        <v>0</v>
      </c>
      <c r="P43" s="7">
        <f>SUMPRODUCT((raw!$B$2:$B$1289='2018-19_working'!$A43)*(raw!$F$2:$F$1289='2018-19_working'!P$7)*(raw!$E$2:$E$1289='2018-19_working'!$J$6)*(raw!$G$2:$G$1289))</f>
        <v>0</v>
      </c>
      <c r="R43" s="7">
        <f>SUMPRODUCT((raw!$B$2:$B$1289='2018-19_working'!$A43)*(raw!$F$2:$F$1289='2018-19_working'!R$7)*(raw!$E$2:$E$1289='2018-19_working'!$R$6)*(raw!$G$2:$G$1289))</f>
        <v>0</v>
      </c>
      <c r="S43" s="7">
        <f>SUMPRODUCT((raw!$B$2:$B$1289='2018-19_working'!$A43)*(raw!$F$2:$F$1289='2018-19_working'!S$7)*(raw!$E$2:$E$1289='2018-19_working'!$R$6)*(raw!$G$2:$G$1289))</f>
        <v>0</v>
      </c>
      <c r="T43" s="7">
        <f>SUMPRODUCT((raw!$B$2:$B$1289='2018-19_working'!$A43)*(raw!$F$2:$F$1289='2018-19_working'!T$7)*(raw!$E$2:$E$1289='2018-19_working'!$R$6)*(raw!$G$2:$G$1289))</f>
        <v>0</v>
      </c>
      <c r="U43" s="7">
        <f>SUMPRODUCT((raw!$B$2:$B$1289='2018-19_working'!$A43)*(raw!$F$2:$F$1289='2018-19_working'!U$7)*(raw!$E$2:$E$1289='2018-19_working'!$R$6)*(raw!$G$2:$G$1289))</f>
        <v>0</v>
      </c>
      <c r="V43" s="7">
        <f>SUMPRODUCT((raw!$B$2:$B$1289='2018-19_working'!$A43)*(raw!$F$2:$F$1289='2018-19_working'!V$7)*(raw!$E$2:$E$1289='2018-19_working'!$R$6)*(raw!$G$2:$G$1289))</f>
        <v>0</v>
      </c>
      <c r="W43" s="7">
        <f>SUMPRODUCT((raw!$B$2:$B$1289='2018-19_working'!$A43)*(raw!$F$2:$F$1289='2018-19_working'!W$7)*(raw!$E$2:$E$1289='2018-19_working'!$R$6)*(raw!$G$2:$G$1289))</f>
        <v>0</v>
      </c>
      <c r="X43" s="7">
        <f>SUMPRODUCT((raw!$B$2:$B$1289='2018-19_working'!$A43)*(raw!$F$2:$F$1289='2018-19_working'!X$7)*(raw!$E$2:$E$1289='2018-19_working'!$R$6)*(raw!$G$2:$G$1289))</f>
        <v>0</v>
      </c>
      <c r="Z43" s="7">
        <f>SUMPRODUCT((raw!$B$2:$B$1289='2018-19_working'!$A43)*(raw!$F$2:$F$1289='2018-19_working'!Z$7)*(raw!$E$2:$E$1289='2018-19_working'!$Z$6)*(raw!$G$2:$G$1289))</f>
        <v>4</v>
      </c>
      <c r="AA43" s="7">
        <f>SUMPRODUCT((raw!$B$2:$B$1289='2018-19_working'!$A43)*(raw!$F$2:$F$1289='2018-19_working'!AA$7)*(raw!$E$2:$E$1289='2018-19_working'!$Z$6)*(raw!$G$2:$G$1289))</f>
        <v>6</v>
      </c>
      <c r="AB43" s="7">
        <f>SUMPRODUCT((raw!$B$2:$B$1289='2018-19_working'!$A43)*(raw!$F$2:$F$1289='2018-19_working'!AB$7)*(raw!$E$2:$E$1289='2018-19_working'!$Z$6)*(raw!$G$2:$G$1289))</f>
        <v>4</v>
      </c>
      <c r="AC43" s="7">
        <f>SUMPRODUCT((raw!$B$2:$B$1289='2018-19_working'!$A43)*(raw!$F$2:$F$1289='2018-19_working'!AC$7)*(raw!$E$2:$E$1289='2018-19_working'!$Z$6)*(raw!$G$2:$G$1289))</f>
        <v>5</v>
      </c>
      <c r="AD43" s="7">
        <f>SUMPRODUCT((raw!$B$2:$B$1289='2018-19_working'!$A43)*(raw!$F$2:$F$1289='2018-19_working'!AD$7)*(raw!$E$2:$E$1289='2018-19_working'!$Z$6)*(raw!$G$2:$G$1289))</f>
        <v>5</v>
      </c>
      <c r="AE43" s="7">
        <f>SUMPRODUCT((raw!$B$2:$B$1289='2018-19_working'!$A43)*(raw!$F$2:$F$1289='2018-19_working'!AE$7)*(raw!$E$2:$E$1289='2018-19_working'!$Z$6)*(raw!$G$2:$G$1289))</f>
        <v>0</v>
      </c>
      <c r="AF43" s="7">
        <f>SUMPRODUCT((raw!$B$2:$B$1289='2018-19_working'!$A43)*(raw!$F$2:$F$1289='2018-19_working'!AF$7)*(raw!$E$2:$E$1289='2018-19_working'!$Z$6)*(raw!$G$2:$G$1289))</f>
        <v>0</v>
      </c>
    </row>
    <row r="44" spans="1:32" x14ac:dyDescent="0.35">
      <c r="A44" s="7" t="s">
        <v>49</v>
      </c>
      <c r="B44" s="7">
        <f>SUMPRODUCT((raw!$B$2:$B$1289='2018-19_working'!$A44)*(raw!$F$2:$F$1289='2018-19_working'!B$7)*(raw!$E$2:$E$1289='2018-19_working'!$B$6:$H$6)*(raw!$G$2:$G$1289))</f>
        <v>1</v>
      </c>
      <c r="C44" s="7">
        <f>SUMPRODUCT((raw!$B$2:$B$1289='2018-19_working'!$A44)*(raw!$F$2:$F$1289='2018-19_working'!C$7)*(raw!$E$2:$E$1289='2018-19_working'!$B$6:$H$6)*(raw!$G$2:$G$1289))</f>
        <v>7</v>
      </c>
      <c r="D44" s="7">
        <f>SUMPRODUCT((raw!$B$2:$B$1289='2018-19_working'!$A44)*(raw!$F$2:$F$1289='2018-19_working'!D$7)*(raw!$E$2:$E$1289='2018-19_working'!$B$6:$H$6)*(raw!$G$2:$G$1289))</f>
        <v>0</v>
      </c>
      <c r="E44" s="7">
        <f>SUMPRODUCT((raw!$B$2:$B$1289='2018-19_working'!$A44)*(raw!$F$2:$F$1289='2018-19_working'!E$7)*(raw!$E$2:$E$1289='2018-19_working'!$B$6:$H$6)*(raw!$G$2:$G$1289))</f>
        <v>0</v>
      </c>
      <c r="F44" s="7">
        <f>SUMPRODUCT((raw!$B$2:$B$1289='2018-19_working'!$A44)*(raw!$F$2:$F$1289='2018-19_working'!F$7)*(raw!$E$2:$E$1289='2018-19_working'!$B$6:$H$6)*(raw!$G$2:$G$1289))</f>
        <v>0</v>
      </c>
      <c r="G44" s="7">
        <f>SUMPRODUCT((raw!$B$2:$B$1289='2018-19_working'!$A44)*(raw!$F$2:$F$1289='2018-19_working'!G$7)*(raw!$E$2:$E$1289='2018-19_working'!$B$6:$H$6)*(raw!$G$2:$G$1289))</f>
        <v>0</v>
      </c>
      <c r="H44" s="7">
        <f>SUMPRODUCT((raw!$B$2:$B$1289='2018-19_working'!$A44)*(raw!$F$2:$F$1289='2018-19_working'!H$7)*(raw!$E$2:$E$1289='2018-19_working'!$B$6:$H$6)*(raw!$G$2:$G$1289))</f>
        <v>0</v>
      </c>
      <c r="J44" s="7">
        <f>SUMPRODUCT((raw!$B$2:$B$1289='2018-19_working'!$A44)*(raw!$F$2:$F$1289='2018-19_working'!J$7)*(raw!$E$2:$E$1289='2018-19_working'!$J$6)*(raw!$G$2:$G$1289))</f>
        <v>8</v>
      </c>
      <c r="K44" s="7">
        <f>SUMPRODUCT((raw!$B$2:$B$1289='2018-19_working'!$A44)*(raw!$F$2:$F$1289='2018-19_working'!K$7)*(raw!$E$2:$E$1289='2018-19_working'!$J$6)*(raw!$G$2:$G$1289))</f>
        <v>22</v>
      </c>
      <c r="L44" s="7">
        <f>SUMPRODUCT((raw!$B$2:$B$1289='2018-19_working'!$A44)*(raw!$F$2:$F$1289='2018-19_working'!L$7)*(raw!$E$2:$E$1289='2018-19_working'!$J$6)*(raw!$G$2:$G$1289))</f>
        <v>11</v>
      </c>
      <c r="M44" s="7">
        <f>SUMPRODUCT((raw!$B$2:$B$1289='2018-19_working'!$A44)*(raw!$F$2:$F$1289='2018-19_working'!M$7)*(raw!$E$2:$E$1289='2018-19_working'!$J$6)*(raw!$G$2:$G$1289))</f>
        <v>4</v>
      </c>
      <c r="N44" s="7">
        <f>SUMPRODUCT((raw!$B$2:$B$1289='2018-19_working'!$A44)*(raw!$F$2:$F$1289='2018-19_working'!N$7)*(raw!$E$2:$E$1289='2018-19_working'!$J$6)*(raw!$G$2:$G$1289))</f>
        <v>1</v>
      </c>
      <c r="O44" s="7">
        <f>SUMPRODUCT((raw!$B$2:$B$1289='2018-19_working'!$A44)*(raw!$F$2:$F$1289='2018-19_working'!O$7)*(raw!$E$2:$E$1289='2018-19_working'!$J$6)*(raw!$G$2:$G$1289))</f>
        <v>0</v>
      </c>
      <c r="P44" s="7">
        <f>SUMPRODUCT((raw!$B$2:$B$1289='2018-19_working'!$A44)*(raw!$F$2:$F$1289='2018-19_working'!P$7)*(raw!$E$2:$E$1289='2018-19_working'!$J$6)*(raw!$G$2:$G$1289))</f>
        <v>0</v>
      </c>
      <c r="R44" s="7">
        <f>SUMPRODUCT((raw!$B$2:$B$1289='2018-19_working'!$A44)*(raw!$F$2:$F$1289='2018-19_working'!R$7)*(raw!$E$2:$E$1289='2018-19_working'!$R$6)*(raw!$G$2:$G$1289))</f>
        <v>0</v>
      </c>
      <c r="S44" s="7">
        <f>SUMPRODUCT((raw!$B$2:$B$1289='2018-19_working'!$A44)*(raw!$F$2:$F$1289='2018-19_working'!S$7)*(raw!$E$2:$E$1289='2018-19_working'!$R$6)*(raw!$G$2:$G$1289))</f>
        <v>0</v>
      </c>
      <c r="T44" s="7">
        <f>SUMPRODUCT((raw!$B$2:$B$1289='2018-19_working'!$A44)*(raw!$F$2:$F$1289='2018-19_working'!T$7)*(raw!$E$2:$E$1289='2018-19_working'!$R$6)*(raw!$G$2:$G$1289))</f>
        <v>0</v>
      </c>
      <c r="U44" s="7">
        <f>SUMPRODUCT((raw!$B$2:$B$1289='2018-19_working'!$A44)*(raw!$F$2:$F$1289='2018-19_working'!U$7)*(raw!$E$2:$E$1289='2018-19_working'!$R$6)*(raw!$G$2:$G$1289))</f>
        <v>0</v>
      </c>
      <c r="V44" s="7">
        <f>SUMPRODUCT((raw!$B$2:$B$1289='2018-19_working'!$A44)*(raw!$F$2:$F$1289='2018-19_working'!V$7)*(raw!$E$2:$E$1289='2018-19_working'!$R$6)*(raw!$G$2:$G$1289))</f>
        <v>0</v>
      </c>
      <c r="W44" s="7">
        <f>SUMPRODUCT((raw!$B$2:$B$1289='2018-19_working'!$A44)*(raw!$F$2:$F$1289='2018-19_working'!W$7)*(raw!$E$2:$E$1289='2018-19_working'!$R$6)*(raw!$G$2:$G$1289))</f>
        <v>0</v>
      </c>
      <c r="X44" s="7">
        <f>SUMPRODUCT((raw!$B$2:$B$1289='2018-19_working'!$A44)*(raw!$F$2:$F$1289='2018-19_working'!X$7)*(raw!$E$2:$E$1289='2018-19_working'!$R$6)*(raw!$G$2:$G$1289))</f>
        <v>0</v>
      </c>
      <c r="Z44" s="7">
        <f>SUMPRODUCT((raw!$B$2:$B$1289='2018-19_working'!$A44)*(raw!$F$2:$F$1289='2018-19_working'!Z$7)*(raw!$E$2:$E$1289='2018-19_working'!$Z$6)*(raw!$G$2:$G$1289))</f>
        <v>2</v>
      </c>
      <c r="AA44" s="7">
        <f>SUMPRODUCT((raw!$B$2:$B$1289='2018-19_working'!$A44)*(raw!$F$2:$F$1289='2018-19_working'!AA$7)*(raw!$E$2:$E$1289='2018-19_working'!$Z$6)*(raw!$G$2:$G$1289))</f>
        <v>0</v>
      </c>
      <c r="AB44" s="7">
        <f>SUMPRODUCT((raw!$B$2:$B$1289='2018-19_working'!$A44)*(raw!$F$2:$F$1289='2018-19_working'!AB$7)*(raw!$E$2:$E$1289='2018-19_working'!$Z$6)*(raw!$G$2:$G$1289))</f>
        <v>2</v>
      </c>
      <c r="AC44" s="7">
        <f>SUMPRODUCT((raw!$B$2:$B$1289='2018-19_working'!$A44)*(raw!$F$2:$F$1289='2018-19_working'!AC$7)*(raw!$E$2:$E$1289='2018-19_working'!$Z$6)*(raw!$G$2:$G$1289))</f>
        <v>0</v>
      </c>
      <c r="AD44" s="7">
        <f>SUMPRODUCT((raw!$B$2:$B$1289='2018-19_working'!$A44)*(raw!$F$2:$F$1289='2018-19_working'!AD$7)*(raw!$E$2:$E$1289='2018-19_working'!$Z$6)*(raw!$G$2:$G$1289))</f>
        <v>2</v>
      </c>
      <c r="AE44" s="7">
        <f>SUMPRODUCT((raw!$B$2:$B$1289='2018-19_working'!$A44)*(raw!$F$2:$F$1289='2018-19_working'!AE$7)*(raw!$E$2:$E$1289='2018-19_working'!$Z$6)*(raw!$G$2:$G$1289))</f>
        <v>0</v>
      </c>
      <c r="AF44" s="7">
        <f>SUMPRODUCT((raw!$B$2:$B$1289='2018-19_working'!$A44)*(raw!$F$2:$F$1289='2018-19_working'!AF$7)*(raw!$E$2:$E$1289='2018-19_working'!$Z$6)*(raw!$G$2:$G$1289))</f>
        <v>0</v>
      </c>
    </row>
    <row r="45" spans="1:32" x14ac:dyDescent="0.35">
      <c r="A45" s="7" t="s">
        <v>50</v>
      </c>
      <c r="B45" s="7">
        <f>SUMPRODUCT((raw!$B$2:$B$1289='2018-19_working'!$A45)*(raw!$F$2:$F$1289='2018-19_working'!B$7)*(raw!$E$2:$E$1289='2018-19_working'!$B$6:$H$6)*(raw!$G$2:$G$1289))</f>
        <v>5</v>
      </c>
      <c r="C45" s="7">
        <f>SUMPRODUCT((raw!$B$2:$B$1289='2018-19_working'!$A45)*(raw!$F$2:$F$1289='2018-19_working'!C$7)*(raw!$E$2:$E$1289='2018-19_working'!$B$6:$H$6)*(raw!$G$2:$G$1289))</f>
        <v>17</v>
      </c>
      <c r="D45" s="7">
        <f>SUMPRODUCT((raw!$B$2:$B$1289='2018-19_working'!$A45)*(raw!$F$2:$F$1289='2018-19_working'!D$7)*(raw!$E$2:$E$1289='2018-19_working'!$B$6:$H$6)*(raw!$G$2:$G$1289))</f>
        <v>5</v>
      </c>
      <c r="E45" s="7">
        <f>SUMPRODUCT((raw!$B$2:$B$1289='2018-19_working'!$A45)*(raw!$F$2:$F$1289='2018-19_working'!E$7)*(raw!$E$2:$E$1289='2018-19_working'!$B$6:$H$6)*(raw!$G$2:$G$1289))</f>
        <v>3</v>
      </c>
      <c r="F45" s="7">
        <f>SUMPRODUCT((raw!$B$2:$B$1289='2018-19_working'!$A45)*(raw!$F$2:$F$1289='2018-19_working'!F$7)*(raw!$E$2:$E$1289='2018-19_working'!$B$6:$H$6)*(raw!$G$2:$G$1289))</f>
        <v>0</v>
      </c>
      <c r="G45" s="7">
        <f>SUMPRODUCT((raw!$B$2:$B$1289='2018-19_working'!$A45)*(raw!$F$2:$F$1289='2018-19_working'!G$7)*(raw!$E$2:$E$1289='2018-19_working'!$B$6:$H$6)*(raw!$G$2:$G$1289))</f>
        <v>0</v>
      </c>
      <c r="H45" s="7">
        <f>SUMPRODUCT((raw!$B$2:$B$1289='2018-19_working'!$A45)*(raw!$F$2:$F$1289='2018-19_working'!H$7)*(raw!$E$2:$E$1289='2018-19_working'!$B$6:$H$6)*(raw!$G$2:$G$1289))</f>
        <v>0</v>
      </c>
      <c r="J45" s="7">
        <f>SUMPRODUCT((raw!$B$2:$B$1289='2018-19_working'!$A45)*(raw!$F$2:$F$1289='2018-19_working'!J$7)*(raw!$E$2:$E$1289='2018-19_working'!$J$6)*(raw!$G$2:$G$1289))</f>
        <v>0</v>
      </c>
      <c r="K45" s="7">
        <f>SUMPRODUCT((raw!$B$2:$B$1289='2018-19_working'!$A45)*(raw!$F$2:$F$1289='2018-19_working'!K$7)*(raw!$E$2:$E$1289='2018-19_working'!$J$6)*(raw!$G$2:$G$1289))</f>
        <v>7</v>
      </c>
      <c r="L45" s="7">
        <f>SUMPRODUCT((raw!$B$2:$B$1289='2018-19_working'!$A45)*(raw!$F$2:$F$1289='2018-19_working'!L$7)*(raw!$E$2:$E$1289='2018-19_working'!$J$6)*(raw!$G$2:$G$1289))</f>
        <v>0</v>
      </c>
      <c r="M45" s="7">
        <f>SUMPRODUCT((raw!$B$2:$B$1289='2018-19_working'!$A45)*(raw!$F$2:$F$1289='2018-19_working'!M$7)*(raw!$E$2:$E$1289='2018-19_working'!$J$6)*(raw!$G$2:$G$1289))</f>
        <v>0</v>
      </c>
      <c r="N45" s="7">
        <f>SUMPRODUCT((raw!$B$2:$B$1289='2018-19_working'!$A45)*(raw!$F$2:$F$1289='2018-19_working'!N$7)*(raw!$E$2:$E$1289='2018-19_working'!$J$6)*(raw!$G$2:$G$1289))</f>
        <v>0</v>
      </c>
      <c r="O45" s="7">
        <f>SUMPRODUCT((raw!$B$2:$B$1289='2018-19_working'!$A45)*(raw!$F$2:$F$1289='2018-19_working'!O$7)*(raw!$E$2:$E$1289='2018-19_working'!$J$6)*(raw!$G$2:$G$1289))</f>
        <v>0</v>
      </c>
      <c r="P45" s="7">
        <f>SUMPRODUCT((raw!$B$2:$B$1289='2018-19_working'!$A45)*(raw!$F$2:$F$1289='2018-19_working'!P$7)*(raw!$E$2:$E$1289='2018-19_working'!$J$6)*(raw!$G$2:$G$1289))</f>
        <v>0</v>
      </c>
      <c r="R45" s="7">
        <f>SUMPRODUCT((raw!$B$2:$B$1289='2018-19_working'!$A45)*(raw!$F$2:$F$1289='2018-19_working'!R$7)*(raw!$E$2:$E$1289='2018-19_working'!$R$6)*(raw!$G$2:$G$1289))</f>
        <v>0</v>
      </c>
      <c r="S45" s="7">
        <f>SUMPRODUCT((raw!$B$2:$B$1289='2018-19_working'!$A45)*(raw!$F$2:$F$1289='2018-19_working'!S$7)*(raw!$E$2:$E$1289='2018-19_working'!$R$6)*(raw!$G$2:$G$1289))</f>
        <v>3</v>
      </c>
      <c r="T45" s="7">
        <f>SUMPRODUCT((raw!$B$2:$B$1289='2018-19_working'!$A45)*(raw!$F$2:$F$1289='2018-19_working'!T$7)*(raw!$E$2:$E$1289='2018-19_working'!$R$6)*(raw!$G$2:$G$1289))</f>
        <v>1</v>
      </c>
      <c r="U45" s="7">
        <f>SUMPRODUCT((raw!$B$2:$B$1289='2018-19_working'!$A45)*(raw!$F$2:$F$1289='2018-19_working'!U$7)*(raw!$E$2:$E$1289='2018-19_working'!$R$6)*(raw!$G$2:$G$1289))</f>
        <v>0</v>
      </c>
      <c r="V45" s="7">
        <f>SUMPRODUCT((raw!$B$2:$B$1289='2018-19_working'!$A45)*(raw!$F$2:$F$1289='2018-19_working'!V$7)*(raw!$E$2:$E$1289='2018-19_working'!$R$6)*(raw!$G$2:$G$1289))</f>
        <v>0</v>
      </c>
      <c r="W45" s="7">
        <f>SUMPRODUCT((raw!$B$2:$B$1289='2018-19_working'!$A45)*(raw!$F$2:$F$1289='2018-19_working'!W$7)*(raw!$E$2:$E$1289='2018-19_working'!$R$6)*(raw!$G$2:$G$1289))</f>
        <v>0</v>
      </c>
      <c r="X45" s="7">
        <f>SUMPRODUCT((raw!$B$2:$B$1289='2018-19_working'!$A45)*(raw!$F$2:$F$1289='2018-19_working'!X$7)*(raw!$E$2:$E$1289='2018-19_working'!$R$6)*(raw!$G$2:$G$1289))</f>
        <v>0</v>
      </c>
      <c r="Z45" s="7">
        <f>SUMPRODUCT((raw!$B$2:$B$1289='2018-19_working'!$A45)*(raw!$F$2:$F$1289='2018-19_working'!Z$7)*(raw!$E$2:$E$1289='2018-19_working'!$Z$6)*(raw!$G$2:$G$1289))</f>
        <v>0</v>
      </c>
      <c r="AA45" s="7">
        <f>SUMPRODUCT((raw!$B$2:$B$1289='2018-19_working'!$A45)*(raw!$F$2:$F$1289='2018-19_working'!AA$7)*(raw!$E$2:$E$1289='2018-19_working'!$Z$6)*(raw!$G$2:$G$1289))</f>
        <v>0</v>
      </c>
      <c r="AB45" s="7">
        <f>SUMPRODUCT((raw!$B$2:$B$1289='2018-19_working'!$A45)*(raw!$F$2:$F$1289='2018-19_working'!AB$7)*(raw!$E$2:$E$1289='2018-19_working'!$Z$6)*(raw!$G$2:$G$1289))</f>
        <v>1</v>
      </c>
      <c r="AC45" s="7">
        <f>SUMPRODUCT((raw!$B$2:$B$1289='2018-19_working'!$A45)*(raw!$F$2:$F$1289='2018-19_working'!AC$7)*(raw!$E$2:$E$1289='2018-19_working'!$Z$6)*(raw!$G$2:$G$1289))</f>
        <v>15</v>
      </c>
      <c r="AD45" s="7">
        <f>SUMPRODUCT((raw!$B$2:$B$1289='2018-19_working'!$A45)*(raw!$F$2:$F$1289='2018-19_working'!AD$7)*(raw!$E$2:$E$1289='2018-19_working'!$Z$6)*(raw!$G$2:$G$1289))</f>
        <v>0</v>
      </c>
      <c r="AE45" s="7">
        <f>SUMPRODUCT((raw!$B$2:$B$1289='2018-19_working'!$A45)*(raw!$F$2:$F$1289='2018-19_working'!AE$7)*(raw!$E$2:$E$1289='2018-19_working'!$Z$6)*(raw!$G$2:$G$1289))</f>
        <v>0</v>
      </c>
      <c r="AF45" s="7">
        <f>SUMPRODUCT((raw!$B$2:$B$1289='2018-19_working'!$A45)*(raw!$F$2:$F$1289='2018-19_working'!AF$7)*(raw!$E$2:$E$1289='2018-19_working'!$Z$6)*(raw!$G$2:$G$1289))</f>
        <v>0</v>
      </c>
    </row>
    <row r="46" spans="1:32" x14ac:dyDescent="0.35">
      <c r="A46" s="7" t="s">
        <v>51</v>
      </c>
      <c r="B46" s="7">
        <f>SUMPRODUCT((raw!$B$2:$B$1289='2018-19_working'!$A46)*(raw!$F$2:$F$1289='2018-19_working'!B$7)*(raw!$E$2:$E$1289='2018-19_working'!$B$6:$H$6)*(raw!$G$2:$G$1289))</f>
        <v>0</v>
      </c>
      <c r="C46" s="7">
        <f>SUMPRODUCT((raw!$B$2:$B$1289='2018-19_working'!$A46)*(raw!$F$2:$F$1289='2018-19_working'!C$7)*(raw!$E$2:$E$1289='2018-19_working'!$B$6:$H$6)*(raw!$G$2:$G$1289))</f>
        <v>4</v>
      </c>
      <c r="D46" s="7">
        <f>SUMPRODUCT((raw!$B$2:$B$1289='2018-19_working'!$A46)*(raw!$F$2:$F$1289='2018-19_working'!D$7)*(raw!$E$2:$E$1289='2018-19_working'!$B$6:$H$6)*(raw!$G$2:$G$1289))</f>
        <v>3</v>
      </c>
      <c r="E46" s="7">
        <f>SUMPRODUCT((raw!$B$2:$B$1289='2018-19_working'!$A46)*(raw!$F$2:$F$1289='2018-19_working'!E$7)*(raw!$E$2:$E$1289='2018-19_working'!$B$6:$H$6)*(raw!$G$2:$G$1289))</f>
        <v>5</v>
      </c>
      <c r="F46" s="7">
        <f>SUMPRODUCT((raw!$B$2:$B$1289='2018-19_working'!$A46)*(raw!$F$2:$F$1289='2018-19_working'!F$7)*(raw!$E$2:$E$1289='2018-19_working'!$B$6:$H$6)*(raw!$G$2:$G$1289))</f>
        <v>1</v>
      </c>
      <c r="G46" s="7">
        <f>SUMPRODUCT((raw!$B$2:$B$1289='2018-19_working'!$A46)*(raw!$F$2:$F$1289='2018-19_working'!G$7)*(raw!$E$2:$E$1289='2018-19_working'!$B$6:$H$6)*(raw!$G$2:$G$1289))</f>
        <v>0</v>
      </c>
      <c r="H46" s="7">
        <f>SUMPRODUCT((raw!$B$2:$B$1289='2018-19_working'!$A46)*(raw!$F$2:$F$1289='2018-19_working'!H$7)*(raw!$E$2:$E$1289='2018-19_working'!$B$6:$H$6)*(raw!$G$2:$G$1289))</f>
        <v>0</v>
      </c>
      <c r="J46" s="7">
        <f>SUMPRODUCT((raw!$B$2:$B$1289='2018-19_working'!$A46)*(raw!$F$2:$F$1289='2018-19_working'!J$7)*(raw!$E$2:$E$1289='2018-19_working'!$J$6)*(raw!$G$2:$G$1289))</f>
        <v>2</v>
      </c>
      <c r="K46" s="7">
        <f>SUMPRODUCT((raw!$B$2:$B$1289='2018-19_working'!$A46)*(raw!$F$2:$F$1289='2018-19_working'!K$7)*(raw!$E$2:$E$1289='2018-19_working'!$J$6)*(raw!$G$2:$G$1289))</f>
        <v>11</v>
      </c>
      <c r="L46" s="7">
        <f>SUMPRODUCT((raw!$B$2:$B$1289='2018-19_working'!$A46)*(raw!$F$2:$F$1289='2018-19_working'!L$7)*(raw!$E$2:$E$1289='2018-19_working'!$J$6)*(raw!$G$2:$G$1289))</f>
        <v>5</v>
      </c>
      <c r="M46" s="7">
        <f>SUMPRODUCT((raw!$B$2:$B$1289='2018-19_working'!$A46)*(raw!$F$2:$F$1289='2018-19_working'!M$7)*(raw!$E$2:$E$1289='2018-19_working'!$J$6)*(raw!$G$2:$G$1289))</f>
        <v>1</v>
      </c>
      <c r="N46" s="7">
        <f>SUMPRODUCT((raw!$B$2:$B$1289='2018-19_working'!$A46)*(raw!$F$2:$F$1289='2018-19_working'!N$7)*(raw!$E$2:$E$1289='2018-19_working'!$J$6)*(raw!$G$2:$G$1289))</f>
        <v>0</v>
      </c>
      <c r="O46" s="7">
        <f>SUMPRODUCT((raw!$B$2:$B$1289='2018-19_working'!$A46)*(raw!$F$2:$F$1289='2018-19_working'!O$7)*(raw!$E$2:$E$1289='2018-19_working'!$J$6)*(raw!$G$2:$G$1289))</f>
        <v>0</v>
      </c>
      <c r="P46" s="7">
        <f>SUMPRODUCT((raw!$B$2:$B$1289='2018-19_working'!$A46)*(raw!$F$2:$F$1289='2018-19_working'!P$7)*(raw!$E$2:$E$1289='2018-19_working'!$J$6)*(raw!$G$2:$G$1289))</f>
        <v>0</v>
      </c>
      <c r="R46" s="7">
        <f>SUMPRODUCT((raw!$B$2:$B$1289='2018-19_working'!$A46)*(raw!$F$2:$F$1289='2018-19_working'!R$7)*(raw!$E$2:$E$1289='2018-19_working'!$R$6)*(raw!$G$2:$G$1289))</f>
        <v>0</v>
      </c>
      <c r="S46" s="7">
        <f>SUMPRODUCT((raw!$B$2:$B$1289='2018-19_working'!$A46)*(raw!$F$2:$F$1289='2018-19_working'!S$7)*(raw!$E$2:$E$1289='2018-19_working'!$R$6)*(raw!$G$2:$G$1289))</f>
        <v>0</v>
      </c>
      <c r="T46" s="7">
        <f>SUMPRODUCT((raw!$B$2:$B$1289='2018-19_working'!$A46)*(raw!$F$2:$F$1289='2018-19_working'!T$7)*(raw!$E$2:$E$1289='2018-19_working'!$R$6)*(raw!$G$2:$G$1289))</f>
        <v>1</v>
      </c>
      <c r="U46" s="7">
        <f>SUMPRODUCT((raw!$B$2:$B$1289='2018-19_working'!$A46)*(raw!$F$2:$F$1289='2018-19_working'!U$7)*(raw!$E$2:$E$1289='2018-19_working'!$R$6)*(raw!$G$2:$G$1289))</f>
        <v>0</v>
      </c>
      <c r="V46" s="7">
        <f>SUMPRODUCT((raw!$B$2:$B$1289='2018-19_working'!$A46)*(raw!$F$2:$F$1289='2018-19_working'!V$7)*(raw!$E$2:$E$1289='2018-19_working'!$R$6)*(raw!$G$2:$G$1289))</f>
        <v>0</v>
      </c>
      <c r="W46" s="7">
        <f>SUMPRODUCT((raw!$B$2:$B$1289='2018-19_working'!$A46)*(raw!$F$2:$F$1289='2018-19_working'!W$7)*(raw!$E$2:$E$1289='2018-19_working'!$R$6)*(raw!$G$2:$G$1289))</f>
        <v>0</v>
      </c>
      <c r="X46" s="7">
        <f>SUMPRODUCT((raw!$B$2:$B$1289='2018-19_working'!$A46)*(raw!$F$2:$F$1289='2018-19_working'!X$7)*(raw!$E$2:$E$1289='2018-19_working'!$R$6)*(raw!$G$2:$G$1289))</f>
        <v>0</v>
      </c>
      <c r="Z46" s="7">
        <f>SUMPRODUCT((raw!$B$2:$B$1289='2018-19_working'!$A46)*(raw!$F$2:$F$1289='2018-19_working'!Z$7)*(raw!$E$2:$E$1289='2018-19_working'!$Z$6)*(raw!$G$2:$G$1289))</f>
        <v>2</v>
      </c>
      <c r="AA46" s="7">
        <f>SUMPRODUCT((raw!$B$2:$B$1289='2018-19_working'!$A46)*(raw!$F$2:$F$1289='2018-19_working'!AA$7)*(raw!$E$2:$E$1289='2018-19_working'!$Z$6)*(raw!$G$2:$G$1289))</f>
        <v>1</v>
      </c>
      <c r="AB46" s="7">
        <f>SUMPRODUCT((raw!$B$2:$B$1289='2018-19_working'!$A46)*(raw!$F$2:$F$1289='2018-19_working'!AB$7)*(raw!$E$2:$E$1289='2018-19_working'!$Z$6)*(raw!$G$2:$G$1289))</f>
        <v>1</v>
      </c>
      <c r="AC46" s="7">
        <f>SUMPRODUCT((raw!$B$2:$B$1289='2018-19_working'!$A46)*(raw!$F$2:$F$1289='2018-19_working'!AC$7)*(raw!$E$2:$E$1289='2018-19_working'!$Z$6)*(raw!$G$2:$G$1289))</f>
        <v>7</v>
      </c>
      <c r="AD46" s="7">
        <f>SUMPRODUCT((raw!$B$2:$B$1289='2018-19_working'!$A46)*(raw!$F$2:$F$1289='2018-19_working'!AD$7)*(raw!$E$2:$E$1289='2018-19_working'!$Z$6)*(raw!$G$2:$G$1289))</f>
        <v>2</v>
      </c>
      <c r="AE46" s="7">
        <f>SUMPRODUCT((raw!$B$2:$B$1289='2018-19_working'!$A46)*(raw!$F$2:$F$1289='2018-19_working'!AE$7)*(raw!$E$2:$E$1289='2018-19_working'!$Z$6)*(raw!$G$2:$G$1289))</f>
        <v>0</v>
      </c>
      <c r="AF46" s="7">
        <f>SUMPRODUCT((raw!$B$2:$B$1289='2018-19_working'!$A46)*(raw!$F$2:$F$1289='2018-19_working'!AF$7)*(raw!$E$2:$E$1289='2018-19_working'!$Z$6)*(raw!$G$2:$G$1289))</f>
        <v>0</v>
      </c>
    </row>
    <row r="47" spans="1:32" x14ac:dyDescent="0.35">
      <c r="A47" s="7" t="s">
        <v>52</v>
      </c>
      <c r="B47" s="7">
        <f>SUMPRODUCT((raw!$B$2:$B$1289='2018-19_working'!$A47)*(raw!$F$2:$F$1289='2018-19_working'!B$7)*(raw!$E$2:$E$1289='2018-19_working'!$B$6:$H$6)*(raw!$G$2:$G$1289))</f>
        <v>2</v>
      </c>
      <c r="C47" s="7">
        <f>SUMPRODUCT((raw!$B$2:$B$1289='2018-19_working'!$A47)*(raw!$F$2:$F$1289='2018-19_working'!C$7)*(raw!$E$2:$E$1289='2018-19_working'!$B$6:$H$6)*(raw!$G$2:$G$1289))</f>
        <v>11</v>
      </c>
      <c r="D47" s="7">
        <f>SUMPRODUCT((raw!$B$2:$B$1289='2018-19_working'!$A47)*(raw!$F$2:$F$1289='2018-19_working'!D$7)*(raw!$E$2:$E$1289='2018-19_working'!$B$6:$H$6)*(raw!$G$2:$G$1289))</f>
        <v>4</v>
      </c>
      <c r="E47" s="7">
        <f>SUMPRODUCT((raw!$B$2:$B$1289='2018-19_working'!$A47)*(raw!$F$2:$F$1289='2018-19_working'!E$7)*(raw!$E$2:$E$1289='2018-19_working'!$B$6:$H$6)*(raw!$G$2:$G$1289))</f>
        <v>0</v>
      </c>
      <c r="F47" s="7">
        <f>SUMPRODUCT((raw!$B$2:$B$1289='2018-19_working'!$A47)*(raw!$F$2:$F$1289='2018-19_working'!F$7)*(raw!$E$2:$E$1289='2018-19_working'!$B$6:$H$6)*(raw!$G$2:$G$1289))</f>
        <v>0</v>
      </c>
      <c r="G47" s="7">
        <f>SUMPRODUCT((raw!$B$2:$B$1289='2018-19_working'!$A47)*(raw!$F$2:$F$1289='2018-19_working'!G$7)*(raw!$E$2:$E$1289='2018-19_working'!$B$6:$H$6)*(raw!$G$2:$G$1289))</f>
        <v>0</v>
      </c>
      <c r="H47" s="7">
        <f>SUMPRODUCT((raw!$B$2:$B$1289='2018-19_working'!$A47)*(raw!$F$2:$F$1289='2018-19_working'!H$7)*(raw!$E$2:$E$1289='2018-19_working'!$B$6:$H$6)*(raw!$G$2:$G$1289))</f>
        <v>0</v>
      </c>
      <c r="J47" s="7">
        <f>SUMPRODUCT((raw!$B$2:$B$1289='2018-19_working'!$A47)*(raw!$F$2:$F$1289='2018-19_working'!J$7)*(raw!$E$2:$E$1289='2018-19_working'!$J$6)*(raw!$G$2:$G$1289))</f>
        <v>12</v>
      </c>
      <c r="K47" s="7">
        <f>SUMPRODUCT((raw!$B$2:$B$1289='2018-19_working'!$A47)*(raw!$F$2:$F$1289='2018-19_working'!K$7)*(raw!$E$2:$E$1289='2018-19_working'!$J$6)*(raw!$G$2:$G$1289))</f>
        <v>20</v>
      </c>
      <c r="L47" s="7">
        <f>SUMPRODUCT((raw!$B$2:$B$1289='2018-19_working'!$A47)*(raw!$F$2:$F$1289='2018-19_working'!L$7)*(raw!$E$2:$E$1289='2018-19_working'!$J$6)*(raw!$G$2:$G$1289))</f>
        <v>6</v>
      </c>
      <c r="M47" s="7">
        <f>SUMPRODUCT((raw!$B$2:$B$1289='2018-19_working'!$A47)*(raw!$F$2:$F$1289='2018-19_working'!M$7)*(raw!$E$2:$E$1289='2018-19_working'!$J$6)*(raw!$G$2:$G$1289))</f>
        <v>4</v>
      </c>
      <c r="N47" s="7">
        <f>SUMPRODUCT((raw!$B$2:$B$1289='2018-19_working'!$A47)*(raw!$F$2:$F$1289='2018-19_working'!N$7)*(raw!$E$2:$E$1289='2018-19_working'!$J$6)*(raw!$G$2:$G$1289))</f>
        <v>0</v>
      </c>
      <c r="O47" s="7">
        <f>SUMPRODUCT((raw!$B$2:$B$1289='2018-19_working'!$A47)*(raw!$F$2:$F$1289='2018-19_working'!O$7)*(raw!$E$2:$E$1289='2018-19_working'!$J$6)*(raw!$G$2:$G$1289))</f>
        <v>0</v>
      </c>
      <c r="P47" s="7">
        <f>SUMPRODUCT((raw!$B$2:$B$1289='2018-19_working'!$A47)*(raw!$F$2:$F$1289='2018-19_working'!P$7)*(raw!$E$2:$E$1289='2018-19_working'!$J$6)*(raw!$G$2:$G$1289))</f>
        <v>0</v>
      </c>
      <c r="R47" s="7">
        <f>SUMPRODUCT((raw!$B$2:$B$1289='2018-19_working'!$A47)*(raw!$F$2:$F$1289='2018-19_working'!R$7)*(raw!$E$2:$E$1289='2018-19_working'!$R$6)*(raw!$G$2:$G$1289))</f>
        <v>0</v>
      </c>
      <c r="S47" s="7">
        <f>SUMPRODUCT((raw!$B$2:$B$1289='2018-19_working'!$A47)*(raw!$F$2:$F$1289='2018-19_working'!S$7)*(raw!$E$2:$E$1289='2018-19_working'!$R$6)*(raw!$G$2:$G$1289))</f>
        <v>0</v>
      </c>
      <c r="T47" s="7">
        <f>SUMPRODUCT((raw!$B$2:$B$1289='2018-19_working'!$A47)*(raw!$F$2:$F$1289='2018-19_working'!T$7)*(raw!$E$2:$E$1289='2018-19_working'!$R$6)*(raw!$G$2:$G$1289))</f>
        <v>0</v>
      </c>
      <c r="U47" s="7">
        <f>SUMPRODUCT((raw!$B$2:$B$1289='2018-19_working'!$A47)*(raw!$F$2:$F$1289='2018-19_working'!U$7)*(raw!$E$2:$E$1289='2018-19_working'!$R$6)*(raw!$G$2:$G$1289))</f>
        <v>0</v>
      </c>
      <c r="V47" s="7">
        <f>SUMPRODUCT((raw!$B$2:$B$1289='2018-19_working'!$A47)*(raw!$F$2:$F$1289='2018-19_working'!V$7)*(raw!$E$2:$E$1289='2018-19_working'!$R$6)*(raw!$G$2:$G$1289))</f>
        <v>0</v>
      </c>
      <c r="W47" s="7">
        <f>SUMPRODUCT((raw!$B$2:$B$1289='2018-19_working'!$A47)*(raw!$F$2:$F$1289='2018-19_working'!W$7)*(raw!$E$2:$E$1289='2018-19_working'!$R$6)*(raw!$G$2:$G$1289))</f>
        <v>0</v>
      </c>
      <c r="X47" s="7">
        <f>SUMPRODUCT((raw!$B$2:$B$1289='2018-19_working'!$A47)*(raw!$F$2:$F$1289='2018-19_working'!X$7)*(raw!$E$2:$E$1289='2018-19_working'!$R$6)*(raw!$G$2:$G$1289))</f>
        <v>0</v>
      </c>
      <c r="Z47" s="7">
        <f>SUMPRODUCT((raw!$B$2:$B$1289='2018-19_working'!$A47)*(raw!$F$2:$F$1289='2018-19_working'!Z$7)*(raw!$E$2:$E$1289='2018-19_working'!$Z$6)*(raw!$G$2:$G$1289))</f>
        <v>0</v>
      </c>
      <c r="AA47" s="7">
        <f>SUMPRODUCT((raw!$B$2:$B$1289='2018-19_working'!$A47)*(raw!$F$2:$F$1289='2018-19_working'!AA$7)*(raw!$E$2:$E$1289='2018-19_working'!$Z$6)*(raw!$G$2:$G$1289))</f>
        <v>2</v>
      </c>
      <c r="AB47" s="7">
        <f>SUMPRODUCT((raw!$B$2:$B$1289='2018-19_working'!$A47)*(raw!$F$2:$F$1289='2018-19_working'!AB$7)*(raw!$E$2:$E$1289='2018-19_working'!$Z$6)*(raw!$G$2:$G$1289))</f>
        <v>5</v>
      </c>
      <c r="AC47" s="7">
        <f>SUMPRODUCT((raw!$B$2:$B$1289='2018-19_working'!$A47)*(raw!$F$2:$F$1289='2018-19_working'!AC$7)*(raw!$E$2:$E$1289='2018-19_working'!$Z$6)*(raw!$G$2:$G$1289))</f>
        <v>4</v>
      </c>
      <c r="AD47" s="7">
        <f>SUMPRODUCT((raw!$B$2:$B$1289='2018-19_working'!$A47)*(raw!$F$2:$F$1289='2018-19_working'!AD$7)*(raw!$E$2:$E$1289='2018-19_working'!$Z$6)*(raw!$G$2:$G$1289))</f>
        <v>0</v>
      </c>
      <c r="AE47" s="7">
        <f>SUMPRODUCT((raw!$B$2:$B$1289='2018-19_working'!$A47)*(raw!$F$2:$F$1289='2018-19_working'!AE$7)*(raw!$E$2:$E$1289='2018-19_working'!$Z$6)*(raw!$G$2:$G$1289))</f>
        <v>0</v>
      </c>
      <c r="AF47" s="7">
        <f>SUMPRODUCT((raw!$B$2:$B$1289='2018-19_working'!$A47)*(raw!$F$2:$F$1289='2018-19_working'!AF$7)*(raw!$E$2:$E$1289='2018-19_working'!$Z$6)*(raw!$G$2:$G$1289))</f>
        <v>0</v>
      </c>
    </row>
    <row r="48" spans="1:32" x14ac:dyDescent="0.35">
      <c r="A48" s="7" t="s">
        <v>53</v>
      </c>
      <c r="B48" s="7">
        <f>SUMPRODUCT((raw!$B$2:$B$1289='2018-19_working'!$A48)*(raw!$F$2:$F$1289='2018-19_working'!B$7)*(raw!$E$2:$E$1289='2018-19_working'!$B$6:$H$6)*(raw!$G$2:$G$1289))</f>
        <v>0</v>
      </c>
      <c r="C48" s="7">
        <f>SUMPRODUCT((raw!$B$2:$B$1289='2018-19_working'!$A48)*(raw!$F$2:$F$1289='2018-19_working'!C$7)*(raw!$E$2:$E$1289='2018-19_working'!$B$6:$H$6)*(raw!$G$2:$G$1289))</f>
        <v>0</v>
      </c>
      <c r="D48" s="7">
        <f>SUMPRODUCT((raw!$B$2:$B$1289='2018-19_working'!$A48)*(raw!$F$2:$F$1289='2018-19_working'!D$7)*(raw!$E$2:$E$1289='2018-19_working'!$B$6:$H$6)*(raw!$G$2:$G$1289))</f>
        <v>0</v>
      </c>
      <c r="E48" s="7">
        <f>SUMPRODUCT((raw!$B$2:$B$1289='2018-19_working'!$A48)*(raw!$F$2:$F$1289='2018-19_working'!E$7)*(raw!$E$2:$E$1289='2018-19_working'!$B$6:$H$6)*(raw!$G$2:$G$1289))</f>
        <v>0</v>
      </c>
      <c r="F48" s="7">
        <f>SUMPRODUCT((raw!$B$2:$B$1289='2018-19_working'!$A48)*(raw!$F$2:$F$1289='2018-19_working'!F$7)*(raw!$E$2:$E$1289='2018-19_working'!$B$6:$H$6)*(raw!$G$2:$G$1289))</f>
        <v>0</v>
      </c>
      <c r="G48" s="7">
        <f>SUMPRODUCT((raw!$B$2:$B$1289='2018-19_working'!$A48)*(raw!$F$2:$F$1289='2018-19_working'!G$7)*(raw!$E$2:$E$1289='2018-19_working'!$B$6:$H$6)*(raw!$G$2:$G$1289))</f>
        <v>0</v>
      </c>
      <c r="H48" s="7">
        <f>SUMPRODUCT((raw!$B$2:$B$1289='2018-19_working'!$A48)*(raw!$F$2:$F$1289='2018-19_working'!H$7)*(raw!$E$2:$E$1289='2018-19_working'!$B$6:$H$6)*(raw!$G$2:$G$1289))</f>
        <v>0</v>
      </c>
      <c r="J48" s="7">
        <f>SUMPRODUCT((raw!$B$2:$B$1289='2018-19_working'!$A48)*(raw!$F$2:$F$1289='2018-19_working'!J$7)*(raw!$E$2:$E$1289='2018-19_working'!$J$6)*(raw!$G$2:$G$1289))</f>
        <v>0</v>
      </c>
      <c r="K48" s="7">
        <f>SUMPRODUCT((raw!$B$2:$B$1289='2018-19_working'!$A48)*(raw!$F$2:$F$1289='2018-19_working'!K$7)*(raw!$E$2:$E$1289='2018-19_working'!$J$6)*(raw!$G$2:$G$1289))</f>
        <v>2</v>
      </c>
      <c r="L48" s="7">
        <f>SUMPRODUCT((raw!$B$2:$B$1289='2018-19_working'!$A48)*(raw!$F$2:$F$1289='2018-19_working'!L$7)*(raw!$E$2:$E$1289='2018-19_working'!$J$6)*(raw!$G$2:$G$1289))</f>
        <v>1</v>
      </c>
      <c r="M48" s="7">
        <f>SUMPRODUCT((raw!$B$2:$B$1289='2018-19_working'!$A48)*(raw!$F$2:$F$1289='2018-19_working'!M$7)*(raw!$E$2:$E$1289='2018-19_working'!$J$6)*(raw!$G$2:$G$1289))</f>
        <v>0</v>
      </c>
      <c r="N48" s="7">
        <f>SUMPRODUCT((raw!$B$2:$B$1289='2018-19_working'!$A48)*(raw!$F$2:$F$1289='2018-19_working'!N$7)*(raw!$E$2:$E$1289='2018-19_working'!$J$6)*(raw!$G$2:$G$1289))</f>
        <v>0</v>
      </c>
      <c r="O48" s="7">
        <f>SUMPRODUCT((raw!$B$2:$B$1289='2018-19_working'!$A48)*(raw!$F$2:$F$1289='2018-19_working'!O$7)*(raw!$E$2:$E$1289='2018-19_working'!$J$6)*(raw!$G$2:$G$1289))</f>
        <v>0</v>
      </c>
      <c r="P48" s="7">
        <f>SUMPRODUCT((raw!$B$2:$B$1289='2018-19_working'!$A48)*(raw!$F$2:$F$1289='2018-19_working'!P$7)*(raw!$E$2:$E$1289='2018-19_working'!$J$6)*(raw!$G$2:$G$1289))</f>
        <v>0</v>
      </c>
      <c r="R48" s="7">
        <f>SUMPRODUCT((raw!$B$2:$B$1289='2018-19_working'!$A48)*(raw!$F$2:$F$1289='2018-19_working'!R$7)*(raw!$E$2:$E$1289='2018-19_working'!$R$6)*(raw!$G$2:$G$1289))</f>
        <v>0</v>
      </c>
      <c r="S48" s="7">
        <f>SUMPRODUCT((raw!$B$2:$B$1289='2018-19_working'!$A48)*(raw!$F$2:$F$1289='2018-19_working'!S$7)*(raw!$E$2:$E$1289='2018-19_working'!$R$6)*(raw!$G$2:$G$1289))</f>
        <v>0</v>
      </c>
      <c r="T48" s="7">
        <f>SUMPRODUCT((raw!$B$2:$B$1289='2018-19_working'!$A48)*(raw!$F$2:$F$1289='2018-19_working'!T$7)*(raw!$E$2:$E$1289='2018-19_working'!$R$6)*(raw!$G$2:$G$1289))</f>
        <v>0</v>
      </c>
      <c r="U48" s="7">
        <f>SUMPRODUCT((raw!$B$2:$B$1289='2018-19_working'!$A48)*(raw!$F$2:$F$1289='2018-19_working'!U$7)*(raw!$E$2:$E$1289='2018-19_working'!$R$6)*(raw!$G$2:$G$1289))</f>
        <v>0</v>
      </c>
      <c r="V48" s="7">
        <f>SUMPRODUCT((raw!$B$2:$B$1289='2018-19_working'!$A48)*(raw!$F$2:$F$1289='2018-19_working'!V$7)*(raw!$E$2:$E$1289='2018-19_working'!$R$6)*(raw!$G$2:$G$1289))</f>
        <v>0</v>
      </c>
      <c r="W48" s="7">
        <f>SUMPRODUCT((raw!$B$2:$B$1289='2018-19_working'!$A48)*(raw!$F$2:$F$1289='2018-19_working'!W$7)*(raw!$E$2:$E$1289='2018-19_working'!$R$6)*(raw!$G$2:$G$1289))</f>
        <v>0</v>
      </c>
      <c r="X48" s="7">
        <f>SUMPRODUCT((raw!$B$2:$B$1289='2018-19_working'!$A48)*(raw!$F$2:$F$1289='2018-19_working'!X$7)*(raw!$E$2:$E$1289='2018-19_working'!$R$6)*(raw!$G$2:$G$1289))</f>
        <v>0</v>
      </c>
      <c r="Z48" s="7">
        <f>SUMPRODUCT((raw!$B$2:$B$1289='2018-19_working'!$A48)*(raw!$F$2:$F$1289='2018-19_working'!Z$7)*(raw!$E$2:$E$1289='2018-19_working'!$Z$6)*(raw!$G$2:$G$1289))</f>
        <v>0</v>
      </c>
      <c r="AA48" s="7">
        <f>SUMPRODUCT((raw!$B$2:$B$1289='2018-19_working'!$A48)*(raw!$F$2:$F$1289='2018-19_working'!AA$7)*(raw!$E$2:$E$1289='2018-19_working'!$Z$6)*(raw!$G$2:$G$1289))</f>
        <v>0</v>
      </c>
      <c r="AB48" s="7">
        <f>SUMPRODUCT((raw!$B$2:$B$1289='2018-19_working'!$A48)*(raw!$F$2:$F$1289='2018-19_working'!AB$7)*(raw!$E$2:$E$1289='2018-19_working'!$Z$6)*(raw!$G$2:$G$1289))</f>
        <v>0</v>
      </c>
      <c r="AC48" s="7">
        <f>SUMPRODUCT((raw!$B$2:$B$1289='2018-19_working'!$A48)*(raw!$F$2:$F$1289='2018-19_working'!AC$7)*(raw!$E$2:$E$1289='2018-19_working'!$Z$6)*(raw!$G$2:$G$1289))</f>
        <v>0</v>
      </c>
      <c r="AD48" s="7">
        <f>SUMPRODUCT((raw!$B$2:$B$1289='2018-19_working'!$A48)*(raw!$F$2:$F$1289='2018-19_working'!AD$7)*(raw!$E$2:$E$1289='2018-19_working'!$Z$6)*(raw!$G$2:$G$1289))</f>
        <v>1</v>
      </c>
      <c r="AE48" s="7">
        <f>SUMPRODUCT((raw!$B$2:$B$1289='2018-19_working'!$A48)*(raw!$F$2:$F$1289='2018-19_working'!AE$7)*(raw!$E$2:$E$1289='2018-19_working'!$Z$6)*(raw!$G$2:$G$1289))</f>
        <v>0</v>
      </c>
      <c r="AF48" s="7">
        <f>SUMPRODUCT((raw!$B$2:$B$1289='2018-19_working'!$A48)*(raw!$F$2:$F$1289='2018-19_working'!AF$7)*(raw!$E$2:$E$1289='2018-19_working'!$Z$6)*(raw!$G$2:$G$1289))</f>
        <v>0</v>
      </c>
    </row>
    <row r="49" spans="1:32" x14ac:dyDescent="0.35">
      <c r="A49" s="7" t="s">
        <v>54</v>
      </c>
      <c r="B49" s="7">
        <f>SUM(B50:B56)</f>
        <v>142</v>
      </c>
      <c r="C49" s="7">
        <f t="shared" ref="C49:H49" si="38">SUM(C50:C56)</f>
        <v>528</v>
      </c>
      <c r="D49" s="7">
        <f t="shared" si="38"/>
        <v>112</v>
      </c>
      <c r="E49" s="7">
        <f t="shared" si="38"/>
        <v>25</v>
      </c>
      <c r="F49" s="7">
        <f t="shared" si="38"/>
        <v>2</v>
      </c>
      <c r="G49" s="7">
        <f t="shared" si="38"/>
        <v>0</v>
      </c>
      <c r="H49" s="7">
        <f t="shared" si="38"/>
        <v>0</v>
      </c>
      <c r="J49" s="7">
        <f>SUM(J50:J56)</f>
        <v>7</v>
      </c>
      <c r="K49" s="7">
        <f t="shared" ref="K49" si="39">SUM(K50:K56)</f>
        <v>24</v>
      </c>
      <c r="L49" s="7">
        <f t="shared" ref="L49" si="40">SUM(L50:L56)</f>
        <v>14</v>
      </c>
      <c r="M49" s="7">
        <f t="shared" ref="M49" si="41">SUM(M50:M56)</f>
        <v>2</v>
      </c>
      <c r="N49" s="7">
        <f t="shared" ref="N49" si="42">SUM(N50:N56)</f>
        <v>1</v>
      </c>
      <c r="O49" s="7">
        <f t="shared" ref="O49" si="43">SUM(O50:O56)</f>
        <v>0</v>
      </c>
      <c r="P49" s="7">
        <f t="shared" ref="P49" si="44">SUM(P50:P56)</f>
        <v>0</v>
      </c>
      <c r="R49" s="7">
        <f>SUM(R50:R56)</f>
        <v>3</v>
      </c>
      <c r="S49" s="7">
        <f t="shared" ref="S49" si="45">SUM(S50:S56)</f>
        <v>6</v>
      </c>
      <c r="T49" s="7">
        <f t="shared" ref="T49" si="46">SUM(T50:T56)</f>
        <v>7</v>
      </c>
      <c r="U49" s="7">
        <f t="shared" ref="U49" si="47">SUM(U50:U56)</f>
        <v>4</v>
      </c>
      <c r="V49" s="7">
        <f t="shared" ref="V49" si="48">SUM(V50:V56)</f>
        <v>2</v>
      </c>
      <c r="W49" s="7">
        <f t="shared" ref="W49" si="49">SUM(W50:W56)</f>
        <v>0</v>
      </c>
      <c r="X49" s="7">
        <f t="shared" ref="X49" si="50">SUM(X50:X56)</f>
        <v>0</v>
      </c>
      <c r="Z49" s="7">
        <f>SUM(Z50:Z56)</f>
        <v>50</v>
      </c>
      <c r="AA49" s="7">
        <f t="shared" ref="AA49" si="51">SUM(AA50:AA56)</f>
        <v>104</v>
      </c>
      <c r="AB49" s="7">
        <f t="shared" ref="AB49" si="52">SUM(AB50:AB56)</f>
        <v>59</v>
      </c>
      <c r="AC49" s="7">
        <f t="shared" ref="AC49" si="53">SUM(AC50:AC56)</f>
        <v>80</v>
      </c>
      <c r="AD49" s="7">
        <f t="shared" ref="AD49" si="54">SUM(AD50:AD56)</f>
        <v>37</v>
      </c>
      <c r="AE49" s="7">
        <f t="shared" ref="AE49" si="55">SUM(AE50:AE56)</f>
        <v>4</v>
      </c>
      <c r="AF49" s="7">
        <f t="shared" ref="AF49" si="56">SUM(AF50:AF56)</f>
        <v>0</v>
      </c>
    </row>
    <row r="50" spans="1:32" x14ac:dyDescent="0.35">
      <c r="A50" s="7" t="s">
        <v>55</v>
      </c>
      <c r="B50" s="7">
        <f>SUMPRODUCT((raw!$B$2:$B$1289='2018-19_working'!$A50)*(raw!$F$2:$F$1289='2018-19_working'!B$7)*(raw!$E$2:$E$1289='2018-19_working'!$B$6:$H$6)*(raw!$G$2:$G$1289))</f>
        <v>28</v>
      </c>
      <c r="C50" s="7">
        <f>SUMPRODUCT((raw!$B$2:$B$1289='2018-19_working'!$A50)*(raw!$F$2:$F$1289='2018-19_working'!C$7)*(raw!$E$2:$E$1289='2018-19_working'!$B$6:$H$6)*(raw!$G$2:$G$1289))</f>
        <v>82</v>
      </c>
      <c r="D50" s="7">
        <f>SUMPRODUCT((raw!$B$2:$B$1289='2018-19_working'!$A50)*(raw!$F$2:$F$1289='2018-19_working'!D$7)*(raw!$E$2:$E$1289='2018-19_working'!$B$6:$H$6)*(raw!$G$2:$G$1289))</f>
        <v>14</v>
      </c>
      <c r="E50" s="7">
        <f>SUMPRODUCT((raw!$B$2:$B$1289='2018-19_working'!$A50)*(raw!$F$2:$F$1289='2018-19_working'!E$7)*(raw!$E$2:$E$1289='2018-19_working'!$B$6:$H$6)*(raw!$G$2:$G$1289))</f>
        <v>0</v>
      </c>
      <c r="F50" s="7">
        <f>SUMPRODUCT((raw!$B$2:$B$1289='2018-19_working'!$A50)*(raw!$F$2:$F$1289='2018-19_working'!F$7)*(raw!$E$2:$E$1289='2018-19_working'!$B$6:$H$6)*(raw!$G$2:$G$1289))</f>
        <v>1</v>
      </c>
      <c r="G50" s="7">
        <f>SUMPRODUCT((raw!$B$2:$B$1289='2018-19_working'!$A50)*(raw!$F$2:$F$1289='2018-19_working'!G$7)*(raw!$E$2:$E$1289='2018-19_working'!$B$6:$H$6)*(raw!$G$2:$G$1289))</f>
        <v>0</v>
      </c>
      <c r="H50" s="7">
        <f>SUMPRODUCT((raw!$B$2:$B$1289='2018-19_working'!$A50)*(raw!$F$2:$F$1289='2018-19_working'!H$7)*(raw!$E$2:$E$1289='2018-19_working'!$B$6:$H$6)*(raw!$G$2:$G$1289))</f>
        <v>0</v>
      </c>
      <c r="J50" s="7">
        <f>SUMPRODUCT((raw!$B$2:$B$1289='2018-19_working'!$A50)*(raw!$F$2:$F$1289='2018-19_working'!J$7)*(raw!$E$2:$E$1289='2018-19_working'!$J$6)*(raw!$G$2:$G$1289))</f>
        <v>0</v>
      </c>
      <c r="K50" s="7">
        <f>SUMPRODUCT((raw!$B$2:$B$1289='2018-19_working'!$A50)*(raw!$F$2:$F$1289='2018-19_working'!K$7)*(raw!$E$2:$E$1289='2018-19_working'!$J$6)*(raw!$G$2:$G$1289))</f>
        <v>0</v>
      </c>
      <c r="L50" s="7">
        <f>SUMPRODUCT((raw!$B$2:$B$1289='2018-19_working'!$A50)*(raw!$F$2:$F$1289='2018-19_working'!L$7)*(raw!$E$2:$E$1289='2018-19_working'!$J$6)*(raw!$G$2:$G$1289))</f>
        <v>0</v>
      </c>
      <c r="M50" s="7">
        <f>SUMPRODUCT((raw!$B$2:$B$1289='2018-19_working'!$A50)*(raw!$F$2:$F$1289='2018-19_working'!M$7)*(raw!$E$2:$E$1289='2018-19_working'!$J$6)*(raw!$G$2:$G$1289))</f>
        <v>0</v>
      </c>
      <c r="N50" s="7">
        <f>SUMPRODUCT((raw!$B$2:$B$1289='2018-19_working'!$A50)*(raw!$F$2:$F$1289='2018-19_working'!N$7)*(raw!$E$2:$E$1289='2018-19_working'!$J$6)*(raw!$G$2:$G$1289))</f>
        <v>0</v>
      </c>
      <c r="O50" s="7">
        <f>SUMPRODUCT((raw!$B$2:$B$1289='2018-19_working'!$A50)*(raw!$F$2:$F$1289='2018-19_working'!O$7)*(raw!$E$2:$E$1289='2018-19_working'!$J$6)*(raw!$G$2:$G$1289))</f>
        <v>0</v>
      </c>
      <c r="P50" s="7">
        <f>SUMPRODUCT((raw!$B$2:$B$1289='2018-19_working'!$A50)*(raw!$F$2:$F$1289='2018-19_working'!P$7)*(raw!$E$2:$E$1289='2018-19_working'!$J$6)*(raw!$G$2:$G$1289))</f>
        <v>0</v>
      </c>
      <c r="R50" s="7">
        <f>SUMPRODUCT((raw!$B$2:$B$1289='2018-19_working'!$A50)*(raw!$F$2:$F$1289='2018-19_working'!R$7)*(raw!$E$2:$E$1289='2018-19_working'!$R$6)*(raw!$G$2:$G$1289))</f>
        <v>0</v>
      </c>
      <c r="S50" s="7">
        <f>SUMPRODUCT((raw!$B$2:$B$1289='2018-19_working'!$A50)*(raw!$F$2:$F$1289='2018-19_working'!S$7)*(raw!$E$2:$E$1289='2018-19_working'!$R$6)*(raw!$G$2:$G$1289))</f>
        <v>0</v>
      </c>
      <c r="T50" s="7">
        <f>SUMPRODUCT((raw!$B$2:$B$1289='2018-19_working'!$A50)*(raw!$F$2:$F$1289='2018-19_working'!T$7)*(raw!$E$2:$E$1289='2018-19_working'!$R$6)*(raw!$G$2:$G$1289))</f>
        <v>0</v>
      </c>
      <c r="U50" s="7">
        <f>SUMPRODUCT((raw!$B$2:$B$1289='2018-19_working'!$A50)*(raw!$F$2:$F$1289='2018-19_working'!U$7)*(raw!$E$2:$E$1289='2018-19_working'!$R$6)*(raw!$G$2:$G$1289))</f>
        <v>0</v>
      </c>
      <c r="V50" s="7">
        <f>SUMPRODUCT((raw!$B$2:$B$1289='2018-19_working'!$A50)*(raw!$F$2:$F$1289='2018-19_working'!V$7)*(raw!$E$2:$E$1289='2018-19_working'!$R$6)*(raw!$G$2:$G$1289))</f>
        <v>0</v>
      </c>
      <c r="W50" s="7">
        <f>SUMPRODUCT((raw!$B$2:$B$1289='2018-19_working'!$A50)*(raw!$F$2:$F$1289='2018-19_working'!W$7)*(raw!$E$2:$E$1289='2018-19_working'!$R$6)*(raw!$G$2:$G$1289))</f>
        <v>0</v>
      </c>
      <c r="X50" s="7">
        <f>SUMPRODUCT((raw!$B$2:$B$1289='2018-19_working'!$A50)*(raw!$F$2:$F$1289='2018-19_working'!X$7)*(raw!$E$2:$E$1289='2018-19_working'!$R$6)*(raw!$G$2:$G$1289))</f>
        <v>0</v>
      </c>
      <c r="Z50" s="7">
        <f>SUMPRODUCT((raw!$B$2:$B$1289='2018-19_working'!$A50)*(raw!$F$2:$F$1289='2018-19_working'!Z$7)*(raw!$E$2:$E$1289='2018-19_working'!$Z$6)*(raw!$G$2:$G$1289))</f>
        <v>10</v>
      </c>
      <c r="AA50" s="7">
        <f>SUMPRODUCT((raw!$B$2:$B$1289='2018-19_working'!$A50)*(raw!$F$2:$F$1289='2018-19_working'!AA$7)*(raw!$E$2:$E$1289='2018-19_working'!$Z$6)*(raw!$G$2:$G$1289))</f>
        <v>17</v>
      </c>
      <c r="AB50" s="7">
        <f>SUMPRODUCT((raw!$B$2:$B$1289='2018-19_working'!$A50)*(raw!$F$2:$F$1289='2018-19_working'!AB$7)*(raw!$E$2:$E$1289='2018-19_working'!$Z$6)*(raw!$G$2:$G$1289))</f>
        <v>8</v>
      </c>
      <c r="AC50" s="7">
        <f>SUMPRODUCT((raw!$B$2:$B$1289='2018-19_working'!$A50)*(raw!$F$2:$F$1289='2018-19_working'!AC$7)*(raw!$E$2:$E$1289='2018-19_working'!$Z$6)*(raw!$G$2:$G$1289))</f>
        <v>16</v>
      </c>
      <c r="AD50" s="7">
        <f>SUMPRODUCT((raw!$B$2:$B$1289='2018-19_working'!$A50)*(raw!$F$2:$F$1289='2018-19_working'!AD$7)*(raw!$E$2:$E$1289='2018-19_working'!$Z$6)*(raw!$G$2:$G$1289))</f>
        <v>8</v>
      </c>
      <c r="AE50" s="7">
        <f>SUMPRODUCT((raw!$B$2:$B$1289='2018-19_working'!$A50)*(raw!$F$2:$F$1289='2018-19_working'!AE$7)*(raw!$E$2:$E$1289='2018-19_working'!$Z$6)*(raw!$G$2:$G$1289))</f>
        <v>0</v>
      </c>
      <c r="AF50" s="7">
        <f>SUMPRODUCT((raw!$B$2:$B$1289='2018-19_working'!$A50)*(raw!$F$2:$F$1289='2018-19_working'!AF$7)*(raw!$E$2:$E$1289='2018-19_working'!$Z$6)*(raw!$G$2:$G$1289))</f>
        <v>0</v>
      </c>
    </row>
    <row r="51" spans="1:32" x14ac:dyDescent="0.35">
      <c r="A51" s="7" t="s">
        <v>56</v>
      </c>
      <c r="B51" s="7">
        <f>SUMPRODUCT((raw!$B$2:$B$1289='2018-19_working'!$A51)*(raw!$F$2:$F$1289='2018-19_working'!B$7)*(raw!$E$2:$E$1289='2018-19_working'!$B$6:$H$6)*(raw!$G$2:$G$1289))</f>
        <v>5</v>
      </c>
      <c r="C51" s="7">
        <f>SUMPRODUCT((raw!$B$2:$B$1289='2018-19_working'!$A51)*(raw!$F$2:$F$1289='2018-19_working'!C$7)*(raw!$E$2:$E$1289='2018-19_working'!$B$6:$H$6)*(raw!$G$2:$G$1289))</f>
        <v>31</v>
      </c>
      <c r="D51" s="7">
        <f>SUMPRODUCT((raw!$B$2:$B$1289='2018-19_working'!$A51)*(raw!$F$2:$F$1289='2018-19_working'!D$7)*(raw!$E$2:$E$1289='2018-19_working'!$B$6:$H$6)*(raw!$G$2:$G$1289))</f>
        <v>12</v>
      </c>
      <c r="E51" s="7">
        <f>SUMPRODUCT((raw!$B$2:$B$1289='2018-19_working'!$A51)*(raw!$F$2:$F$1289='2018-19_working'!E$7)*(raw!$E$2:$E$1289='2018-19_working'!$B$6:$H$6)*(raw!$G$2:$G$1289))</f>
        <v>3</v>
      </c>
      <c r="F51" s="7">
        <f>SUMPRODUCT((raw!$B$2:$B$1289='2018-19_working'!$A51)*(raw!$F$2:$F$1289='2018-19_working'!F$7)*(raw!$E$2:$E$1289='2018-19_working'!$B$6:$H$6)*(raw!$G$2:$G$1289))</f>
        <v>0</v>
      </c>
      <c r="G51" s="7">
        <f>SUMPRODUCT((raw!$B$2:$B$1289='2018-19_working'!$A51)*(raw!$F$2:$F$1289='2018-19_working'!G$7)*(raw!$E$2:$E$1289='2018-19_working'!$B$6:$H$6)*(raw!$G$2:$G$1289))</f>
        <v>0</v>
      </c>
      <c r="H51" s="7">
        <f>SUMPRODUCT((raw!$B$2:$B$1289='2018-19_working'!$A51)*(raw!$F$2:$F$1289='2018-19_working'!H$7)*(raw!$E$2:$E$1289='2018-19_working'!$B$6:$H$6)*(raw!$G$2:$G$1289))</f>
        <v>0</v>
      </c>
      <c r="J51" s="7">
        <f>SUMPRODUCT((raw!$B$2:$B$1289='2018-19_working'!$A51)*(raw!$F$2:$F$1289='2018-19_working'!J$7)*(raw!$E$2:$E$1289='2018-19_working'!$J$6)*(raw!$G$2:$G$1289))</f>
        <v>2</v>
      </c>
      <c r="K51" s="7">
        <f>SUMPRODUCT((raw!$B$2:$B$1289='2018-19_working'!$A51)*(raw!$F$2:$F$1289='2018-19_working'!K$7)*(raw!$E$2:$E$1289='2018-19_working'!$J$6)*(raw!$G$2:$G$1289))</f>
        <v>14</v>
      </c>
      <c r="L51" s="7">
        <f>SUMPRODUCT((raw!$B$2:$B$1289='2018-19_working'!$A51)*(raw!$F$2:$F$1289='2018-19_working'!L$7)*(raw!$E$2:$E$1289='2018-19_working'!$J$6)*(raw!$G$2:$G$1289))</f>
        <v>9</v>
      </c>
      <c r="M51" s="7">
        <f>SUMPRODUCT((raw!$B$2:$B$1289='2018-19_working'!$A51)*(raw!$F$2:$F$1289='2018-19_working'!M$7)*(raw!$E$2:$E$1289='2018-19_working'!$J$6)*(raw!$G$2:$G$1289))</f>
        <v>0</v>
      </c>
      <c r="N51" s="7">
        <f>SUMPRODUCT((raw!$B$2:$B$1289='2018-19_working'!$A51)*(raw!$F$2:$F$1289='2018-19_working'!N$7)*(raw!$E$2:$E$1289='2018-19_working'!$J$6)*(raw!$G$2:$G$1289))</f>
        <v>0</v>
      </c>
      <c r="O51" s="7">
        <f>SUMPRODUCT((raw!$B$2:$B$1289='2018-19_working'!$A51)*(raw!$F$2:$F$1289='2018-19_working'!O$7)*(raw!$E$2:$E$1289='2018-19_working'!$J$6)*(raw!$G$2:$G$1289))</f>
        <v>0</v>
      </c>
      <c r="P51" s="7">
        <f>SUMPRODUCT((raw!$B$2:$B$1289='2018-19_working'!$A51)*(raw!$F$2:$F$1289='2018-19_working'!P$7)*(raw!$E$2:$E$1289='2018-19_working'!$J$6)*(raw!$G$2:$G$1289))</f>
        <v>0</v>
      </c>
      <c r="R51" s="7">
        <f>SUMPRODUCT((raw!$B$2:$B$1289='2018-19_working'!$A51)*(raw!$F$2:$F$1289='2018-19_working'!R$7)*(raw!$E$2:$E$1289='2018-19_working'!$R$6)*(raw!$G$2:$G$1289))</f>
        <v>1</v>
      </c>
      <c r="S51" s="7">
        <f>SUMPRODUCT((raw!$B$2:$B$1289='2018-19_working'!$A51)*(raw!$F$2:$F$1289='2018-19_working'!S$7)*(raw!$E$2:$E$1289='2018-19_working'!$R$6)*(raw!$G$2:$G$1289))</f>
        <v>1</v>
      </c>
      <c r="T51" s="7">
        <f>SUMPRODUCT((raw!$B$2:$B$1289='2018-19_working'!$A51)*(raw!$F$2:$F$1289='2018-19_working'!T$7)*(raw!$E$2:$E$1289='2018-19_working'!$R$6)*(raw!$G$2:$G$1289))</f>
        <v>1</v>
      </c>
      <c r="U51" s="7">
        <f>SUMPRODUCT((raw!$B$2:$B$1289='2018-19_working'!$A51)*(raw!$F$2:$F$1289='2018-19_working'!U$7)*(raw!$E$2:$E$1289='2018-19_working'!$R$6)*(raw!$G$2:$G$1289))</f>
        <v>2</v>
      </c>
      <c r="V51" s="7">
        <f>SUMPRODUCT((raw!$B$2:$B$1289='2018-19_working'!$A51)*(raw!$F$2:$F$1289='2018-19_working'!V$7)*(raw!$E$2:$E$1289='2018-19_working'!$R$6)*(raw!$G$2:$G$1289))</f>
        <v>2</v>
      </c>
      <c r="W51" s="7">
        <f>SUMPRODUCT((raw!$B$2:$B$1289='2018-19_working'!$A51)*(raw!$F$2:$F$1289='2018-19_working'!W$7)*(raw!$E$2:$E$1289='2018-19_working'!$R$6)*(raw!$G$2:$G$1289))</f>
        <v>0</v>
      </c>
      <c r="X51" s="7">
        <f>SUMPRODUCT((raw!$B$2:$B$1289='2018-19_working'!$A51)*(raw!$F$2:$F$1289='2018-19_working'!X$7)*(raw!$E$2:$E$1289='2018-19_working'!$R$6)*(raw!$G$2:$G$1289))</f>
        <v>0</v>
      </c>
      <c r="Z51" s="7">
        <f>SUMPRODUCT((raw!$B$2:$B$1289='2018-19_working'!$A51)*(raw!$F$2:$F$1289='2018-19_working'!Z$7)*(raw!$E$2:$E$1289='2018-19_working'!$Z$6)*(raw!$G$2:$G$1289))</f>
        <v>18</v>
      </c>
      <c r="AA51" s="7">
        <f>SUMPRODUCT((raw!$B$2:$B$1289='2018-19_working'!$A51)*(raw!$F$2:$F$1289='2018-19_working'!AA$7)*(raw!$E$2:$E$1289='2018-19_working'!$Z$6)*(raw!$G$2:$G$1289))</f>
        <v>11</v>
      </c>
      <c r="AB51" s="7">
        <f>SUMPRODUCT((raw!$B$2:$B$1289='2018-19_working'!$A51)*(raw!$F$2:$F$1289='2018-19_working'!AB$7)*(raw!$E$2:$E$1289='2018-19_working'!$Z$6)*(raw!$G$2:$G$1289))</f>
        <v>6</v>
      </c>
      <c r="AC51" s="7">
        <f>SUMPRODUCT((raw!$B$2:$B$1289='2018-19_working'!$A51)*(raw!$F$2:$F$1289='2018-19_working'!AC$7)*(raw!$E$2:$E$1289='2018-19_working'!$Z$6)*(raw!$G$2:$G$1289))</f>
        <v>17</v>
      </c>
      <c r="AD51" s="7">
        <f>SUMPRODUCT((raw!$B$2:$B$1289='2018-19_working'!$A51)*(raw!$F$2:$F$1289='2018-19_working'!AD$7)*(raw!$E$2:$E$1289='2018-19_working'!$Z$6)*(raw!$G$2:$G$1289))</f>
        <v>2</v>
      </c>
      <c r="AE51" s="7">
        <f>SUMPRODUCT((raw!$B$2:$B$1289='2018-19_working'!$A51)*(raw!$F$2:$F$1289='2018-19_working'!AE$7)*(raw!$E$2:$E$1289='2018-19_working'!$Z$6)*(raw!$G$2:$G$1289))</f>
        <v>1</v>
      </c>
      <c r="AF51" s="7">
        <f>SUMPRODUCT((raw!$B$2:$B$1289='2018-19_working'!$A51)*(raw!$F$2:$F$1289='2018-19_working'!AF$7)*(raw!$E$2:$E$1289='2018-19_working'!$Z$6)*(raw!$G$2:$G$1289))</f>
        <v>0</v>
      </c>
    </row>
    <row r="52" spans="1:32" x14ac:dyDescent="0.35">
      <c r="A52" s="7" t="s">
        <v>57</v>
      </c>
      <c r="B52" s="7">
        <f>SUMPRODUCT((raw!$B$2:$B$1289='2018-19_working'!$A52)*(raw!$F$2:$F$1289='2018-19_working'!B$7)*(raw!$E$2:$E$1289='2018-19_working'!$B$6:$H$6)*(raw!$G$2:$G$1289))</f>
        <v>5</v>
      </c>
      <c r="C52" s="7">
        <f>SUMPRODUCT((raw!$B$2:$B$1289='2018-19_working'!$A52)*(raw!$F$2:$F$1289='2018-19_working'!C$7)*(raw!$E$2:$E$1289='2018-19_working'!$B$6:$H$6)*(raw!$G$2:$G$1289))</f>
        <v>15</v>
      </c>
      <c r="D52" s="7">
        <f>SUMPRODUCT((raw!$B$2:$B$1289='2018-19_working'!$A52)*(raw!$F$2:$F$1289='2018-19_working'!D$7)*(raw!$E$2:$E$1289='2018-19_working'!$B$6:$H$6)*(raw!$G$2:$G$1289))</f>
        <v>3</v>
      </c>
      <c r="E52" s="7">
        <f>SUMPRODUCT((raw!$B$2:$B$1289='2018-19_working'!$A52)*(raw!$F$2:$F$1289='2018-19_working'!E$7)*(raw!$E$2:$E$1289='2018-19_working'!$B$6:$H$6)*(raw!$G$2:$G$1289))</f>
        <v>0</v>
      </c>
      <c r="F52" s="7">
        <f>SUMPRODUCT((raw!$B$2:$B$1289='2018-19_working'!$A52)*(raw!$F$2:$F$1289='2018-19_working'!F$7)*(raw!$E$2:$E$1289='2018-19_working'!$B$6:$H$6)*(raw!$G$2:$G$1289))</f>
        <v>0</v>
      </c>
      <c r="G52" s="7">
        <f>SUMPRODUCT((raw!$B$2:$B$1289='2018-19_working'!$A52)*(raw!$F$2:$F$1289='2018-19_working'!G$7)*(raw!$E$2:$E$1289='2018-19_working'!$B$6:$H$6)*(raw!$G$2:$G$1289))</f>
        <v>0</v>
      </c>
      <c r="H52" s="7">
        <f>SUMPRODUCT((raw!$B$2:$B$1289='2018-19_working'!$A52)*(raw!$F$2:$F$1289='2018-19_working'!H$7)*(raw!$E$2:$E$1289='2018-19_working'!$B$6:$H$6)*(raw!$G$2:$G$1289))</f>
        <v>0</v>
      </c>
      <c r="J52" s="7">
        <f>SUMPRODUCT((raw!$B$2:$B$1289='2018-19_working'!$A52)*(raw!$F$2:$F$1289='2018-19_working'!J$7)*(raw!$E$2:$E$1289='2018-19_working'!$J$6)*(raw!$G$2:$G$1289))</f>
        <v>0</v>
      </c>
      <c r="K52" s="7">
        <f>SUMPRODUCT((raw!$B$2:$B$1289='2018-19_working'!$A52)*(raw!$F$2:$F$1289='2018-19_working'!K$7)*(raw!$E$2:$E$1289='2018-19_working'!$J$6)*(raw!$G$2:$G$1289))</f>
        <v>0</v>
      </c>
      <c r="L52" s="7">
        <f>SUMPRODUCT((raw!$B$2:$B$1289='2018-19_working'!$A52)*(raw!$F$2:$F$1289='2018-19_working'!L$7)*(raw!$E$2:$E$1289='2018-19_working'!$J$6)*(raw!$G$2:$G$1289))</f>
        <v>1</v>
      </c>
      <c r="M52" s="7">
        <f>SUMPRODUCT((raw!$B$2:$B$1289='2018-19_working'!$A52)*(raw!$F$2:$F$1289='2018-19_working'!M$7)*(raw!$E$2:$E$1289='2018-19_working'!$J$6)*(raw!$G$2:$G$1289))</f>
        <v>0</v>
      </c>
      <c r="N52" s="7">
        <f>SUMPRODUCT((raw!$B$2:$B$1289='2018-19_working'!$A52)*(raw!$F$2:$F$1289='2018-19_working'!N$7)*(raw!$E$2:$E$1289='2018-19_working'!$J$6)*(raw!$G$2:$G$1289))</f>
        <v>0</v>
      </c>
      <c r="O52" s="7">
        <f>SUMPRODUCT((raw!$B$2:$B$1289='2018-19_working'!$A52)*(raw!$F$2:$F$1289='2018-19_working'!O$7)*(raw!$E$2:$E$1289='2018-19_working'!$J$6)*(raw!$G$2:$G$1289))</f>
        <v>0</v>
      </c>
      <c r="P52" s="7">
        <f>SUMPRODUCT((raw!$B$2:$B$1289='2018-19_working'!$A52)*(raw!$F$2:$F$1289='2018-19_working'!P$7)*(raw!$E$2:$E$1289='2018-19_working'!$J$6)*(raw!$G$2:$G$1289))</f>
        <v>0</v>
      </c>
      <c r="R52" s="7">
        <f>SUMPRODUCT((raw!$B$2:$B$1289='2018-19_working'!$A52)*(raw!$F$2:$F$1289='2018-19_working'!R$7)*(raw!$E$2:$E$1289='2018-19_working'!$R$6)*(raw!$G$2:$G$1289))</f>
        <v>0</v>
      </c>
      <c r="S52" s="7">
        <f>SUMPRODUCT((raw!$B$2:$B$1289='2018-19_working'!$A52)*(raw!$F$2:$F$1289='2018-19_working'!S$7)*(raw!$E$2:$E$1289='2018-19_working'!$R$6)*(raw!$G$2:$G$1289))</f>
        <v>0</v>
      </c>
      <c r="T52" s="7">
        <f>SUMPRODUCT((raw!$B$2:$B$1289='2018-19_working'!$A52)*(raw!$F$2:$F$1289='2018-19_working'!T$7)*(raw!$E$2:$E$1289='2018-19_working'!$R$6)*(raw!$G$2:$G$1289))</f>
        <v>0</v>
      </c>
      <c r="U52" s="7">
        <f>SUMPRODUCT((raw!$B$2:$B$1289='2018-19_working'!$A52)*(raw!$F$2:$F$1289='2018-19_working'!U$7)*(raw!$E$2:$E$1289='2018-19_working'!$R$6)*(raw!$G$2:$G$1289))</f>
        <v>0</v>
      </c>
      <c r="V52" s="7">
        <f>SUMPRODUCT((raw!$B$2:$B$1289='2018-19_working'!$A52)*(raw!$F$2:$F$1289='2018-19_working'!V$7)*(raw!$E$2:$E$1289='2018-19_working'!$R$6)*(raw!$G$2:$G$1289))</f>
        <v>0</v>
      </c>
      <c r="W52" s="7">
        <f>SUMPRODUCT((raw!$B$2:$B$1289='2018-19_working'!$A52)*(raw!$F$2:$F$1289='2018-19_working'!W$7)*(raw!$E$2:$E$1289='2018-19_working'!$R$6)*(raw!$G$2:$G$1289))</f>
        <v>0</v>
      </c>
      <c r="X52" s="7">
        <f>SUMPRODUCT((raw!$B$2:$B$1289='2018-19_working'!$A52)*(raw!$F$2:$F$1289='2018-19_working'!X$7)*(raw!$E$2:$E$1289='2018-19_working'!$R$6)*(raw!$G$2:$G$1289))</f>
        <v>0</v>
      </c>
      <c r="Z52" s="7">
        <f>SUMPRODUCT((raw!$B$2:$B$1289='2018-19_working'!$A52)*(raw!$F$2:$F$1289='2018-19_working'!Z$7)*(raw!$E$2:$E$1289='2018-19_working'!$Z$6)*(raw!$G$2:$G$1289))</f>
        <v>1</v>
      </c>
      <c r="AA52" s="7">
        <f>SUMPRODUCT((raw!$B$2:$B$1289='2018-19_working'!$A52)*(raw!$F$2:$F$1289='2018-19_working'!AA$7)*(raw!$E$2:$E$1289='2018-19_working'!$Z$6)*(raw!$G$2:$G$1289))</f>
        <v>8</v>
      </c>
      <c r="AB52" s="7">
        <f>SUMPRODUCT((raw!$B$2:$B$1289='2018-19_working'!$A52)*(raw!$F$2:$F$1289='2018-19_working'!AB$7)*(raw!$E$2:$E$1289='2018-19_working'!$Z$6)*(raw!$G$2:$G$1289))</f>
        <v>1</v>
      </c>
      <c r="AC52" s="7">
        <f>SUMPRODUCT((raw!$B$2:$B$1289='2018-19_working'!$A52)*(raw!$F$2:$F$1289='2018-19_working'!AC$7)*(raw!$E$2:$E$1289='2018-19_working'!$Z$6)*(raw!$G$2:$G$1289))</f>
        <v>4</v>
      </c>
      <c r="AD52" s="7">
        <f>SUMPRODUCT((raw!$B$2:$B$1289='2018-19_working'!$A52)*(raw!$F$2:$F$1289='2018-19_working'!AD$7)*(raw!$E$2:$E$1289='2018-19_working'!$Z$6)*(raw!$G$2:$G$1289))</f>
        <v>2</v>
      </c>
      <c r="AE52" s="7">
        <f>SUMPRODUCT((raw!$B$2:$B$1289='2018-19_working'!$A52)*(raw!$F$2:$F$1289='2018-19_working'!AE$7)*(raw!$E$2:$E$1289='2018-19_working'!$Z$6)*(raw!$G$2:$G$1289))</f>
        <v>1</v>
      </c>
      <c r="AF52" s="7">
        <f>SUMPRODUCT((raw!$B$2:$B$1289='2018-19_working'!$A52)*(raw!$F$2:$F$1289='2018-19_working'!AF$7)*(raw!$E$2:$E$1289='2018-19_working'!$Z$6)*(raw!$G$2:$G$1289))</f>
        <v>0</v>
      </c>
    </row>
    <row r="53" spans="1:32" x14ac:dyDescent="0.35">
      <c r="A53" s="7" t="s">
        <v>58</v>
      </c>
      <c r="B53" s="7">
        <f>SUMPRODUCT((raw!$B$2:$B$1289='2018-19_working'!$A53)*(raw!$F$2:$F$1289='2018-19_working'!B$7)*(raw!$E$2:$E$1289='2018-19_working'!$B$6:$H$6)*(raw!$G$2:$G$1289))</f>
        <v>4</v>
      </c>
      <c r="C53" s="7">
        <f>SUMPRODUCT((raw!$B$2:$B$1289='2018-19_working'!$A53)*(raw!$F$2:$F$1289='2018-19_working'!C$7)*(raw!$E$2:$E$1289='2018-19_working'!$B$6:$H$6)*(raw!$G$2:$G$1289))</f>
        <v>13</v>
      </c>
      <c r="D53" s="7">
        <f>SUMPRODUCT((raw!$B$2:$B$1289='2018-19_working'!$A53)*(raw!$F$2:$F$1289='2018-19_working'!D$7)*(raw!$E$2:$E$1289='2018-19_working'!$B$6:$H$6)*(raw!$G$2:$G$1289))</f>
        <v>8</v>
      </c>
      <c r="E53" s="7">
        <f>SUMPRODUCT((raw!$B$2:$B$1289='2018-19_working'!$A53)*(raw!$F$2:$F$1289='2018-19_working'!E$7)*(raw!$E$2:$E$1289='2018-19_working'!$B$6:$H$6)*(raw!$G$2:$G$1289))</f>
        <v>1</v>
      </c>
      <c r="F53" s="7">
        <f>SUMPRODUCT((raw!$B$2:$B$1289='2018-19_working'!$A53)*(raw!$F$2:$F$1289='2018-19_working'!F$7)*(raw!$E$2:$E$1289='2018-19_working'!$B$6:$H$6)*(raw!$G$2:$G$1289))</f>
        <v>0</v>
      </c>
      <c r="G53" s="7">
        <f>SUMPRODUCT((raw!$B$2:$B$1289='2018-19_working'!$A53)*(raw!$F$2:$F$1289='2018-19_working'!G$7)*(raw!$E$2:$E$1289='2018-19_working'!$B$6:$H$6)*(raw!$G$2:$G$1289))</f>
        <v>0</v>
      </c>
      <c r="H53" s="7">
        <f>SUMPRODUCT((raw!$B$2:$B$1289='2018-19_working'!$A53)*(raw!$F$2:$F$1289='2018-19_working'!H$7)*(raw!$E$2:$E$1289='2018-19_working'!$B$6:$H$6)*(raw!$G$2:$G$1289))</f>
        <v>0</v>
      </c>
      <c r="J53" s="7">
        <f>SUMPRODUCT((raw!$B$2:$B$1289='2018-19_working'!$A53)*(raw!$F$2:$F$1289='2018-19_working'!J$7)*(raw!$E$2:$E$1289='2018-19_working'!$J$6)*(raw!$G$2:$G$1289))</f>
        <v>0</v>
      </c>
      <c r="K53" s="7">
        <f>SUMPRODUCT((raw!$B$2:$B$1289='2018-19_working'!$A53)*(raw!$F$2:$F$1289='2018-19_working'!K$7)*(raw!$E$2:$E$1289='2018-19_working'!$J$6)*(raw!$G$2:$G$1289))</f>
        <v>0</v>
      </c>
      <c r="L53" s="7">
        <f>SUMPRODUCT((raw!$B$2:$B$1289='2018-19_working'!$A53)*(raw!$F$2:$F$1289='2018-19_working'!L$7)*(raw!$E$2:$E$1289='2018-19_working'!$J$6)*(raw!$G$2:$G$1289))</f>
        <v>0</v>
      </c>
      <c r="M53" s="7">
        <f>SUMPRODUCT((raw!$B$2:$B$1289='2018-19_working'!$A53)*(raw!$F$2:$F$1289='2018-19_working'!M$7)*(raw!$E$2:$E$1289='2018-19_working'!$J$6)*(raw!$G$2:$G$1289))</f>
        <v>0</v>
      </c>
      <c r="N53" s="7">
        <f>SUMPRODUCT((raw!$B$2:$B$1289='2018-19_working'!$A53)*(raw!$F$2:$F$1289='2018-19_working'!N$7)*(raw!$E$2:$E$1289='2018-19_working'!$J$6)*(raw!$G$2:$G$1289))</f>
        <v>0</v>
      </c>
      <c r="O53" s="7">
        <f>SUMPRODUCT((raw!$B$2:$B$1289='2018-19_working'!$A53)*(raw!$F$2:$F$1289='2018-19_working'!O$7)*(raw!$E$2:$E$1289='2018-19_working'!$J$6)*(raw!$G$2:$G$1289))</f>
        <v>0</v>
      </c>
      <c r="P53" s="7">
        <f>SUMPRODUCT((raw!$B$2:$B$1289='2018-19_working'!$A53)*(raw!$F$2:$F$1289='2018-19_working'!P$7)*(raw!$E$2:$E$1289='2018-19_working'!$J$6)*(raw!$G$2:$G$1289))</f>
        <v>0</v>
      </c>
      <c r="R53" s="7">
        <f>SUMPRODUCT((raw!$B$2:$B$1289='2018-19_working'!$A53)*(raw!$F$2:$F$1289='2018-19_working'!R$7)*(raw!$E$2:$E$1289='2018-19_working'!$R$6)*(raw!$G$2:$G$1289))</f>
        <v>0</v>
      </c>
      <c r="S53" s="7">
        <f>SUMPRODUCT((raw!$B$2:$B$1289='2018-19_working'!$A53)*(raw!$F$2:$F$1289='2018-19_working'!S$7)*(raw!$E$2:$E$1289='2018-19_working'!$R$6)*(raw!$G$2:$G$1289))</f>
        <v>1</v>
      </c>
      <c r="T53" s="7">
        <f>SUMPRODUCT((raw!$B$2:$B$1289='2018-19_working'!$A53)*(raw!$F$2:$F$1289='2018-19_working'!T$7)*(raw!$E$2:$E$1289='2018-19_working'!$R$6)*(raw!$G$2:$G$1289))</f>
        <v>4</v>
      </c>
      <c r="U53" s="7">
        <f>SUMPRODUCT((raw!$B$2:$B$1289='2018-19_working'!$A53)*(raw!$F$2:$F$1289='2018-19_working'!U$7)*(raw!$E$2:$E$1289='2018-19_working'!$R$6)*(raw!$G$2:$G$1289))</f>
        <v>0</v>
      </c>
      <c r="V53" s="7">
        <f>SUMPRODUCT((raw!$B$2:$B$1289='2018-19_working'!$A53)*(raw!$F$2:$F$1289='2018-19_working'!V$7)*(raw!$E$2:$E$1289='2018-19_working'!$R$6)*(raw!$G$2:$G$1289))</f>
        <v>0</v>
      </c>
      <c r="W53" s="7">
        <f>SUMPRODUCT((raw!$B$2:$B$1289='2018-19_working'!$A53)*(raw!$F$2:$F$1289='2018-19_working'!W$7)*(raw!$E$2:$E$1289='2018-19_working'!$R$6)*(raw!$G$2:$G$1289))</f>
        <v>0</v>
      </c>
      <c r="X53" s="7">
        <f>SUMPRODUCT((raw!$B$2:$B$1289='2018-19_working'!$A53)*(raw!$F$2:$F$1289='2018-19_working'!X$7)*(raw!$E$2:$E$1289='2018-19_working'!$R$6)*(raw!$G$2:$G$1289))</f>
        <v>0</v>
      </c>
      <c r="Z53" s="7">
        <f>SUMPRODUCT((raw!$B$2:$B$1289='2018-19_working'!$A53)*(raw!$F$2:$F$1289='2018-19_working'!Z$7)*(raw!$E$2:$E$1289='2018-19_working'!$Z$6)*(raw!$G$2:$G$1289))</f>
        <v>3</v>
      </c>
      <c r="AA53" s="7">
        <f>SUMPRODUCT((raw!$B$2:$B$1289='2018-19_working'!$A53)*(raw!$F$2:$F$1289='2018-19_working'!AA$7)*(raw!$E$2:$E$1289='2018-19_working'!$Z$6)*(raw!$G$2:$G$1289))</f>
        <v>8</v>
      </c>
      <c r="AB53" s="7">
        <f>SUMPRODUCT((raw!$B$2:$B$1289='2018-19_working'!$A53)*(raw!$F$2:$F$1289='2018-19_working'!AB$7)*(raw!$E$2:$E$1289='2018-19_working'!$Z$6)*(raw!$G$2:$G$1289))</f>
        <v>8</v>
      </c>
      <c r="AC53" s="7">
        <f>SUMPRODUCT((raw!$B$2:$B$1289='2018-19_working'!$A53)*(raw!$F$2:$F$1289='2018-19_working'!AC$7)*(raw!$E$2:$E$1289='2018-19_working'!$Z$6)*(raw!$G$2:$G$1289))</f>
        <v>5</v>
      </c>
      <c r="AD53" s="7">
        <f>SUMPRODUCT((raw!$B$2:$B$1289='2018-19_working'!$A53)*(raw!$F$2:$F$1289='2018-19_working'!AD$7)*(raw!$E$2:$E$1289='2018-19_working'!$Z$6)*(raw!$G$2:$G$1289))</f>
        <v>6</v>
      </c>
      <c r="AE53" s="7">
        <f>SUMPRODUCT((raw!$B$2:$B$1289='2018-19_working'!$A53)*(raw!$F$2:$F$1289='2018-19_working'!AE$7)*(raw!$E$2:$E$1289='2018-19_working'!$Z$6)*(raw!$G$2:$G$1289))</f>
        <v>1</v>
      </c>
      <c r="AF53" s="7">
        <f>SUMPRODUCT((raw!$B$2:$B$1289='2018-19_working'!$A53)*(raw!$F$2:$F$1289='2018-19_working'!AF$7)*(raw!$E$2:$E$1289='2018-19_working'!$Z$6)*(raw!$G$2:$G$1289))</f>
        <v>0</v>
      </c>
    </row>
    <row r="54" spans="1:32" x14ac:dyDescent="0.35">
      <c r="A54" s="7" t="s">
        <v>59</v>
      </c>
      <c r="B54" s="7">
        <f>SUMPRODUCT((raw!$B$2:$B$1289='2018-19_working'!$A54)*(raw!$F$2:$F$1289='2018-19_working'!B$7)*(raw!$E$2:$E$1289='2018-19_working'!$B$6:$H$6)*(raw!$G$2:$G$1289))</f>
        <v>11</v>
      </c>
      <c r="C54" s="7">
        <f>SUMPRODUCT((raw!$B$2:$B$1289='2018-19_working'!$A54)*(raw!$F$2:$F$1289='2018-19_working'!C$7)*(raw!$E$2:$E$1289='2018-19_working'!$B$6:$H$6)*(raw!$G$2:$G$1289))</f>
        <v>59</v>
      </c>
      <c r="D54" s="7">
        <f>SUMPRODUCT((raw!$B$2:$B$1289='2018-19_working'!$A54)*(raw!$F$2:$F$1289='2018-19_working'!D$7)*(raw!$E$2:$E$1289='2018-19_working'!$B$6:$H$6)*(raw!$G$2:$G$1289))</f>
        <v>17</v>
      </c>
      <c r="E54" s="7">
        <f>SUMPRODUCT((raw!$B$2:$B$1289='2018-19_working'!$A54)*(raw!$F$2:$F$1289='2018-19_working'!E$7)*(raw!$E$2:$E$1289='2018-19_working'!$B$6:$H$6)*(raw!$G$2:$G$1289))</f>
        <v>3</v>
      </c>
      <c r="F54" s="7">
        <f>SUMPRODUCT((raw!$B$2:$B$1289='2018-19_working'!$A54)*(raw!$F$2:$F$1289='2018-19_working'!F$7)*(raw!$E$2:$E$1289='2018-19_working'!$B$6:$H$6)*(raw!$G$2:$G$1289))</f>
        <v>0</v>
      </c>
      <c r="G54" s="7">
        <f>SUMPRODUCT((raw!$B$2:$B$1289='2018-19_working'!$A54)*(raw!$F$2:$F$1289='2018-19_working'!G$7)*(raw!$E$2:$E$1289='2018-19_working'!$B$6:$H$6)*(raw!$G$2:$G$1289))</f>
        <v>0</v>
      </c>
      <c r="H54" s="7">
        <f>SUMPRODUCT((raw!$B$2:$B$1289='2018-19_working'!$A54)*(raw!$F$2:$F$1289='2018-19_working'!H$7)*(raw!$E$2:$E$1289='2018-19_working'!$B$6:$H$6)*(raw!$G$2:$G$1289))</f>
        <v>0</v>
      </c>
      <c r="J54" s="7">
        <f>SUMPRODUCT((raw!$B$2:$B$1289='2018-19_working'!$A54)*(raw!$F$2:$F$1289='2018-19_working'!J$7)*(raw!$E$2:$E$1289='2018-19_working'!$J$6)*(raw!$G$2:$G$1289))</f>
        <v>0</v>
      </c>
      <c r="K54" s="7">
        <f>SUMPRODUCT((raw!$B$2:$B$1289='2018-19_working'!$A54)*(raw!$F$2:$F$1289='2018-19_working'!K$7)*(raw!$E$2:$E$1289='2018-19_working'!$J$6)*(raw!$G$2:$G$1289))</f>
        <v>0</v>
      </c>
      <c r="L54" s="7">
        <f>SUMPRODUCT((raw!$B$2:$B$1289='2018-19_working'!$A54)*(raw!$F$2:$F$1289='2018-19_working'!L$7)*(raw!$E$2:$E$1289='2018-19_working'!$J$6)*(raw!$G$2:$G$1289))</f>
        <v>0</v>
      </c>
      <c r="M54" s="7">
        <f>SUMPRODUCT((raw!$B$2:$B$1289='2018-19_working'!$A54)*(raw!$F$2:$F$1289='2018-19_working'!M$7)*(raw!$E$2:$E$1289='2018-19_working'!$J$6)*(raw!$G$2:$G$1289))</f>
        <v>0</v>
      </c>
      <c r="N54" s="7">
        <f>SUMPRODUCT((raw!$B$2:$B$1289='2018-19_working'!$A54)*(raw!$F$2:$F$1289='2018-19_working'!N$7)*(raw!$E$2:$E$1289='2018-19_working'!$J$6)*(raw!$G$2:$G$1289))</f>
        <v>0</v>
      </c>
      <c r="O54" s="7">
        <f>SUMPRODUCT((raw!$B$2:$B$1289='2018-19_working'!$A54)*(raw!$F$2:$F$1289='2018-19_working'!O$7)*(raw!$E$2:$E$1289='2018-19_working'!$J$6)*(raw!$G$2:$G$1289))</f>
        <v>0</v>
      </c>
      <c r="P54" s="7">
        <f>SUMPRODUCT((raw!$B$2:$B$1289='2018-19_working'!$A54)*(raw!$F$2:$F$1289='2018-19_working'!P$7)*(raw!$E$2:$E$1289='2018-19_working'!$J$6)*(raw!$G$2:$G$1289))</f>
        <v>0</v>
      </c>
      <c r="R54" s="7">
        <f>SUMPRODUCT((raw!$B$2:$B$1289='2018-19_working'!$A54)*(raw!$F$2:$F$1289='2018-19_working'!R$7)*(raw!$E$2:$E$1289='2018-19_working'!$R$6)*(raw!$G$2:$G$1289))</f>
        <v>0</v>
      </c>
      <c r="S54" s="7">
        <f>SUMPRODUCT((raw!$B$2:$B$1289='2018-19_working'!$A54)*(raw!$F$2:$F$1289='2018-19_working'!S$7)*(raw!$E$2:$E$1289='2018-19_working'!$R$6)*(raw!$G$2:$G$1289))</f>
        <v>0</v>
      </c>
      <c r="T54" s="7">
        <f>SUMPRODUCT((raw!$B$2:$B$1289='2018-19_working'!$A54)*(raw!$F$2:$F$1289='2018-19_working'!T$7)*(raw!$E$2:$E$1289='2018-19_working'!$R$6)*(raw!$G$2:$G$1289))</f>
        <v>0</v>
      </c>
      <c r="U54" s="7">
        <f>SUMPRODUCT((raw!$B$2:$B$1289='2018-19_working'!$A54)*(raw!$F$2:$F$1289='2018-19_working'!U$7)*(raw!$E$2:$E$1289='2018-19_working'!$R$6)*(raw!$G$2:$G$1289))</f>
        <v>0</v>
      </c>
      <c r="V54" s="7">
        <f>SUMPRODUCT((raw!$B$2:$B$1289='2018-19_working'!$A54)*(raw!$F$2:$F$1289='2018-19_working'!V$7)*(raw!$E$2:$E$1289='2018-19_working'!$R$6)*(raw!$G$2:$G$1289))</f>
        <v>0</v>
      </c>
      <c r="W54" s="7">
        <f>SUMPRODUCT((raw!$B$2:$B$1289='2018-19_working'!$A54)*(raw!$F$2:$F$1289='2018-19_working'!W$7)*(raw!$E$2:$E$1289='2018-19_working'!$R$6)*(raw!$G$2:$G$1289))</f>
        <v>0</v>
      </c>
      <c r="X54" s="7">
        <f>SUMPRODUCT((raw!$B$2:$B$1289='2018-19_working'!$A54)*(raw!$F$2:$F$1289='2018-19_working'!X$7)*(raw!$E$2:$E$1289='2018-19_working'!$R$6)*(raw!$G$2:$G$1289))</f>
        <v>0</v>
      </c>
      <c r="Z54" s="7">
        <f>SUMPRODUCT((raw!$B$2:$B$1289='2018-19_working'!$A54)*(raw!$F$2:$F$1289='2018-19_working'!Z$7)*(raw!$E$2:$E$1289='2018-19_working'!$Z$6)*(raw!$G$2:$G$1289))</f>
        <v>1</v>
      </c>
      <c r="AA54" s="7">
        <f>SUMPRODUCT((raw!$B$2:$B$1289='2018-19_working'!$A54)*(raw!$F$2:$F$1289='2018-19_working'!AA$7)*(raw!$E$2:$E$1289='2018-19_working'!$Z$6)*(raw!$G$2:$G$1289))</f>
        <v>5</v>
      </c>
      <c r="AB54" s="7">
        <f>SUMPRODUCT((raw!$B$2:$B$1289='2018-19_working'!$A54)*(raw!$F$2:$F$1289='2018-19_working'!AB$7)*(raw!$E$2:$E$1289='2018-19_working'!$Z$6)*(raw!$G$2:$G$1289))</f>
        <v>5</v>
      </c>
      <c r="AC54" s="7">
        <f>SUMPRODUCT((raw!$B$2:$B$1289='2018-19_working'!$A54)*(raw!$F$2:$F$1289='2018-19_working'!AC$7)*(raw!$E$2:$E$1289='2018-19_working'!$Z$6)*(raw!$G$2:$G$1289))</f>
        <v>8</v>
      </c>
      <c r="AD54" s="7">
        <f>SUMPRODUCT((raw!$B$2:$B$1289='2018-19_working'!$A54)*(raw!$F$2:$F$1289='2018-19_working'!AD$7)*(raw!$E$2:$E$1289='2018-19_working'!$Z$6)*(raw!$G$2:$G$1289))</f>
        <v>1</v>
      </c>
      <c r="AE54" s="7">
        <f>SUMPRODUCT((raw!$B$2:$B$1289='2018-19_working'!$A54)*(raw!$F$2:$F$1289='2018-19_working'!AE$7)*(raw!$E$2:$E$1289='2018-19_working'!$Z$6)*(raw!$G$2:$G$1289))</f>
        <v>0</v>
      </c>
      <c r="AF54" s="7">
        <f>SUMPRODUCT((raw!$B$2:$B$1289='2018-19_working'!$A54)*(raw!$F$2:$F$1289='2018-19_working'!AF$7)*(raw!$E$2:$E$1289='2018-19_working'!$Z$6)*(raw!$G$2:$G$1289))</f>
        <v>0</v>
      </c>
    </row>
    <row r="55" spans="1:32" x14ac:dyDescent="0.35">
      <c r="A55" s="7" t="s">
        <v>60</v>
      </c>
      <c r="B55" s="7">
        <f>SUMPRODUCT((raw!$B$2:$B$1289='2018-19_working'!$A55)*(raw!$F$2:$F$1289='2018-19_working'!B$7)*(raw!$E$2:$E$1289='2018-19_working'!$B$6:$H$6)*(raw!$G$2:$G$1289))</f>
        <v>9</v>
      </c>
      <c r="C55" s="7">
        <f>SUMPRODUCT((raw!$B$2:$B$1289='2018-19_working'!$A55)*(raw!$F$2:$F$1289='2018-19_working'!C$7)*(raw!$E$2:$E$1289='2018-19_working'!$B$6:$H$6)*(raw!$G$2:$G$1289))</f>
        <v>45</v>
      </c>
      <c r="D55" s="7">
        <f>SUMPRODUCT((raw!$B$2:$B$1289='2018-19_working'!$A55)*(raw!$F$2:$F$1289='2018-19_working'!D$7)*(raw!$E$2:$E$1289='2018-19_working'!$B$6:$H$6)*(raw!$G$2:$G$1289))</f>
        <v>12</v>
      </c>
      <c r="E55" s="7">
        <f>SUMPRODUCT((raw!$B$2:$B$1289='2018-19_working'!$A55)*(raw!$F$2:$F$1289='2018-19_working'!E$7)*(raw!$E$2:$E$1289='2018-19_working'!$B$6:$H$6)*(raw!$G$2:$G$1289))</f>
        <v>0</v>
      </c>
      <c r="F55" s="7">
        <f>SUMPRODUCT((raw!$B$2:$B$1289='2018-19_working'!$A55)*(raw!$F$2:$F$1289='2018-19_working'!F$7)*(raw!$E$2:$E$1289='2018-19_working'!$B$6:$H$6)*(raw!$G$2:$G$1289))</f>
        <v>0</v>
      </c>
      <c r="G55" s="7">
        <f>SUMPRODUCT((raw!$B$2:$B$1289='2018-19_working'!$A55)*(raw!$F$2:$F$1289='2018-19_working'!G$7)*(raw!$E$2:$E$1289='2018-19_working'!$B$6:$H$6)*(raw!$G$2:$G$1289))</f>
        <v>0</v>
      </c>
      <c r="H55" s="7">
        <f>SUMPRODUCT((raw!$B$2:$B$1289='2018-19_working'!$A55)*(raw!$F$2:$F$1289='2018-19_working'!H$7)*(raw!$E$2:$E$1289='2018-19_working'!$B$6:$H$6)*(raw!$G$2:$G$1289))</f>
        <v>0</v>
      </c>
      <c r="J55" s="7">
        <f>SUMPRODUCT((raw!$B$2:$B$1289='2018-19_working'!$A55)*(raw!$F$2:$F$1289='2018-19_working'!J$7)*(raw!$E$2:$E$1289='2018-19_working'!$J$6)*(raw!$G$2:$G$1289))</f>
        <v>5</v>
      </c>
      <c r="K55" s="7">
        <f>SUMPRODUCT((raw!$B$2:$B$1289='2018-19_working'!$A55)*(raw!$F$2:$F$1289='2018-19_working'!K$7)*(raw!$E$2:$E$1289='2018-19_working'!$J$6)*(raw!$G$2:$G$1289))</f>
        <v>10</v>
      </c>
      <c r="L55" s="7">
        <f>SUMPRODUCT((raw!$B$2:$B$1289='2018-19_working'!$A55)*(raw!$F$2:$F$1289='2018-19_working'!L$7)*(raw!$E$2:$E$1289='2018-19_working'!$J$6)*(raw!$G$2:$G$1289))</f>
        <v>4</v>
      </c>
      <c r="M55" s="7">
        <f>SUMPRODUCT((raw!$B$2:$B$1289='2018-19_working'!$A55)*(raw!$F$2:$F$1289='2018-19_working'!M$7)*(raw!$E$2:$E$1289='2018-19_working'!$J$6)*(raw!$G$2:$G$1289))</f>
        <v>2</v>
      </c>
      <c r="N55" s="7">
        <f>SUMPRODUCT((raw!$B$2:$B$1289='2018-19_working'!$A55)*(raw!$F$2:$F$1289='2018-19_working'!N$7)*(raw!$E$2:$E$1289='2018-19_working'!$J$6)*(raw!$G$2:$G$1289))</f>
        <v>1</v>
      </c>
      <c r="O55" s="7">
        <f>SUMPRODUCT((raw!$B$2:$B$1289='2018-19_working'!$A55)*(raw!$F$2:$F$1289='2018-19_working'!O$7)*(raw!$E$2:$E$1289='2018-19_working'!$J$6)*(raw!$G$2:$G$1289))</f>
        <v>0</v>
      </c>
      <c r="P55" s="7">
        <f>SUMPRODUCT((raw!$B$2:$B$1289='2018-19_working'!$A55)*(raw!$F$2:$F$1289='2018-19_working'!P$7)*(raw!$E$2:$E$1289='2018-19_working'!$J$6)*(raw!$G$2:$G$1289))</f>
        <v>0</v>
      </c>
      <c r="R55" s="7">
        <f>SUMPRODUCT((raw!$B$2:$B$1289='2018-19_working'!$A55)*(raw!$F$2:$F$1289='2018-19_working'!R$7)*(raw!$E$2:$E$1289='2018-19_working'!$R$6)*(raw!$G$2:$G$1289))</f>
        <v>0</v>
      </c>
      <c r="S55" s="7">
        <f>SUMPRODUCT((raw!$B$2:$B$1289='2018-19_working'!$A55)*(raw!$F$2:$F$1289='2018-19_working'!S$7)*(raw!$E$2:$E$1289='2018-19_working'!$R$6)*(raw!$G$2:$G$1289))</f>
        <v>3</v>
      </c>
      <c r="T55" s="7">
        <f>SUMPRODUCT((raw!$B$2:$B$1289='2018-19_working'!$A55)*(raw!$F$2:$F$1289='2018-19_working'!T$7)*(raw!$E$2:$E$1289='2018-19_working'!$R$6)*(raw!$G$2:$G$1289))</f>
        <v>1</v>
      </c>
      <c r="U55" s="7">
        <f>SUMPRODUCT((raw!$B$2:$B$1289='2018-19_working'!$A55)*(raw!$F$2:$F$1289='2018-19_working'!U$7)*(raw!$E$2:$E$1289='2018-19_working'!$R$6)*(raw!$G$2:$G$1289))</f>
        <v>1</v>
      </c>
      <c r="V55" s="7">
        <f>SUMPRODUCT((raw!$B$2:$B$1289='2018-19_working'!$A55)*(raw!$F$2:$F$1289='2018-19_working'!V$7)*(raw!$E$2:$E$1289='2018-19_working'!$R$6)*(raw!$G$2:$G$1289))</f>
        <v>0</v>
      </c>
      <c r="W55" s="7">
        <f>SUMPRODUCT((raw!$B$2:$B$1289='2018-19_working'!$A55)*(raw!$F$2:$F$1289='2018-19_working'!W$7)*(raw!$E$2:$E$1289='2018-19_working'!$R$6)*(raw!$G$2:$G$1289))</f>
        <v>0</v>
      </c>
      <c r="X55" s="7">
        <f>SUMPRODUCT((raw!$B$2:$B$1289='2018-19_working'!$A55)*(raw!$F$2:$F$1289='2018-19_working'!X$7)*(raw!$E$2:$E$1289='2018-19_working'!$R$6)*(raw!$G$2:$G$1289))</f>
        <v>0</v>
      </c>
      <c r="Z55" s="7">
        <f>SUMPRODUCT((raw!$B$2:$B$1289='2018-19_working'!$A55)*(raw!$F$2:$F$1289='2018-19_working'!Z$7)*(raw!$E$2:$E$1289='2018-19_working'!$Z$6)*(raw!$G$2:$G$1289))</f>
        <v>4</v>
      </c>
      <c r="AA55" s="7">
        <f>SUMPRODUCT((raw!$B$2:$B$1289='2018-19_working'!$A55)*(raw!$F$2:$F$1289='2018-19_working'!AA$7)*(raw!$E$2:$E$1289='2018-19_working'!$Z$6)*(raw!$G$2:$G$1289))</f>
        <v>16</v>
      </c>
      <c r="AB55" s="7">
        <f>SUMPRODUCT((raw!$B$2:$B$1289='2018-19_working'!$A55)*(raw!$F$2:$F$1289='2018-19_working'!AB$7)*(raw!$E$2:$E$1289='2018-19_working'!$Z$6)*(raw!$G$2:$G$1289))</f>
        <v>11</v>
      </c>
      <c r="AC55" s="7">
        <f>SUMPRODUCT((raw!$B$2:$B$1289='2018-19_working'!$A55)*(raw!$F$2:$F$1289='2018-19_working'!AC$7)*(raw!$E$2:$E$1289='2018-19_working'!$Z$6)*(raw!$G$2:$G$1289))</f>
        <v>10</v>
      </c>
      <c r="AD55" s="7">
        <f>SUMPRODUCT((raw!$B$2:$B$1289='2018-19_working'!$A55)*(raw!$F$2:$F$1289='2018-19_working'!AD$7)*(raw!$E$2:$E$1289='2018-19_working'!$Z$6)*(raw!$G$2:$G$1289))</f>
        <v>3</v>
      </c>
      <c r="AE55" s="7">
        <f>SUMPRODUCT((raw!$B$2:$B$1289='2018-19_working'!$A55)*(raw!$F$2:$F$1289='2018-19_working'!AE$7)*(raw!$E$2:$E$1289='2018-19_working'!$Z$6)*(raw!$G$2:$G$1289))</f>
        <v>0</v>
      </c>
      <c r="AF55" s="7">
        <f>SUMPRODUCT((raw!$B$2:$B$1289='2018-19_working'!$A55)*(raw!$F$2:$F$1289='2018-19_working'!AF$7)*(raw!$E$2:$E$1289='2018-19_working'!$Z$6)*(raw!$G$2:$G$1289))</f>
        <v>0</v>
      </c>
    </row>
    <row r="56" spans="1:32" x14ac:dyDescent="0.35">
      <c r="A56" s="7" t="s">
        <v>61</v>
      </c>
      <c r="B56" s="7">
        <f>SUMPRODUCT((raw!$B$2:$B$1289='2018-19_working'!$A56)*(raw!$F$2:$F$1289='2018-19_working'!B$7)*(raw!$E$2:$E$1289='2018-19_working'!$B$6:$H$6)*(raw!$G$2:$G$1289))</f>
        <v>80</v>
      </c>
      <c r="C56" s="7">
        <f>SUMPRODUCT((raw!$B$2:$B$1289='2018-19_working'!$A56)*(raw!$F$2:$F$1289='2018-19_working'!C$7)*(raw!$E$2:$E$1289='2018-19_working'!$B$6:$H$6)*(raw!$G$2:$G$1289))</f>
        <v>283</v>
      </c>
      <c r="D56" s="7">
        <f>SUMPRODUCT((raw!$B$2:$B$1289='2018-19_working'!$A56)*(raw!$F$2:$F$1289='2018-19_working'!D$7)*(raw!$E$2:$E$1289='2018-19_working'!$B$6:$H$6)*(raw!$G$2:$G$1289))</f>
        <v>46</v>
      </c>
      <c r="E56" s="7">
        <f>SUMPRODUCT((raw!$B$2:$B$1289='2018-19_working'!$A56)*(raw!$F$2:$F$1289='2018-19_working'!E$7)*(raw!$E$2:$E$1289='2018-19_working'!$B$6:$H$6)*(raw!$G$2:$G$1289))</f>
        <v>18</v>
      </c>
      <c r="F56" s="7">
        <f>SUMPRODUCT((raw!$B$2:$B$1289='2018-19_working'!$A56)*(raw!$F$2:$F$1289='2018-19_working'!F$7)*(raw!$E$2:$E$1289='2018-19_working'!$B$6:$H$6)*(raw!$G$2:$G$1289))</f>
        <v>1</v>
      </c>
      <c r="G56" s="7">
        <f>SUMPRODUCT((raw!$B$2:$B$1289='2018-19_working'!$A56)*(raw!$F$2:$F$1289='2018-19_working'!G$7)*(raw!$E$2:$E$1289='2018-19_working'!$B$6:$H$6)*(raw!$G$2:$G$1289))</f>
        <v>0</v>
      </c>
      <c r="H56" s="7">
        <f>SUMPRODUCT((raw!$B$2:$B$1289='2018-19_working'!$A56)*(raw!$F$2:$F$1289='2018-19_working'!H$7)*(raw!$E$2:$E$1289='2018-19_working'!$B$6:$H$6)*(raw!$G$2:$G$1289))</f>
        <v>0</v>
      </c>
      <c r="J56" s="7">
        <f>SUMPRODUCT((raw!$B$2:$B$1289='2018-19_working'!$A56)*(raw!$F$2:$F$1289='2018-19_working'!J$7)*(raw!$E$2:$E$1289='2018-19_working'!$J$6)*(raw!$G$2:$G$1289))</f>
        <v>0</v>
      </c>
      <c r="K56" s="7">
        <f>SUMPRODUCT((raw!$B$2:$B$1289='2018-19_working'!$A56)*(raw!$F$2:$F$1289='2018-19_working'!K$7)*(raw!$E$2:$E$1289='2018-19_working'!$J$6)*(raw!$G$2:$G$1289))</f>
        <v>0</v>
      </c>
      <c r="L56" s="7">
        <f>SUMPRODUCT((raw!$B$2:$B$1289='2018-19_working'!$A56)*(raw!$F$2:$F$1289='2018-19_working'!L$7)*(raw!$E$2:$E$1289='2018-19_working'!$J$6)*(raw!$G$2:$G$1289))</f>
        <v>0</v>
      </c>
      <c r="M56" s="7">
        <f>SUMPRODUCT((raw!$B$2:$B$1289='2018-19_working'!$A56)*(raw!$F$2:$F$1289='2018-19_working'!M$7)*(raw!$E$2:$E$1289='2018-19_working'!$J$6)*(raw!$G$2:$G$1289))</f>
        <v>0</v>
      </c>
      <c r="N56" s="7">
        <f>SUMPRODUCT((raw!$B$2:$B$1289='2018-19_working'!$A56)*(raw!$F$2:$F$1289='2018-19_working'!N$7)*(raw!$E$2:$E$1289='2018-19_working'!$J$6)*(raw!$G$2:$G$1289))</f>
        <v>0</v>
      </c>
      <c r="O56" s="7">
        <f>SUMPRODUCT((raw!$B$2:$B$1289='2018-19_working'!$A56)*(raw!$F$2:$F$1289='2018-19_working'!O$7)*(raw!$E$2:$E$1289='2018-19_working'!$J$6)*(raw!$G$2:$G$1289))</f>
        <v>0</v>
      </c>
      <c r="P56" s="7">
        <f>SUMPRODUCT((raw!$B$2:$B$1289='2018-19_working'!$A56)*(raw!$F$2:$F$1289='2018-19_working'!P$7)*(raw!$E$2:$E$1289='2018-19_working'!$J$6)*(raw!$G$2:$G$1289))</f>
        <v>0</v>
      </c>
      <c r="R56" s="7">
        <f>SUMPRODUCT((raw!$B$2:$B$1289='2018-19_working'!$A56)*(raw!$F$2:$F$1289='2018-19_working'!R$7)*(raw!$E$2:$E$1289='2018-19_working'!$R$6)*(raw!$G$2:$G$1289))</f>
        <v>2</v>
      </c>
      <c r="S56" s="7">
        <f>SUMPRODUCT((raw!$B$2:$B$1289='2018-19_working'!$A56)*(raw!$F$2:$F$1289='2018-19_working'!S$7)*(raw!$E$2:$E$1289='2018-19_working'!$R$6)*(raw!$G$2:$G$1289))</f>
        <v>1</v>
      </c>
      <c r="T56" s="7">
        <f>SUMPRODUCT((raw!$B$2:$B$1289='2018-19_working'!$A56)*(raw!$F$2:$F$1289='2018-19_working'!T$7)*(raw!$E$2:$E$1289='2018-19_working'!$R$6)*(raw!$G$2:$G$1289))</f>
        <v>1</v>
      </c>
      <c r="U56" s="7">
        <f>SUMPRODUCT((raw!$B$2:$B$1289='2018-19_working'!$A56)*(raw!$F$2:$F$1289='2018-19_working'!U$7)*(raw!$E$2:$E$1289='2018-19_working'!$R$6)*(raw!$G$2:$G$1289))</f>
        <v>1</v>
      </c>
      <c r="V56" s="7">
        <f>SUMPRODUCT((raw!$B$2:$B$1289='2018-19_working'!$A56)*(raw!$F$2:$F$1289='2018-19_working'!V$7)*(raw!$E$2:$E$1289='2018-19_working'!$R$6)*(raw!$G$2:$G$1289))</f>
        <v>0</v>
      </c>
      <c r="W56" s="7">
        <f>SUMPRODUCT((raw!$B$2:$B$1289='2018-19_working'!$A56)*(raw!$F$2:$F$1289='2018-19_working'!W$7)*(raw!$E$2:$E$1289='2018-19_working'!$R$6)*(raw!$G$2:$G$1289))</f>
        <v>0</v>
      </c>
      <c r="X56" s="7">
        <f>SUMPRODUCT((raw!$B$2:$B$1289='2018-19_working'!$A56)*(raw!$F$2:$F$1289='2018-19_working'!X$7)*(raw!$E$2:$E$1289='2018-19_working'!$R$6)*(raw!$G$2:$G$1289))</f>
        <v>0</v>
      </c>
      <c r="Z56" s="7">
        <f>SUMPRODUCT((raw!$B$2:$B$1289='2018-19_working'!$A56)*(raw!$F$2:$F$1289='2018-19_working'!Z$7)*(raw!$E$2:$E$1289='2018-19_working'!$Z$6)*(raw!$G$2:$G$1289))</f>
        <v>13</v>
      </c>
      <c r="AA56" s="7">
        <f>SUMPRODUCT((raw!$B$2:$B$1289='2018-19_working'!$A56)*(raw!$F$2:$F$1289='2018-19_working'!AA$7)*(raw!$E$2:$E$1289='2018-19_working'!$Z$6)*(raw!$G$2:$G$1289))</f>
        <v>39</v>
      </c>
      <c r="AB56" s="7">
        <f>SUMPRODUCT((raw!$B$2:$B$1289='2018-19_working'!$A56)*(raw!$F$2:$F$1289='2018-19_working'!AB$7)*(raw!$E$2:$E$1289='2018-19_working'!$Z$6)*(raw!$G$2:$G$1289))</f>
        <v>20</v>
      </c>
      <c r="AC56" s="7">
        <f>SUMPRODUCT((raw!$B$2:$B$1289='2018-19_working'!$A56)*(raw!$F$2:$F$1289='2018-19_working'!AC$7)*(raw!$E$2:$E$1289='2018-19_working'!$Z$6)*(raw!$G$2:$G$1289))</f>
        <v>20</v>
      </c>
      <c r="AD56" s="7">
        <f>SUMPRODUCT((raw!$B$2:$B$1289='2018-19_working'!$A56)*(raw!$F$2:$F$1289='2018-19_working'!AD$7)*(raw!$E$2:$E$1289='2018-19_working'!$Z$6)*(raw!$G$2:$G$1289))</f>
        <v>15</v>
      </c>
      <c r="AE56" s="7">
        <f>SUMPRODUCT((raw!$B$2:$B$1289='2018-19_working'!$A56)*(raw!$F$2:$F$1289='2018-19_working'!AE$7)*(raw!$E$2:$E$1289='2018-19_working'!$Z$6)*(raw!$G$2:$G$1289))</f>
        <v>1</v>
      </c>
      <c r="AF56" s="7">
        <f>SUMPRODUCT((raw!$B$2:$B$1289='2018-19_working'!$A56)*(raw!$F$2:$F$1289='2018-19_working'!AF$7)*(raw!$E$2:$E$1289='2018-19_working'!$Z$6)*(raw!$G$2:$G$1289))</f>
        <v>0</v>
      </c>
    </row>
  </sheetData>
  <mergeCells count="5">
    <mergeCell ref="A1:AJ1"/>
    <mergeCell ref="B6:H6"/>
    <mergeCell ref="J6:P6"/>
    <mergeCell ref="R6:X6"/>
    <mergeCell ref="Z6:AF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32919-4938-4707-8C4F-92ACE80760E1}">
  <dimension ref="A1:AV57"/>
  <sheetViews>
    <sheetView workbookViewId="0">
      <pane xSplit="1" ySplit="7" topLeftCell="B8" activePane="bottomRight" state="frozen"/>
      <selection activeCell="A4" sqref="A4:L4"/>
      <selection pane="topRight" activeCell="A4" sqref="A4:L4"/>
      <selection pane="bottomLeft" activeCell="A4" sqref="A4:L4"/>
      <selection pane="bottomRight" activeCell="A4" sqref="A4:L4"/>
    </sheetView>
  </sheetViews>
  <sheetFormatPr defaultColWidth="9.1796875" defaultRowHeight="14.5" x14ac:dyDescent="0.35"/>
  <cols>
    <col min="1" max="1" width="40.81640625" style="7" customWidth="1"/>
    <col min="2" max="16384" width="9.1796875" style="7"/>
  </cols>
  <sheetData>
    <row r="1" spans="1:48" customFormat="1" ht="17" x14ac:dyDescent="0.5">
      <c r="A1" s="90" t="s">
        <v>173</v>
      </c>
      <c r="B1" s="90"/>
      <c r="C1" s="90"/>
      <c r="D1" s="90"/>
      <c r="E1" s="90"/>
      <c r="F1" s="90"/>
      <c r="G1" s="90"/>
      <c r="H1" s="90"/>
      <c r="I1" s="90"/>
      <c r="J1" s="90"/>
      <c r="K1" s="90"/>
      <c r="L1" s="90"/>
      <c r="M1" s="90"/>
      <c r="N1" s="90"/>
      <c r="O1" s="90"/>
      <c r="P1" s="90"/>
      <c r="Q1" s="90"/>
      <c r="R1" s="90"/>
    </row>
    <row r="6" spans="1:48" x14ac:dyDescent="0.35">
      <c r="B6" s="89" t="s">
        <v>0</v>
      </c>
      <c r="C6" s="89"/>
      <c r="D6" s="89"/>
      <c r="E6" s="89"/>
      <c r="F6" s="89"/>
      <c r="G6" s="89"/>
      <c r="H6" s="89"/>
      <c r="J6" s="89" t="s">
        <v>76</v>
      </c>
      <c r="K6" s="89"/>
      <c r="L6" s="89"/>
      <c r="M6" s="89"/>
      <c r="N6" s="89"/>
      <c r="O6" s="89"/>
      <c r="P6" s="89"/>
      <c r="R6" s="89" t="s">
        <v>1</v>
      </c>
      <c r="S6" s="89"/>
      <c r="T6" s="89"/>
      <c r="U6" s="89"/>
      <c r="V6" s="89"/>
      <c r="W6" s="89"/>
      <c r="X6" s="89"/>
      <c r="Z6" s="89" t="s">
        <v>2</v>
      </c>
      <c r="AA6" s="89"/>
      <c r="AB6" s="89"/>
      <c r="AC6" s="89"/>
      <c r="AD6" s="89"/>
      <c r="AE6" s="89"/>
      <c r="AF6" s="89"/>
      <c r="AH6" s="89" t="s">
        <v>3</v>
      </c>
      <c r="AI6" s="89"/>
      <c r="AJ6" s="89"/>
      <c r="AK6" s="89"/>
      <c r="AL6" s="89"/>
      <c r="AM6" s="89"/>
      <c r="AN6" s="89"/>
      <c r="AP6" s="89" t="s">
        <v>4</v>
      </c>
      <c r="AQ6" s="89"/>
      <c r="AR6" s="89"/>
      <c r="AS6" s="89"/>
      <c r="AT6" s="89"/>
      <c r="AU6" s="89"/>
      <c r="AV6" s="89"/>
    </row>
    <row r="7" spans="1:48" ht="43.5" x14ac:dyDescent="0.35">
      <c r="A7" s="7" t="s">
        <v>5</v>
      </c>
      <c r="B7" s="1" t="s">
        <v>6</v>
      </c>
      <c r="C7" s="1" t="s">
        <v>7</v>
      </c>
      <c r="D7" s="1" t="s">
        <v>8</v>
      </c>
      <c r="E7" s="1" t="s">
        <v>9</v>
      </c>
      <c r="F7" s="1" t="s">
        <v>10</v>
      </c>
      <c r="G7" s="1" t="s">
        <v>11</v>
      </c>
      <c r="H7" s="1" t="s">
        <v>172</v>
      </c>
      <c r="I7" s="1"/>
      <c r="J7" s="1" t="s">
        <v>6</v>
      </c>
      <c r="K7" s="1" t="s">
        <v>7</v>
      </c>
      <c r="L7" s="1" t="s">
        <v>8</v>
      </c>
      <c r="M7" s="1" t="s">
        <v>9</v>
      </c>
      <c r="N7" s="1" t="s">
        <v>10</v>
      </c>
      <c r="O7" s="1" t="s">
        <v>11</v>
      </c>
      <c r="P7" s="1" t="s">
        <v>172</v>
      </c>
      <c r="Q7" s="1"/>
      <c r="R7" s="1" t="s">
        <v>6</v>
      </c>
      <c r="S7" s="1" t="s">
        <v>7</v>
      </c>
      <c r="T7" s="1" t="s">
        <v>8</v>
      </c>
      <c r="U7" s="1" t="s">
        <v>9</v>
      </c>
      <c r="V7" s="1" t="s">
        <v>10</v>
      </c>
      <c r="W7" s="1" t="s">
        <v>11</v>
      </c>
      <c r="X7" s="1" t="s">
        <v>172</v>
      </c>
      <c r="Y7" s="1"/>
      <c r="Z7" s="1" t="s">
        <v>6</v>
      </c>
      <c r="AA7" s="1" t="s">
        <v>7</v>
      </c>
      <c r="AB7" s="1" t="s">
        <v>8</v>
      </c>
      <c r="AC7" s="1" t="s">
        <v>9</v>
      </c>
      <c r="AD7" s="1" t="s">
        <v>10</v>
      </c>
      <c r="AE7" s="1" t="s">
        <v>11</v>
      </c>
      <c r="AF7" s="1" t="s">
        <v>172</v>
      </c>
      <c r="AG7" s="1"/>
      <c r="AH7" s="1" t="s">
        <v>6</v>
      </c>
      <c r="AI7" s="1" t="s">
        <v>7</v>
      </c>
      <c r="AJ7" s="1" t="s">
        <v>8</v>
      </c>
      <c r="AK7" s="1" t="s">
        <v>9</v>
      </c>
      <c r="AL7" s="1" t="s">
        <v>10</v>
      </c>
      <c r="AM7" s="1" t="s">
        <v>11</v>
      </c>
      <c r="AN7" s="1" t="s">
        <v>172</v>
      </c>
      <c r="AO7" s="1"/>
      <c r="AP7" s="1" t="s">
        <v>6</v>
      </c>
      <c r="AQ7" s="1" t="s">
        <v>7</v>
      </c>
      <c r="AR7" s="1" t="s">
        <v>8</v>
      </c>
      <c r="AS7" s="1" t="s">
        <v>9</v>
      </c>
      <c r="AT7" s="1" t="s">
        <v>10</v>
      </c>
      <c r="AU7" s="1" t="s">
        <v>11</v>
      </c>
      <c r="AV7" s="1" t="s">
        <v>172</v>
      </c>
    </row>
    <row r="8" spans="1:48" x14ac:dyDescent="0.35">
      <c r="A8" s="7" t="s">
        <v>13</v>
      </c>
      <c r="B8" s="7">
        <f>'2018-19_working'!B8</f>
        <v>235</v>
      </c>
      <c r="C8" s="7">
        <f>'2018-19_working'!C8</f>
        <v>962</v>
      </c>
      <c r="D8" s="7">
        <f>'2018-19_working'!D8</f>
        <v>295</v>
      </c>
      <c r="E8" s="7">
        <f>'2018-19_working'!E8</f>
        <v>96</v>
      </c>
      <c r="F8" s="7">
        <f>SUM('2018-19_working'!F8:G8)</f>
        <v>7</v>
      </c>
      <c r="G8" s="7">
        <f>'2018-19_working'!H8</f>
        <v>0</v>
      </c>
      <c r="H8" s="75">
        <f>IF(SUM(B8:F8)=0,"-",20*(B8/SUM(B8:F8))+30*(C8/SUM(B8:F8))+40.5*(D8/SUM(B8:F8))+50.5*(E8/SUM(B8:F8))+56*(F8/SUM(B8:F8)))</f>
        <v>31.816614420062695</v>
      </c>
      <c r="J8" s="7">
        <f>'2018-19_working'!J8</f>
        <v>352</v>
      </c>
      <c r="K8" s="7">
        <f>'2018-19_working'!K8</f>
        <v>713</v>
      </c>
      <c r="L8" s="7">
        <f>'2018-19_working'!L8</f>
        <v>336</v>
      </c>
      <c r="M8" s="7">
        <f>'2018-19_working'!M8</f>
        <v>156</v>
      </c>
      <c r="N8" s="7">
        <f>SUM('2018-19_working'!N8:O8)</f>
        <v>29</v>
      </c>
      <c r="O8" s="7">
        <f>'2018-19_working'!P8</f>
        <v>1</v>
      </c>
      <c r="P8" s="75">
        <f>IF(SUM(J8:N8)=0,"-",20*(J8/SUM(J8:N8))+30*(K8/SUM(J8:N8))+40.5*(L8/SUM(J8:N8))+50.5*(M8/SUM(J8:N8))+56*(N8/SUM(J8:N8)))</f>
        <v>32.4968474148802</v>
      </c>
      <c r="R8" s="7">
        <f>SUM(B8,J8)</f>
        <v>587</v>
      </c>
      <c r="S8" s="7">
        <f t="shared" ref="S8:W8" si="0">SUM(C8,K8)</f>
        <v>1675</v>
      </c>
      <c r="T8" s="7">
        <f t="shared" si="0"/>
        <v>631</v>
      </c>
      <c r="U8" s="7">
        <f t="shared" si="0"/>
        <v>252</v>
      </c>
      <c r="V8" s="7">
        <f t="shared" si="0"/>
        <v>36</v>
      </c>
      <c r="W8" s="7">
        <f t="shared" si="0"/>
        <v>1</v>
      </c>
      <c r="X8" s="75">
        <f>IF(SUM(R8:V8)=0,"-",20*(R8/SUM(R8:V8))+30*(S8/SUM(R8:V8))+40.5*(T8/SUM(R8:V8))+50.5*(U8/SUM(R8:V8))+56*(V8/SUM(R8:V8)))</f>
        <v>32.155768626218169</v>
      </c>
      <c r="Z8" s="7">
        <f>'2018-19_working'!R8</f>
        <v>16</v>
      </c>
      <c r="AA8" s="7">
        <f>'2018-19_working'!S8</f>
        <v>42</v>
      </c>
      <c r="AB8" s="7">
        <f>'2018-19_working'!T8</f>
        <v>21</v>
      </c>
      <c r="AC8" s="7">
        <f>'2018-19_working'!U8</f>
        <v>11</v>
      </c>
      <c r="AD8" s="7">
        <f>SUM('2018-19_working'!V8:W8)</f>
        <v>2</v>
      </c>
      <c r="AE8" s="7">
        <f>'2018-19_working'!X8</f>
        <v>0</v>
      </c>
      <c r="AF8" s="75">
        <f>IF(SUM(Z8:AD8)=0,"-",20*(Z8/SUM(Z8:AD8))+30*(AA8/SUM(Z8:AD8))+40.5*(AB8/SUM(Z8:AD8))+50.5*(AC8/SUM(Z8:AD8))+56*(AD8/SUM(Z8:AD8)))</f>
        <v>33.673913043478265</v>
      </c>
      <c r="AH8" s="7">
        <f>'2018-19_working'!Z8</f>
        <v>122</v>
      </c>
      <c r="AI8" s="7">
        <f>'2018-19_working'!AA8</f>
        <v>286</v>
      </c>
      <c r="AJ8" s="7">
        <f>'2018-19_working'!AB8</f>
        <v>193</v>
      </c>
      <c r="AK8" s="7">
        <f>'2018-19_working'!AC8</f>
        <v>256</v>
      </c>
      <c r="AL8" s="7">
        <f>SUM('2018-19_working'!AD8:AE8)</f>
        <v>115</v>
      </c>
      <c r="AM8" s="7">
        <f>'2018-19_working'!AF8</f>
        <v>10</v>
      </c>
      <c r="AN8" s="75">
        <f>IF(SUM(AH8:AL8)=0,"-",20*(AH8/SUM(AH8:AL8))+30*(AI8/SUM(AH8:AL8))+40.5*(AJ8/SUM(AH8:AL8))+50.5*(AK8/SUM(AH8:AL8))+56*(AL8/SUM(AH8:AL8)))</f>
        <v>39.305041152263371</v>
      </c>
      <c r="AP8" s="7">
        <f>SUM(R8,Z8,AH8)</f>
        <v>725</v>
      </c>
      <c r="AQ8" s="7">
        <f t="shared" ref="AQ8:AU8" si="1">SUM(S8,AA8,AI8)</f>
        <v>2003</v>
      </c>
      <c r="AR8" s="7">
        <f t="shared" si="1"/>
        <v>845</v>
      </c>
      <c r="AS8" s="7">
        <f t="shared" si="1"/>
        <v>519</v>
      </c>
      <c r="AT8" s="7">
        <f t="shared" si="1"/>
        <v>153</v>
      </c>
      <c r="AU8" s="7">
        <f t="shared" si="1"/>
        <v>11</v>
      </c>
      <c r="AV8" s="75">
        <f>IF(SUM(AP8:AT8)=0,"-",20*(AP8/SUM(AP8:AT8))+30*(AQ8/SUM(AP8:AT8))+40.5*(AR8/SUM(AP8:AT8))+50.5*(AS8/SUM(AP8:AT8))+56*(AT8/SUM(AP8:AT8)))</f>
        <v>33.825677267373386</v>
      </c>
    </row>
    <row r="9" spans="1:48" x14ac:dyDescent="0.35">
      <c r="A9" s="7" t="s">
        <v>14</v>
      </c>
      <c r="B9" s="7">
        <f>'2018-19_working'!B9</f>
        <v>93</v>
      </c>
      <c r="C9" s="7">
        <f>'2018-19_working'!C9</f>
        <v>434</v>
      </c>
      <c r="D9" s="7">
        <f>'2018-19_working'!D9</f>
        <v>183</v>
      </c>
      <c r="E9" s="7">
        <f>'2018-19_working'!E9</f>
        <v>71</v>
      </c>
      <c r="F9" s="7">
        <f>SUM('2018-19_working'!F9:G9)</f>
        <v>5</v>
      </c>
      <c r="G9" s="7">
        <f>'2018-19_working'!H9</f>
        <v>0</v>
      </c>
      <c r="H9" s="75">
        <f t="shared" ref="H9:H56" si="2">IF(SUM(B9:F9)=0,"-",20*(B9/SUM(B9:F9))+30*(C9/SUM(B9:F9))+40.5*(D9/SUM(B9:F9))+50.5*(E9/SUM(B9:F9))+56*(F9/SUM(B9:F9)))</f>
        <v>33.278625954198475</v>
      </c>
      <c r="J9" s="7">
        <f>'2018-19_working'!J9</f>
        <v>345</v>
      </c>
      <c r="K9" s="7">
        <f>'2018-19_working'!K9</f>
        <v>689</v>
      </c>
      <c r="L9" s="7">
        <f>'2018-19_working'!L9</f>
        <v>322</v>
      </c>
      <c r="M9" s="7">
        <f>'2018-19_working'!M9</f>
        <v>154</v>
      </c>
      <c r="N9" s="7">
        <f>SUM('2018-19_working'!N9:O9)</f>
        <v>28</v>
      </c>
      <c r="O9" s="7">
        <f>'2018-19_working'!P9</f>
        <v>1</v>
      </c>
      <c r="P9" s="75">
        <f t="shared" ref="P9:P56" si="3">IF(SUM(J9:N9)=0,"-",20*(J9/SUM(J9:N9))+30*(K9/SUM(J9:N9))+40.5*(L9/SUM(J9:N9))+50.5*(M9/SUM(J9:N9))+56*(N9/SUM(J9:N9)))</f>
        <v>32.481144343302986</v>
      </c>
      <c r="R9" s="7">
        <f t="shared" ref="R9:R56" si="4">SUM(B9,J9)</f>
        <v>438</v>
      </c>
      <c r="S9" s="7">
        <f t="shared" ref="S9:S56" si="5">SUM(C9,K9)</f>
        <v>1123</v>
      </c>
      <c r="T9" s="7">
        <f t="shared" ref="T9:T56" si="6">SUM(D9,L9)</f>
        <v>505</v>
      </c>
      <c r="U9" s="7">
        <f t="shared" ref="U9:U56" si="7">SUM(E9,M9)</f>
        <v>225</v>
      </c>
      <c r="V9" s="7">
        <f t="shared" ref="V9:V56" si="8">SUM(F9,N9)</f>
        <v>33</v>
      </c>
      <c r="W9" s="7">
        <f t="shared" ref="W9:W56" si="9">SUM(G9,O9)</f>
        <v>1</v>
      </c>
      <c r="X9" s="75">
        <f t="shared" ref="X9:X56" si="10">IF(SUM(R9:V9)=0,"-",20*(R9/SUM(R9:V9))+30*(S9/SUM(R9:V9))+40.5*(T9/SUM(R9:V9))+50.5*(U9/SUM(R9:V9))+56*(V9/SUM(R9:V9)))</f>
        <v>32.750860585197934</v>
      </c>
      <c r="Z9" s="7">
        <f>'2018-19_working'!R9</f>
        <v>13</v>
      </c>
      <c r="AA9" s="7">
        <f>'2018-19_working'!S9</f>
        <v>36</v>
      </c>
      <c r="AB9" s="7">
        <f>'2018-19_working'!T9</f>
        <v>14</v>
      </c>
      <c r="AC9" s="7">
        <f>'2018-19_working'!U9</f>
        <v>7</v>
      </c>
      <c r="AD9" s="7">
        <f>SUM('2018-19_working'!V9:W9)</f>
        <v>0</v>
      </c>
      <c r="AE9" s="7">
        <f>'2018-19_working'!X9</f>
        <v>0</v>
      </c>
      <c r="AF9" s="75">
        <f t="shared" ref="AF9:AF56" si="11">IF(SUM(Z9:AD9)=0,"-",20*(Z9/SUM(Z9:AD9))+30*(AA9/SUM(Z9:AD9))+40.5*(AB9/SUM(Z9:AD9))+50.5*(AC9/SUM(Z9:AD9))+56*(AD9/SUM(Z9:AD9)))</f>
        <v>32.292857142857144</v>
      </c>
      <c r="AH9" s="7">
        <f>'2018-19_working'!Z9</f>
        <v>72</v>
      </c>
      <c r="AI9" s="7">
        <f>'2018-19_working'!AA9</f>
        <v>182</v>
      </c>
      <c r="AJ9" s="7">
        <f>'2018-19_working'!AB9</f>
        <v>134</v>
      </c>
      <c r="AK9" s="7">
        <f>'2018-19_working'!AC9</f>
        <v>176</v>
      </c>
      <c r="AL9" s="7">
        <f>SUM('2018-19_working'!AD9:AE9)</f>
        <v>74</v>
      </c>
      <c r="AM9" s="7">
        <f>'2018-19_working'!AF9</f>
        <v>10</v>
      </c>
      <c r="AN9" s="75">
        <f t="shared" ref="AN9:AN56" si="12">IF(SUM(AH9:AL9)=0,"-",20*(AH9/SUM(AH9:AL9))+30*(AI9/SUM(AH9:AL9))+40.5*(AJ9/SUM(AH9:AL9))+50.5*(AK9/SUM(AH9:AL9))+56*(AL9/SUM(AH9:AL9)))</f>
        <v>39.747648902821311</v>
      </c>
      <c r="AP9" s="7">
        <f t="shared" ref="AP9:AP56" si="13">SUM(R9,Z9,AH9)</f>
        <v>523</v>
      </c>
      <c r="AQ9" s="7">
        <f t="shared" ref="AQ9:AQ56" si="14">SUM(S9,AA9,AI9)</f>
        <v>1341</v>
      </c>
      <c r="AR9" s="7">
        <f t="shared" ref="AR9:AR56" si="15">SUM(T9,AB9,AJ9)</f>
        <v>653</v>
      </c>
      <c r="AS9" s="7">
        <f t="shared" ref="AS9:AS56" si="16">SUM(U9,AC9,AK9)</f>
        <v>408</v>
      </c>
      <c r="AT9" s="7">
        <f t="shared" ref="AT9:AT56" si="17">SUM(V9,AD9,AL9)</f>
        <v>107</v>
      </c>
      <c r="AU9" s="7">
        <f t="shared" ref="AU9:AU56" si="18">SUM(W9,AE9,AM9)</f>
        <v>11</v>
      </c>
      <c r="AV9" s="75">
        <f t="shared" ref="AV9:AV56" si="19">IF(SUM(AP9:AT9)=0,"-",20*(AP9/SUM(AP9:AT9))+30*(AQ9/SUM(AP9:AT9))+40.5*(AR9/SUM(AP9:AT9))+50.5*(AS9/SUM(AP9:AT9))+56*(AT9/SUM(AP9:AT9)))</f>
        <v>34.212565963060683</v>
      </c>
    </row>
    <row r="10" spans="1:48" x14ac:dyDescent="0.35">
      <c r="A10" s="7" t="s">
        <v>15</v>
      </c>
      <c r="B10" s="7">
        <f>'2018-19_working'!B10</f>
        <v>0</v>
      </c>
      <c r="C10" s="7">
        <f>'2018-19_working'!C10</f>
        <v>11</v>
      </c>
      <c r="D10" s="7">
        <f>'2018-19_working'!D10</f>
        <v>3</v>
      </c>
      <c r="E10" s="7">
        <f>'2018-19_working'!E10</f>
        <v>1</v>
      </c>
      <c r="F10" s="7">
        <f>SUM('2018-19_working'!F10:G10)</f>
        <v>0</v>
      </c>
      <c r="G10" s="7">
        <f>'2018-19_working'!H10</f>
        <v>0</v>
      </c>
      <c r="H10" s="75">
        <f t="shared" si="2"/>
        <v>33.466666666666669</v>
      </c>
      <c r="J10" s="7">
        <f>'2018-19_working'!J10</f>
        <v>3</v>
      </c>
      <c r="K10" s="7">
        <f>'2018-19_working'!K10</f>
        <v>8</v>
      </c>
      <c r="L10" s="7">
        <f>'2018-19_working'!L10</f>
        <v>6</v>
      </c>
      <c r="M10" s="7">
        <f>'2018-19_working'!M10</f>
        <v>1</v>
      </c>
      <c r="N10" s="7">
        <f>SUM('2018-19_working'!N10:O10)</f>
        <v>1</v>
      </c>
      <c r="O10" s="7">
        <f>'2018-19_working'!P10</f>
        <v>0</v>
      </c>
      <c r="P10" s="75">
        <f t="shared" si="3"/>
        <v>34.184210526315795</v>
      </c>
      <c r="R10" s="7">
        <f t="shared" si="4"/>
        <v>3</v>
      </c>
      <c r="S10" s="7">
        <f t="shared" si="5"/>
        <v>19</v>
      </c>
      <c r="T10" s="7">
        <f t="shared" si="6"/>
        <v>9</v>
      </c>
      <c r="U10" s="7">
        <f t="shared" si="7"/>
        <v>2</v>
      </c>
      <c r="V10" s="7">
        <f t="shared" si="8"/>
        <v>1</v>
      </c>
      <c r="W10" s="7">
        <f t="shared" si="9"/>
        <v>0</v>
      </c>
      <c r="X10" s="75">
        <f t="shared" si="10"/>
        <v>33.867647058823529</v>
      </c>
      <c r="Z10" s="7">
        <f>'2018-19_working'!R10</f>
        <v>1</v>
      </c>
      <c r="AA10" s="7">
        <f>'2018-19_working'!S10</f>
        <v>1</v>
      </c>
      <c r="AB10" s="7">
        <f>'2018-19_working'!T10</f>
        <v>1</v>
      </c>
      <c r="AC10" s="7">
        <f>'2018-19_working'!U10</f>
        <v>0</v>
      </c>
      <c r="AD10" s="7">
        <f>SUM('2018-19_working'!V10:W10)</f>
        <v>0</v>
      </c>
      <c r="AE10" s="7">
        <f>'2018-19_working'!X10</f>
        <v>0</v>
      </c>
      <c r="AF10" s="75">
        <f t="shared" si="11"/>
        <v>30.166666666666664</v>
      </c>
      <c r="AH10" s="7">
        <f>'2018-19_working'!Z10</f>
        <v>3</v>
      </c>
      <c r="AI10" s="7">
        <f>'2018-19_working'!AA10</f>
        <v>8</v>
      </c>
      <c r="AJ10" s="7">
        <f>'2018-19_working'!AB10</f>
        <v>6</v>
      </c>
      <c r="AK10" s="7">
        <f>'2018-19_working'!AC10</f>
        <v>5</v>
      </c>
      <c r="AL10" s="7">
        <f>SUM('2018-19_working'!AD10:AE10)</f>
        <v>3</v>
      </c>
      <c r="AM10" s="7">
        <f>'2018-19_working'!AF10</f>
        <v>0</v>
      </c>
      <c r="AN10" s="75">
        <f t="shared" si="12"/>
        <v>38.54</v>
      </c>
      <c r="AP10" s="7">
        <f t="shared" si="13"/>
        <v>7</v>
      </c>
      <c r="AQ10" s="7">
        <f t="shared" si="14"/>
        <v>28</v>
      </c>
      <c r="AR10" s="7">
        <f t="shared" si="15"/>
        <v>16</v>
      </c>
      <c r="AS10" s="7">
        <f t="shared" si="16"/>
        <v>7</v>
      </c>
      <c r="AT10" s="7">
        <f t="shared" si="17"/>
        <v>4</v>
      </c>
      <c r="AU10" s="7">
        <f t="shared" si="18"/>
        <v>0</v>
      </c>
      <c r="AV10" s="75">
        <f t="shared" si="19"/>
        <v>35.572580645161288</v>
      </c>
    </row>
    <row r="11" spans="1:48" x14ac:dyDescent="0.35">
      <c r="A11" s="7" t="s">
        <v>16</v>
      </c>
      <c r="B11" s="7">
        <f>'2018-19_working'!B11</f>
        <v>1</v>
      </c>
      <c r="C11" s="7">
        <f>'2018-19_working'!C11</f>
        <v>9</v>
      </c>
      <c r="D11" s="7">
        <f>'2018-19_working'!D11</f>
        <v>7</v>
      </c>
      <c r="E11" s="7">
        <f>'2018-19_working'!E11</f>
        <v>1</v>
      </c>
      <c r="F11" s="7">
        <f>SUM('2018-19_working'!F11:G11)</f>
        <v>0</v>
      </c>
      <c r="G11" s="7">
        <f>'2018-19_working'!H11</f>
        <v>0</v>
      </c>
      <c r="H11" s="75">
        <f t="shared" si="2"/>
        <v>34.666666666666664</v>
      </c>
      <c r="J11" s="7">
        <f>'2018-19_working'!J11</f>
        <v>5</v>
      </c>
      <c r="K11" s="7">
        <f>'2018-19_working'!K11</f>
        <v>12</v>
      </c>
      <c r="L11" s="7">
        <f>'2018-19_working'!L11</f>
        <v>5</v>
      </c>
      <c r="M11" s="7">
        <f>'2018-19_working'!M11</f>
        <v>4</v>
      </c>
      <c r="N11" s="7">
        <f>SUM('2018-19_working'!N11:O11)</f>
        <v>0</v>
      </c>
      <c r="O11" s="7">
        <f>'2018-19_working'!P11</f>
        <v>0</v>
      </c>
      <c r="P11" s="75">
        <f t="shared" si="3"/>
        <v>33.25</v>
      </c>
      <c r="R11" s="7">
        <f t="shared" si="4"/>
        <v>6</v>
      </c>
      <c r="S11" s="7">
        <f t="shared" si="5"/>
        <v>21</v>
      </c>
      <c r="T11" s="7">
        <f t="shared" si="6"/>
        <v>12</v>
      </c>
      <c r="U11" s="7">
        <f t="shared" si="7"/>
        <v>5</v>
      </c>
      <c r="V11" s="7">
        <f t="shared" si="8"/>
        <v>0</v>
      </c>
      <c r="W11" s="7">
        <f t="shared" si="9"/>
        <v>0</v>
      </c>
      <c r="X11" s="75">
        <f t="shared" si="10"/>
        <v>33.829545454545453</v>
      </c>
      <c r="Z11" s="7">
        <f>'2018-19_working'!R11</f>
        <v>0</v>
      </c>
      <c r="AA11" s="7">
        <f>'2018-19_working'!S11</f>
        <v>1</v>
      </c>
      <c r="AB11" s="7">
        <f>'2018-19_working'!T11</f>
        <v>1</v>
      </c>
      <c r="AC11" s="7">
        <f>'2018-19_working'!U11</f>
        <v>0</v>
      </c>
      <c r="AD11" s="7">
        <f>SUM('2018-19_working'!V11:W11)</f>
        <v>0</v>
      </c>
      <c r="AE11" s="7">
        <f>'2018-19_working'!X11</f>
        <v>0</v>
      </c>
      <c r="AF11" s="75">
        <f t="shared" si="11"/>
        <v>35.25</v>
      </c>
      <c r="AH11" s="7">
        <f>'2018-19_working'!Z11</f>
        <v>1</v>
      </c>
      <c r="AI11" s="7">
        <f>'2018-19_working'!AA11</f>
        <v>8</v>
      </c>
      <c r="AJ11" s="7">
        <f>'2018-19_working'!AB11</f>
        <v>3</v>
      </c>
      <c r="AK11" s="7">
        <f>'2018-19_working'!AC11</f>
        <v>6</v>
      </c>
      <c r="AL11" s="7">
        <f>SUM('2018-19_working'!AD11:AE11)</f>
        <v>4</v>
      </c>
      <c r="AM11" s="7">
        <f>'2018-19_working'!AF11</f>
        <v>0</v>
      </c>
      <c r="AN11" s="75">
        <f t="shared" si="12"/>
        <v>41.295454545454547</v>
      </c>
      <c r="AP11" s="7">
        <f t="shared" si="13"/>
        <v>7</v>
      </c>
      <c r="AQ11" s="7">
        <f t="shared" si="14"/>
        <v>30</v>
      </c>
      <c r="AR11" s="7">
        <f t="shared" si="15"/>
        <v>16</v>
      </c>
      <c r="AS11" s="7">
        <f t="shared" si="16"/>
        <v>11</v>
      </c>
      <c r="AT11" s="7">
        <f t="shared" si="17"/>
        <v>4</v>
      </c>
      <c r="AU11" s="7">
        <f t="shared" si="18"/>
        <v>0</v>
      </c>
      <c r="AV11" s="75">
        <f t="shared" si="19"/>
        <v>36.286764705882355</v>
      </c>
    </row>
    <row r="12" spans="1:48" x14ac:dyDescent="0.35">
      <c r="A12" s="7" t="s">
        <v>17</v>
      </c>
      <c r="B12" s="7">
        <f>'2018-19_working'!B12</f>
        <v>2</v>
      </c>
      <c r="C12" s="7">
        <f>'2018-19_working'!C12</f>
        <v>10</v>
      </c>
      <c r="D12" s="7">
        <f>'2018-19_working'!D12</f>
        <v>2</v>
      </c>
      <c r="E12" s="7">
        <f>'2018-19_working'!E12</f>
        <v>0</v>
      </c>
      <c r="F12" s="7">
        <f>SUM('2018-19_working'!F12:G12)</f>
        <v>0</v>
      </c>
      <c r="G12" s="7">
        <f>'2018-19_working'!H12</f>
        <v>0</v>
      </c>
      <c r="H12" s="75">
        <f t="shared" si="2"/>
        <v>30.071428571428573</v>
      </c>
      <c r="J12" s="7">
        <f>'2018-19_working'!J12</f>
        <v>7</v>
      </c>
      <c r="K12" s="7">
        <f>'2018-19_working'!K12</f>
        <v>8</v>
      </c>
      <c r="L12" s="7">
        <f>'2018-19_working'!L12</f>
        <v>7</v>
      </c>
      <c r="M12" s="7">
        <f>'2018-19_working'!M12</f>
        <v>1</v>
      </c>
      <c r="N12" s="7">
        <f>SUM('2018-19_working'!N12:O12)</f>
        <v>0</v>
      </c>
      <c r="O12" s="7">
        <f>'2018-19_working'!P12</f>
        <v>0</v>
      </c>
      <c r="P12" s="75">
        <f t="shared" si="3"/>
        <v>31.043478260869566</v>
      </c>
      <c r="R12" s="7">
        <f t="shared" si="4"/>
        <v>9</v>
      </c>
      <c r="S12" s="7">
        <f t="shared" si="5"/>
        <v>18</v>
      </c>
      <c r="T12" s="7">
        <f t="shared" si="6"/>
        <v>9</v>
      </c>
      <c r="U12" s="7">
        <f t="shared" si="7"/>
        <v>1</v>
      </c>
      <c r="V12" s="7">
        <f t="shared" si="8"/>
        <v>0</v>
      </c>
      <c r="W12" s="7">
        <f t="shared" si="9"/>
        <v>0</v>
      </c>
      <c r="X12" s="75">
        <f t="shared" si="10"/>
        <v>30.675675675675677</v>
      </c>
      <c r="Z12" s="7">
        <f>'2018-19_working'!R12</f>
        <v>3</v>
      </c>
      <c r="AA12" s="7">
        <f>'2018-19_working'!S12</f>
        <v>2</v>
      </c>
      <c r="AB12" s="7">
        <f>'2018-19_working'!T12</f>
        <v>0</v>
      </c>
      <c r="AC12" s="7">
        <f>'2018-19_working'!U12</f>
        <v>0</v>
      </c>
      <c r="AD12" s="7">
        <f>SUM('2018-19_working'!V12:W12)</f>
        <v>0</v>
      </c>
      <c r="AE12" s="7">
        <f>'2018-19_working'!X12</f>
        <v>0</v>
      </c>
      <c r="AF12" s="75">
        <f t="shared" si="11"/>
        <v>24</v>
      </c>
      <c r="AH12" s="7">
        <f>'2018-19_working'!Z12</f>
        <v>3</v>
      </c>
      <c r="AI12" s="7">
        <f>'2018-19_working'!AA12</f>
        <v>13</v>
      </c>
      <c r="AJ12" s="7">
        <f>'2018-19_working'!AB12</f>
        <v>5</v>
      </c>
      <c r="AK12" s="7">
        <f>'2018-19_working'!AC12</f>
        <v>5</v>
      </c>
      <c r="AL12" s="7">
        <f>SUM('2018-19_working'!AD12:AE12)</f>
        <v>3</v>
      </c>
      <c r="AM12" s="7">
        <f>'2018-19_working'!AF12</f>
        <v>0</v>
      </c>
      <c r="AN12" s="75">
        <f t="shared" si="12"/>
        <v>37</v>
      </c>
      <c r="AP12" s="7">
        <f t="shared" si="13"/>
        <v>15</v>
      </c>
      <c r="AQ12" s="7">
        <f t="shared" si="14"/>
        <v>33</v>
      </c>
      <c r="AR12" s="7">
        <f t="shared" si="15"/>
        <v>14</v>
      </c>
      <c r="AS12" s="7">
        <f t="shared" si="16"/>
        <v>6</v>
      </c>
      <c r="AT12" s="7">
        <f t="shared" si="17"/>
        <v>3</v>
      </c>
      <c r="AU12" s="7">
        <f t="shared" si="18"/>
        <v>0</v>
      </c>
      <c r="AV12" s="75">
        <f t="shared" si="19"/>
        <v>32.788732394366193</v>
      </c>
    </row>
    <row r="13" spans="1:48" x14ac:dyDescent="0.35">
      <c r="A13" s="7" t="s">
        <v>18</v>
      </c>
      <c r="B13" s="7">
        <f>'2018-19_working'!B13</f>
        <v>9</v>
      </c>
      <c r="C13" s="7">
        <f>'2018-19_working'!C13</f>
        <v>14</v>
      </c>
      <c r="D13" s="7">
        <f>'2018-19_working'!D13</f>
        <v>1</v>
      </c>
      <c r="E13" s="7">
        <f>'2018-19_working'!E13</f>
        <v>3</v>
      </c>
      <c r="F13" s="7">
        <f>SUM('2018-19_working'!F13:G13)</f>
        <v>1</v>
      </c>
      <c r="G13" s="7">
        <f>'2018-19_working'!H13</f>
        <v>0</v>
      </c>
      <c r="H13" s="75">
        <f t="shared" si="2"/>
        <v>30.285714285714288</v>
      </c>
      <c r="J13" s="7">
        <f>'2018-19_working'!J13</f>
        <v>4</v>
      </c>
      <c r="K13" s="7">
        <f>'2018-19_working'!K13</f>
        <v>9</v>
      </c>
      <c r="L13" s="7">
        <f>'2018-19_working'!L13</f>
        <v>5</v>
      </c>
      <c r="M13" s="7">
        <f>'2018-19_working'!M13</f>
        <v>1</v>
      </c>
      <c r="N13" s="7">
        <f>SUM('2018-19_working'!N13:O13)</f>
        <v>0</v>
      </c>
      <c r="O13" s="7">
        <f>'2018-19_working'!P13</f>
        <v>0</v>
      </c>
      <c r="P13" s="75">
        <f t="shared" si="3"/>
        <v>31.736842105263154</v>
      </c>
      <c r="R13" s="7">
        <f t="shared" si="4"/>
        <v>13</v>
      </c>
      <c r="S13" s="7">
        <f t="shared" si="5"/>
        <v>23</v>
      </c>
      <c r="T13" s="7">
        <f t="shared" si="6"/>
        <v>6</v>
      </c>
      <c r="U13" s="7">
        <f t="shared" si="7"/>
        <v>4</v>
      </c>
      <c r="V13" s="7">
        <f t="shared" si="8"/>
        <v>1</v>
      </c>
      <c r="W13" s="7">
        <f t="shared" si="9"/>
        <v>0</v>
      </c>
      <c r="X13" s="75">
        <f t="shared" si="10"/>
        <v>30.872340425531917</v>
      </c>
      <c r="Z13" s="7">
        <f>'2018-19_working'!R13</f>
        <v>0</v>
      </c>
      <c r="AA13" s="7">
        <f>'2018-19_working'!S13</f>
        <v>0</v>
      </c>
      <c r="AB13" s="7">
        <f>'2018-19_working'!T13</f>
        <v>0</v>
      </c>
      <c r="AC13" s="7">
        <f>'2018-19_working'!U13</f>
        <v>0</v>
      </c>
      <c r="AD13" s="7">
        <f>SUM('2018-19_working'!V13:W13)</f>
        <v>0</v>
      </c>
      <c r="AE13" s="7">
        <f>'2018-19_working'!X13</f>
        <v>0</v>
      </c>
      <c r="AF13" s="75" t="str">
        <f t="shared" si="11"/>
        <v>-</v>
      </c>
      <c r="AH13" s="7">
        <f>'2018-19_working'!Z13</f>
        <v>0</v>
      </c>
      <c r="AI13" s="7">
        <f>'2018-19_working'!AA13</f>
        <v>0</v>
      </c>
      <c r="AJ13" s="7">
        <f>'2018-19_working'!AB13</f>
        <v>1</v>
      </c>
      <c r="AK13" s="7">
        <f>'2018-19_working'!AC13</f>
        <v>3</v>
      </c>
      <c r="AL13" s="7">
        <f>SUM('2018-19_working'!AD13:AE13)</f>
        <v>2</v>
      </c>
      <c r="AM13" s="7">
        <f>'2018-19_working'!AF13</f>
        <v>0</v>
      </c>
      <c r="AN13" s="75">
        <f t="shared" si="12"/>
        <v>50.666666666666664</v>
      </c>
      <c r="AP13" s="7">
        <f t="shared" si="13"/>
        <v>13</v>
      </c>
      <c r="AQ13" s="7">
        <f t="shared" si="14"/>
        <v>23</v>
      </c>
      <c r="AR13" s="7">
        <f t="shared" si="15"/>
        <v>7</v>
      </c>
      <c r="AS13" s="7">
        <f t="shared" si="16"/>
        <v>7</v>
      </c>
      <c r="AT13" s="7">
        <f t="shared" si="17"/>
        <v>3</v>
      </c>
      <c r="AU13" s="7">
        <f t="shared" si="18"/>
        <v>0</v>
      </c>
      <c r="AV13" s="75">
        <f t="shared" si="19"/>
        <v>33.113207547169814</v>
      </c>
    </row>
    <row r="14" spans="1:48" x14ac:dyDescent="0.35">
      <c r="A14" s="7" t="s">
        <v>19</v>
      </c>
      <c r="B14" s="7">
        <f>'2018-19_working'!B14</f>
        <v>0</v>
      </c>
      <c r="C14" s="7">
        <f>'2018-19_working'!C14</f>
        <v>12</v>
      </c>
      <c r="D14" s="7">
        <f>'2018-19_working'!D14</f>
        <v>1</v>
      </c>
      <c r="E14" s="7">
        <f>'2018-19_working'!E14</f>
        <v>1</v>
      </c>
      <c r="F14" s="7">
        <f>SUM('2018-19_working'!F14:G14)</f>
        <v>0</v>
      </c>
      <c r="G14" s="7">
        <f>'2018-19_working'!H14</f>
        <v>0</v>
      </c>
      <c r="H14" s="75">
        <f t="shared" si="2"/>
        <v>32.214285714285708</v>
      </c>
      <c r="J14" s="7">
        <f>'2018-19_working'!J14</f>
        <v>7</v>
      </c>
      <c r="K14" s="7">
        <f>'2018-19_working'!K14</f>
        <v>17</v>
      </c>
      <c r="L14" s="7">
        <f>'2018-19_working'!L14</f>
        <v>6</v>
      </c>
      <c r="M14" s="7">
        <f>'2018-19_working'!M14</f>
        <v>6</v>
      </c>
      <c r="N14" s="7">
        <f>SUM('2018-19_working'!N14:O14)</f>
        <v>0</v>
      </c>
      <c r="O14" s="7">
        <f>'2018-19_working'!P14</f>
        <v>0</v>
      </c>
      <c r="P14" s="75">
        <f t="shared" si="3"/>
        <v>33.222222222222221</v>
      </c>
      <c r="R14" s="7">
        <f t="shared" si="4"/>
        <v>7</v>
      </c>
      <c r="S14" s="7">
        <f t="shared" si="5"/>
        <v>29</v>
      </c>
      <c r="T14" s="7">
        <f t="shared" si="6"/>
        <v>7</v>
      </c>
      <c r="U14" s="7">
        <f t="shared" si="7"/>
        <v>7</v>
      </c>
      <c r="V14" s="7">
        <f t="shared" si="8"/>
        <v>0</v>
      </c>
      <c r="W14" s="7">
        <f t="shared" si="9"/>
        <v>0</v>
      </c>
      <c r="X14" s="75">
        <f t="shared" si="10"/>
        <v>32.94</v>
      </c>
      <c r="Z14" s="7">
        <f>'2018-19_working'!R14</f>
        <v>3</v>
      </c>
      <c r="AA14" s="7">
        <f>'2018-19_working'!S14</f>
        <v>6</v>
      </c>
      <c r="AB14" s="7">
        <f>'2018-19_working'!T14</f>
        <v>2</v>
      </c>
      <c r="AC14" s="7">
        <f>'2018-19_working'!U14</f>
        <v>1</v>
      </c>
      <c r="AD14" s="7">
        <f>SUM('2018-19_working'!V14:W14)</f>
        <v>0</v>
      </c>
      <c r="AE14" s="7">
        <f>'2018-19_working'!X14</f>
        <v>0</v>
      </c>
      <c r="AF14" s="75">
        <f t="shared" si="11"/>
        <v>30.958333333333332</v>
      </c>
      <c r="AH14" s="7">
        <f>'2018-19_working'!Z14</f>
        <v>1</v>
      </c>
      <c r="AI14" s="7">
        <f>'2018-19_working'!AA14</f>
        <v>15</v>
      </c>
      <c r="AJ14" s="7">
        <f>'2018-19_working'!AB14</f>
        <v>1</v>
      </c>
      <c r="AK14" s="7">
        <f>'2018-19_working'!AC14</f>
        <v>4</v>
      </c>
      <c r="AL14" s="7">
        <f>SUM('2018-19_working'!AD14:AE14)</f>
        <v>0</v>
      </c>
      <c r="AM14" s="7">
        <f>'2018-19_working'!AF14</f>
        <v>0</v>
      </c>
      <c r="AN14" s="75">
        <f t="shared" si="12"/>
        <v>33.928571428571431</v>
      </c>
      <c r="AP14" s="7">
        <f t="shared" si="13"/>
        <v>11</v>
      </c>
      <c r="AQ14" s="7">
        <f t="shared" si="14"/>
        <v>50</v>
      </c>
      <c r="AR14" s="7">
        <f t="shared" si="15"/>
        <v>10</v>
      </c>
      <c r="AS14" s="7">
        <f t="shared" si="16"/>
        <v>12</v>
      </c>
      <c r="AT14" s="7">
        <f t="shared" si="17"/>
        <v>0</v>
      </c>
      <c r="AU14" s="7">
        <f t="shared" si="18"/>
        <v>0</v>
      </c>
      <c r="AV14" s="75">
        <f t="shared" si="19"/>
        <v>32.903614457831331</v>
      </c>
    </row>
    <row r="15" spans="1:48" x14ac:dyDescent="0.35">
      <c r="A15" s="7" t="s">
        <v>20</v>
      </c>
      <c r="B15" s="7">
        <f>'2018-19_working'!B15</f>
        <v>13</v>
      </c>
      <c r="C15" s="7">
        <f>'2018-19_working'!C15</f>
        <v>28</v>
      </c>
      <c r="D15" s="7">
        <f>'2018-19_working'!D15</f>
        <v>8</v>
      </c>
      <c r="E15" s="7">
        <f>'2018-19_working'!E15</f>
        <v>5</v>
      </c>
      <c r="F15" s="7">
        <f>SUM('2018-19_working'!F15:G15)</f>
        <v>0</v>
      </c>
      <c r="G15" s="7">
        <f>'2018-19_working'!H15</f>
        <v>0</v>
      </c>
      <c r="H15" s="75">
        <f t="shared" si="2"/>
        <v>31.046296296296298</v>
      </c>
      <c r="J15" s="7">
        <f>'2018-19_working'!J15</f>
        <v>7</v>
      </c>
      <c r="K15" s="7">
        <f>'2018-19_working'!K15</f>
        <v>12</v>
      </c>
      <c r="L15" s="7">
        <f>'2018-19_working'!L15</f>
        <v>7</v>
      </c>
      <c r="M15" s="7">
        <f>'2018-19_working'!M15</f>
        <v>2</v>
      </c>
      <c r="N15" s="7">
        <f>SUM('2018-19_working'!N15:O15)</f>
        <v>0</v>
      </c>
      <c r="O15" s="7">
        <f>'2018-19_working'!P15</f>
        <v>0</v>
      </c>
      <c r="P15" s="75">
        <f t="shared" si="3"/>
        <v>31.589285714285712</v>
      </c>
      <c r="R15" s="7">
        <f t="shared" si="4"/>
        <v>20</v>
      </c>
      <c r="S15" s="7">
        <f t="shared" si="5"/>
        <v>40</v>
      </c>
      <c r="T15" s="7">
        <f t="shared" si="6"/>
        <v>15</v>
      </c>
      <c r="U15" s="7">
        <f t="shared" si="7"/>
        <v>7</v>
      </c>
      <c r="V15" s="7">
        <f t="shared" si="8"/>
        <v>0</v>
      </c>
      <c r="W15" s="7">
        <f t="shared" si="9"/>
        <v>0</v>
      </c>
      <c r="X15" s="75">
        <f t="shared" si="10"/>
        <v>31.231707317073173</v>
      </c>
      <c r="Z15" s="7">
        <f>'2018-19_working'!R15</f>
        <v>0</v>
      </c>
      <c r="AA15" s="7">
        <f>'2018-19_working'!S15</f>
        <v>0</v>
      </c>
      <c r="AB15" s="7">
        <f>'2018-19_working'!T15</f>
        <v>0</v>
      </c>
      <c r="AC15" s="7">
        <f>'2018-19_working'!U15</f>
        <v>0</v>
      </c>
      <c r="AD15" s="7">
        <f>SUM('2018-19_working'!V15:W15)</f>
        <v>0</v>
      </c>
      <c r="AE15" s="7">
        <f>'2018-19_working'!X15</f>
        <v>0</v>
      </c>
      <c r="AF15" s="75" t="str">
        <f t="shared" si="11"/>
        <v>-</v>
      </c>
      <c r="AH15" s="7">
        <f>'2018-19_working'!Z15</f>
        <v>5</v>
      </c>
      <c r="AI15" s="7">
        <f>'2018-19_working'!AA15</f>
        <v>3</v>
      </c>
      <c r="AJ15" s="7">
        <f>'2018-19_working'!AB15</f>
        <v>1</v>
      </c>
      <c r="AK15" s="7">
        <f>'2018-19_working'!AC15</f>
        <v>2</v>
      </c>
      <c r="AL15" s="7">
        <f>SUM('2018-19_working'!AD15:AE15)</f>
        <v>5</v>
      </c>
      <c r="AM15" s="7">
        <f>'2018-19_working'!AF15</f>
        <v>0</v>
      </c>
      <c r="AN15" s="75">
        <f t="shared" si="12"/>
        <v>38.21875</v>
      </c>
      <c r="AP15" s="7">
        <f t="shared" si="13"/>
        <v>25</v>
      </c>
      <c r="AQ15" s="7">
        <f t="shared" si="14"/>
        <v>43</v>
      </c>
      <c r="AR15" s="7">
        <f t="shared" si="15"/>
        <v>16</v>
      </c>
      <c r="AS15" s="7">
        <f t="shared" si="16"/>
        <v>9</v>
      </c>
      <c r="AT15" s="7">
        <f t="shared" si="17"/>
        <v>5</v>
      </c>
      <c r="AU15" s="7">
        <f t="shared" si="18"/>
        <v>0</v>
      </c>
      <c r="AV15" s="75">
        <f t="shared" si="19"/>
        <v>32.372448979591837</v>
      </c>
    </row>
    <row r="16" spans="1:48" x14ac:dyDescent="0.35">
      <c r="A16" s="7" t="s">
        <v>21</v>
      </c>
      <c r="B16" s="7">
        <f>'2018-19_working'!B16</f>
        <v>5</v>
      </c>
      <c r="C16" s="7">
        <f>'2018-19_working'!C16</f>
        <v>22</v>
      </c>
      <c r="D16" s="7">
        <f>'2018-19_working'!D16</f>
        <v>7</v>
      </c>
      <c r="E16" s="7">
        <f>'2018-19_working'!E16</f>
        <v>2</v>
      </c>
      <c r="F16" s="7">
        <f>SUM('2018-19_working'!F16:G16)</f>
        <v>0</v>
      </c>
      <c r="G16" s="7">
        <f>'2018-19_working'!H16</f>
        <v>0</v>
      </c>
      <c r="H16" s="75">
        <f t="shared" si="2"/>
        <v>31.791666666666671</v>
      </c>
      <c r="J16" s="7">
        <f>'2018-19_working'!J16</f>
        <v>4</v>
      </c>
      <c r="K16" s="7">
        <f>'2018-19_working'!K16</f>
        <v>8</v>
      </c>
      <c r="L16" s="7">
        <f>'2018-19_working'!L16</f>
        <v>1</v>
      </c>
      <c r="M16" s="7">
        <f>'2018-19_working'!M16</f>
        <v>0</v>
      </c>
      <c r="N16" s="7">
        <f>SUM('2018-19_working'!N16:O16)</f>
        <v>0</v>
      </c>
      <c r="O16" s="7">
        <f>'2018-19_working'!P16</f>
        <v>0</v>
      </c>
      <c r="P16" s="75">
        <f t="shared" si="3"/>
        <v>27.730769230769234</v>
      </c>
      <c r="R16" s="7">
        <f t="shared" si="4"/>
        <v>9</v>
      </c>
      <c r="S16" s="7">
        <f t="shared" si="5"/>
        <v>30</v>
      </c>
      <c r="T16" s="7">
        <f t="shared" si="6"/>
        <v>8</v>
      </c>
      <c r="U16" s="7">
        <f t="shared" si="7"/>
        <v>2</v>
      </c>
      <c r="V16" s="7">
        <f t="shared" si="8"/>
        <v>0</v>
      </c>
      <c r="W16" s="7">
        <f t="shared" si="9"/>
        <v>0</v>
      </c>
      <c r="X16" s="75">
        <f t="shared" si="10"/>
        <v>30.714285714285715</v>
      </c>
      <c r="Z16" s="7">
        <f>'2018-19_working'!R16</f>
        <v>0</v>
      </c>
      <c r="AA16" s="7">
        <f>'2018-19_working'!S16</f>
        <v>0</v>
      </c>
      <c r="AB16" s="7">
        <f>'2018-19_working'!T16</f>
        <v>1</v>
      </c>
      <c r="AC16" s="7">
        <f>'2018-19_working'!U16</f>
        <v>1</v>
      </c>
      <c r="AD16" s="7">
        <f>SUM('2018-19_working'!V16:W16)</f>
        <v>0</v>
      </c>
      <c r="AE16" s="7">
        <f>'2018-19_working'!X16</f>
        <v>0</v>
      </c>
      <c r="AF16" s="75">
        <f t="shared" si="11"/>
        <v>45.5</v>
      </c>
      <c r="AH16" s="7">
        <f>'2018-19_working'!Z16</f>
        <v>1</v>
      </c>
      <c r="AI16" s="7">
        <f>'2018-19_working'!AA16</f>
        <v>2</v>
      </c>
      <c r="AJ16" s="7">
        <f>'2018-19_working'!AB16</f>
        <v>4</v>
      </c>
      <c r="AK16" s="7">
        <f>'2018-19_working'!AC16</f>
        <v>4</v>
      </c>
      <c r="AL16" s="7">
        <f>SUM('2018-19_working'!AD16:AE16)</f>
        <v>1</v>
      </c>
      <c r="AM16" s="7">
        <f>'2018-19_working'!AF16</f>
        <v>0</v>
      </c>
      <c r="AN16" s="75">
        <f t="shared" si="12"/>
        <v>41.666666666666664</v>
      </c>
      <c r="AP16" s="7">
        <f t="shared" si="13"/>
        <v>10</v>
      </c>
      <c r="AQ16" s="7">
        <f t="shared" si="14"/>
        <v>32</v>
      </c>
      <c r="AR16" s="7">
        <f t="shared" si="15"/>
        <v>13</v>
      </c>
      <c r="AS16" s="7">
        <f t="shared" si="16"/>
        <v>7</v>
      </c>
      <c r="AT16" s="7">
        <f t="shared" si="17"/>
        <v>1</v>
      </c>
      <c r="AU16" s="7">
        <f t="shared" si="18"/>
        <v>0</v>
      </c>
      <c r="AV16" s="75">
        <f t="shared" si="19"/>
        <v>33.269841269841265</v>
      </c>
    </row>
    <row r="17" spans="1:48" x14ac:dyDescent="0.35">
      <c r="A17" s="7" t="s">
        <v>22</v>
      </c>
      <c r="B17" s="7">
        <f>'2018-19_working'!B17</f>
        <v>0</v>
      </c>
      <c r="C17" s="7">
        <f>'2018-19_working'!C17</f>
        <v>5</v>
      </c>
      <c r="D17" s="7">
        <f>'2018-19_working'!D17</f>
        <v>5</v>
      </c>
      <c r="E17" s="7">
        <f>'2018-19_working'!E17</f>
        <v>2</v>
      </c>
      <c r="F17" s="7">
        <f>SUM('2018-19_working'!F17:G17)</f>
        <v>0</v>
      </c>
      <c r="G17" s="7">
        <f>'2018-19_working'!H17</f>
        <v>0</v>
      </c>
      <c r="H17" s="75">
        <f t="shared" si="2"/>
        <v>37.791666666666664</v>
      </c>
      <c r="J17" s="7">
        <f>'2018-19_working'!J17</f>
        <v>11</v>
      </c>
      <c r="K17" s="7">
        <f>'2018-19_working'!K17</f>
        <v>18</v>
      </c>
      <c r="L17" s="7">
        <f>'2018-19_working'!L17</f>
        <v>12</v>
      </c>
      <c r="M17" s="7">
        <f>'2018-19_working'!M17</f>
        <v>15</v>
      </c>
      <c r="N17" s="7">
        <f>SUM('2018-19_working'!N17:O17)</f>
        <v>3</v>
      </c>
      <c r="O17" s="7">
        <f>'2018-19_working'!P17</f>
        <v>0</v>
      </c>
      <c r="P17" s="75">
        <f t="shared" si="3"/>
        <v>36.805084745762713</v>
      </c>
      <c r="R17" s="7">
        <f t="shared" si="4"/>
        <v>11</v>
      </c>
      <c r="S17" s="7">
        <f t="shared" si="5"/>
        <v>23</v>
      </c>
      <c r="T17" s="7">
        <f t="shared" si="6"/>
        <v>17</v>
      </c>
      <c r="U17" s="7">
        <f t="shared" si="7"/>
        <v>17</v>
      </c>
      <c r="V17" s="7">
        <f t="shared" si="8"/>
        <v>3</v>
      </c>
      <c r="W17" s="7">
        <f t="shared" si="9"/>
        <v>0</v>
      </c>
      <c r="X17" s="75">
        <f t="shared" si="10"/>
        <v>36.971830985915489</v>
      </c>
      <c r="Z17" s="7">
        <f>'2018-19_working'!R17</f>
        <v>1</v>
      </c>
      <c r="AA17" s="7">
        <f>'2018-19_working'!S17</f>
        <v>0</v>
      </c>
      <c r="AB17" s="7">
        <f>'2018-19_working'!T17</f>
        <v>0</v>
      </c>
      <c r="AC17" s="7">
        <f>'2018-19_working'!U17</f>
        <v>2</v>
      </c>
      <c r="AD17" s="7">
        <f>SUM('2018-19_working'!V17:W17)</f>
        <v>0</v>
      </c>
      <c r="AE17" s="7">
        <f>'2018-19_working'!X17</f>
        <v>0</v>
      </c>
      <c r="AF17" s="75">
        <f t="shared" si="11"/>
        <v>40.333333333333329</v>
      </c>
      <c r="AH17" s="7">
        <f>'2018-19_working'!Z17</f>
        <v>5</v>
      </c>
      <c r="AI17" s="7">
        <f>'2018-19_working'!AA17</f>
        <v>10</v>
      </c>
      <c r="AJ17" s="7">
        <f>'2018-19_working'!AB17</f>
        <v>5</v>
      </c>
      <c r="AK17" s="7">
        <f>'2018-19_working'!AC17</f>
        <v>2</v>
      </c>
      <c r="AL17" s="7">
        <f>SUM('2018-19_working'!AD17:AE17)</f>
        <v>2</v>
      </c>
      <c r="AM17" s="7">
        <f>'2018-19_working'!AF17</f>
        <v>0</v>
      </c>
      <c r="AN17" s="75">
        <f t="shared" si="12"/>
        <v>33.979166666666664</v>
      </c>
      <c r="AP17" s="7">
        <f t="shared" si="13"/>
        <v>17</v>
      </c>
      <c r="AQ17" s="7">
        <f t="shared" si="14"/>
        <v>33</v>
      </c>
      <c r="AR17" s="7">
        <f t="shared" si="15"/>
        <v>22</v>
      </c>
      <c r="AS17" s="7">
        <f t="shared" si="16"/>
        <v>21</v>
      </c>
      <c r="AT17" s="7">
        <f t="shared" si="17"/>
        <v>5</v>
      </c>
      <c r="AU17" s="7">
        <f t="shared" si="18"/>
        <v>0</v>
      </c>
      <c r="AV17" s="75">
        <f t="shared" si="19"/>
        <v>36.341836734693871</v>
      </c>
    </row>
    <row r="18" spans="1:48" x14ac:dyDescent="0.35">
      <c r="A18" s="7" t="s">
        <v>23</v>
      </c>
      <c r="B18" s="7">
        <f>'2018-19_working'!B18</f>
        <v>0</v>
      </c>
      <c r="C18" s="7">
        <f>'2018-19_working'!C18</f>
        <v>5</v>
      </c>
      <c r="D18" s="7">
        <f>'2018-19_working'!D18</f>
        <v>2</v>
      </c>
      <c r="E18" s="7">
        <f>'2018-19_working'!E18</f>
        <v>1</v>
      </c>
      <c r="F18" s="7">
        <f>SUM('2018-19_working'!F18:G18)</f>
        <v>0</v>
      </c>
      <c r="G18" s="7">
        <f>'2018-19_working'!H18</f>
        <v>0</v>
      </c>
      <c r="H18" s="75">
        <f t="shared" si="2"/>
        <v>35.1875</v>
      </c>
      <c r="J18" s="7">
        <f>'2018-19_working'!J18</f>
        <v>5</v>
      </c>
      <c r="K18" s="7">
        <f>'2018-19_working'!K18</f>
        <v>5</v>
      </c>
      <c r="L18" s="7">
        <f>'2018-19_working'!L18</f>
        <v>2</v>
      </c>
      <c r="M18" s="7">
        <f>'2018-19_working'!M18</f>
        <v>4</v>
      </c>
      <c r="N18" s="7">
        <f>SUM('2018-19_working'!N18:O18)</f>
        <v>1</v>
      </c>
      <c r="O18" s="7">
        <f>'2018-19_working'!P18</f>
        <v>0</v>
      </c>
      <c r="P18" s="75">
        <f t="shared" si="3"/>
        <v>34.647058823529413</v>
      </c>
      <c r="R18" s="7">
        <f t="shared" si="4"/>
        <v>5</v>
      </c>
      <c r="S18" s="7">
        <f t="shared" si="5"/>
        <v>10</v>
      </c>
      <c r="T18" s="7">
        <f t="shared" si="6"/>
        <v>4</v>
      </c>
      <c r="U18" s="7">
        <f t="shared" si="7"/>
        <v>5</v>
      </c>
      <c r="V18" s="7">
        <f t="shared" si="8"/>
        <v>1</v>
      </c>
      <c r="W18" s="7">
        <f t="shared" si="9"/>
        <v>0</v>
      </c>
      <c r="X18" s="75">
        <f t="shared" si="10"/>
        <v>34.82</v>
      </c>
      <c r="Z18" s="7">
        <f>'2018-19_working'!R18</f>
        <v>0</v>
      </c>
      <c r="AA18" s="7">
        <f>'2018-19_working'!S18</f>
        <v>0</v>
      </c>
      <c r="AB18" s="7">
        <f>'2018-19_working'!T18</f>
        <v>0</v>
      </c>
      <c r="AC18" s="7">
        <f>'2018-19_working'!U18</f>
        <v>0</v>
      </c>
      <c r="AD18" s="7">
        <f>SUM('2018-19_working'!V18:W18)</f>
        <v>0</v>
      </c>
      <c r="AE18" s="7">
        <f>'2018-19_working'!X18</f>
        <v>0</v>
      </c>
      <c r="AF18" s="75" t="str">
        <f t="shared" si="11"/>
        <v>-</v>
      </c>
      <c r="AH18" s="7">
        <f>'2018-19_working'!Z18</f>
        <v>0</v>
      </c>
      <c r="AI18" s="7">
        <f>'2018-19_working'!AA18</f>
        <v>2</v>
      </c>
      <c r="AJ18" s="7">
        <f>'2018-19_working'!AB18</f>
        <v>0</v>
      </c>
      <c r="AK18" s="7">
        <f>'2018-19_working'!AC18</f>
        <v>1</v>
      </c>
      <c r="AL18" s="7">
        <f>SUM('2018-19_working'!AD18:AE18)</f>
        <v>2</v>
      </c>
      <c r="AM18" s="7">
        <f>'2018-19_working'!AF18</f>
        <v>0</v>
      </c>
      <c r="AN18" s="75">
        <f t="shared" si="12"/>
        <v>44.5</v>
      </c>
      <c r="AP18" s="7">
        <f t="shared" si="13"/>
        <v>5</v>
      </c>
      <c r="AQ18" s="7">
        <f t="shared" si="14"/>
        <v>12</v>
      </c>
      <c r="AR18" s="7">
        <f t="shared" si="15"/>
        <v>4</v>
      </c>
      <c r="AS18" s="7">
        <f t="shared" si="16"/>
        <v>6</v>
      </c>
      <c r="AT18" s="7">
        <f t="shared" si="17"/>
        <v>3</v>
      </c>
      <c r="AU18" s="7">
        <f t="shared" si="18"/>
        <v>0</v>
      </c>
      <c r="AV18" s="75">
        <f t="shared" si="19"/>
        <v>36.433333333333337</v>
      </c>
    </row>
    <row r="19" spans="1:48" x14ac:dyDescent="0.35">
      <c r="A19" s="7" t="s">
        <v>24</v>
      </c>
      <c r="B19" s="7">
        <f>'2018-19_working'!B19</f>
        <v>5</v>
      </c>
      <c r="C19" s="7">
        <f>'2018-19_working'!C19</f>
        <v>24</v>
      </c>
      <c r="D19" s="7">
        <f>'2018-19_working'!D19</f>
        <v>2</v>
      </c>
      <c r="E19" s="7">
        <f>'2018-19_working'!E19</f>
        <v>0</v>
      </c>
      <c r="F19" s="7">
        <f>SUM('2018-19_working'!F19:G19)</f>
        <v>0</v>
      </c>
      <c r="G19" s="7">
        <f>'2018-19_working'!H19</f>
        <v>0</v>
      </c>
      <c r="H19" s="75">
        <f t="shared" si="2"/>
        <v>29.06451612903226</v>
      </c>
      <c r="J19" s="7">
        <f>'2018-19_working'!J19</f>
        <v>6</v>
      </c>
      <c r="K19" s="7">
        <f>'2018-19_working'!K19</f>
        <v>17</v>
      </c>
      <c r="L19" s="7">
        <f>'2018-19_working'!L19</f>
        <v>4</v>
      </c>
      <c r="M19" s="7">
        <f>'2018-19_working'!M19</f>
        <v>2</v>
      </c>
      <c r="N19" s="7">
        <f>SUM('2018-19_working'!N19:O19)</f>
        <v>1</v>
      </c>
      <c r="O19" s="7">
        <f>'2018-19_working'!P19</f>
        <v>0</v>
      </c>
      <c r="P19" s="75">
        <f t="shared" si="3"/>
        <v>31.633333333333333</v>
      </c>
      <c r="R19" s="7">
        <f t="shared" si="4"/>
        <v>11</v>
      </c>
      <c r="S19" s="7">
        <f t="shared" si="5"/>
        <v>41</v>
      </c>
      <c r="T19" s="7">
        <f t="shared" si="6"/>
        <v>6</v>
      </c>
      <c r="U19" s="7">
        <f t="shared" si="7"/>
        <v>2</v>
      </c>
      <c r="V19" s="7">
        <f t="shared" si="8"/>
        <v>1</v>
      </c>
      <c r="W19" s="7">
        <f t="shared" si="9"/>
        <v>0</v>
      </c>
      <c r="X19" s="75">
        <f t="shared" si="10"/>
        <v>30.327868852459012</v>
      </c>
      <c r="Z19" s="7">
        <f>'2018-19_working'!R19</f>
        <v>0</v>
      </c>
      <c r="AA19" s="7">
        <f>'2018-19_working'!S19</f>
        <v>0</v>
      </c>
      <c r="AB19" s="7">
        <f>'2018-19_working'!T19</f>
        <v>0</v>
      </c>
      <c r="AC19" s="7">
        <f>'2018-19_working'!U19</f>
        <v>0</v>
      </c>
      <c r="AD19" s="7">
        <f>SUM('2018-19_working'!V19:W19)</f>
        <v>0</v>
      </c>
      <c r="AE19" s="7">
        <f>'2018-19_working'!X19</f>
        <v>0</v>
      </c>
      <c r="AF19" s="75" t="str">
        <f t="shared" si="11"/>
        <v>-</v>
      </c>
      <c r="AH19" s="7">
        <f>'2018-19_working'!Z19</f>
        <v>1</v>
      </c>
      <c r="AI19" s="7">
        <f>'2018-19_working'!AA19</f>
        <v>8</v>
      </c>
      <c r="AJ19" s="7">
        <f>'2018-19_working'!AB19</f>
        <v>9</v>
      </c>
      <c r="AK19" s="7">
        <f>'2018-19_working'!AC19</f>
        <v>11</v>
      </c>
      <c r="AL19" s="7">
        <f>SUM('2018-19_working'!AD19:AE19)</f>
        <v>1</v>
      </c>
      <c r="AM19" s="7">
        <f>'2018-19_working'!AF19</f>
        <v>0</v>
      </c>
      <c r="AN19" s="75">
        <f t="shared" si="12"/>
        <v>41.199999999999996</v>
      </c>
      <c r="AP19" s="7">
        <f t="shared" si="13"/>
        <v>12</v>
      </c>
      <c r="AQ19" s="7">
        <f t="shared" si="14"/>
        <v>49</v>
      </c>
      <c r="AR19" s="7">
        <f t="shared" si="15"/>
        <v>15</v>
      </c>
      <c r="AS19" s="7">
        <f t="shared" si="16"/>
        <v>13</v>
      </c>
      <c r="AT19" s="7">
        <f t="shared" si="17"/>
        <v>2</v>
      </c>
      <c r="AU19" s="7">
        <f t="shared" si="18"/>
        <v>0</v>
      </c>
      <c r="AV19" s="75">
        <f t="shared" si="19"/>
        <v>33.912087912087912</v>
      </c>
    </row>
    <row r="20" spans="1:48" x14ac:dyDescent="0.35">
      <c r="A20" s="7" t="s">
        <v>25</v>
      </c>
      <c r="B20" s="7">
        <f>'2018-19_working'!B20</f>
        <v>0</v>
      </c>
      <c r="C20" s="7">
        <f>'2018-19_working'!C20</f>
        <v>2</v>
      </c>
      <c r="D20" s="7">
        <f>'2018-19_working'!D20</f>
        <v>3</v>
      </c>
      <c r="E20" s="7">
        <f>'2018-19_working'!E20</f>
        <v>2</v>
      </c>
      <c r="F20" s="7">
        <f>SUM('2018-19_working'!F20:G20)</f>
        <v>1</v>
      </c>
      <c r="G20" s="7">
        <f>'2018-19_working'!H20</f>
        <v>0</v>
      </c>
      <c r="H20" s="75">
        <f t="shared" si="2"/>
        <v>42.3125</v>
      </c>
      <c r="J20" s="7">
        <f>'2018-19_working'!J20</f>
        <v>26</v>
      </c>
      <c r="K20" s="7">
        <f>'2018-19_working'!K20</f>
        <v>57</v>
      </c>
      <c r="L20" s="7">
        <f>'2018-19_working'!L20</f>
        <v>26</v>
      </c>
      <c r="M20" s="7">
        <f>'2018-19_working'!M20</f>
        <v>14</v>
      </c>
      <c r="N20" s="7">
        <f>SUM('2018-19_working'!N20:O20)</f>
        <v>6</v>
      </c>
      <c r="O20" s="7">
        <f>'2018-19_working'!P20</f>
        <v>0</v>
      </c>
      <c r="P20" s="75">
        <f t="shared" si="3"/>
        <v>33.534883720930232</v>
      </c>
      <c r="R20" s="7">
        <f t="shared" si="4"/>
        <v>26</v>
      </c>
      <c r="S20" s="7">
        <f t="shared" si="5"/>
        <v>59</v>
      </c>
      <c r="T20" s="7">
        <f t="shared" si="6"/>
        <v>29</v>
      </c>
      <c r="U20" s="7">
        <f t="shared" si="7"/>
        <v>16</v>
      </c>
      <c r="V20" s="7">
        <f t="shared" si="8"/>
        <v>7</v>
      </c>
      <c r="W20" s="7">
        <f t="shared" si="9"/>
        <v>0</v>
      </c>
      <c r="X20" s="75">
        <f t="shared" si="10"/>
        <v>34.04744525547445</v>
      </c>
      <c r="Z20" s="7">
        <f>'2018-19_working'!R20</f>
        <v>0</v>
      </c>
      <c r="AA20" s="7">
        <f>'2018-19_working'!S20</f>
        <v>0</v>
      </c>
      <c r="AB20" s="7">
        <f>'2018-19_working'!T20</f>
        <v>0</v>
      </c>
      <c r="AC20" s="7">
        <f>'2018-19_working'!U20</f>
        <v>0</v>
      </c>
      <c r="AD20" s="7">
        <f>SUM('2018-19_working'!V20:W20)</f>
        <v>0</v>
      </c>
      <c r="AE20" s="7">
        <f>'2018-19_working'!X20</f>
        <v>0</v>
      </c>
      <c r="AF20" s="75" t="str">
        <f t="shared" si="11"/>
        <v>-</v>
      </c>
      <c r="AH20" s="7">
        <f>'2018-19_working'!Z20</f>
        <v>5</v>
      </c>
      <c r="AI20" s="7">
        <f>'2018-19_working'!AA20</f>
        <v>6</v>
      </c>
      <c r="AJ20" s="7">
        <f>'2018-19_working'!AB20</f>
        <v>4</v>
      </c>
      <c r="AK20" s="7">
        <f>'2018-19_working'!AC20</f>
        <v>10</v>
      </c>
      <c r="AL20" s="7">
        <f>SUM('2018-19_working'!AD20:AE20)</f>
        <v>2</v>
      </c>
      <c r="AM20" s="7">
        <f>'2018-19_working'!AF20</f>
        <v>0</v>
      </c>
      <c r="AN20" s="75">
        <f t="shared" si="12"/>
        <v>39.222222222222221</v>
      </c>
      <c r="AP20" s="7">
        <f t="shared" si="13"/>
        <v>31</v>
      </c>
      <c r="AQ20" s="7">
        <f t="shared" si="14"/>
        <v>65</v>
      </c>
      <c r="AR20" s="7">
        <f t="shared" si="15"/>
        <v>33</v>
      </c>
      <c r="AS20" s="7">
        <f t="shared" si="16"/>
        <v>26</v>
      </c>
      <c r="AT20" s="7">
        <f t="shared" si="17"/>
        <v>9</v>
      </c>
      <c r="AU20" s="7">
        <f t="shared" si="18"/>
        <v>0</v>
      </c>
      <c r="AV20" s="75">
        <f t="shared" si="19"/>
        <v>34.899390243902438</v>
      </c>
    </row>
    <row r="21" spans="1:48" x14ac:dyDescent="0.35">
      <c r="A21" s="7" t="s">
        <v>26</v>
      </c>
      <c r="B21" s="7">
        <f>'2018-19_working'!B21</f>
        <v>5</v>
      </c>
      <c r="C21" s="7">
        <f>'2018-19_working'!C21</f>
        <v>15</v>
      </c>
      <c r="D21" s="7">
        <f>'2018-19_working'!D21</f>
        <v>6</v>
      </c>
      <c r="E21" s="7">
        <f>'2018-19_working'!E21</f>
        <v>6</v>
      </c>
      <c r="F21" s="7">
        <f>SUM('2018-19_working'!F21:G21)</f>
        <v>0</v>
      </c>
      <c r="G21" s="7">
        <f>'2018-19_working'!H21</f>
        <v>0</v>
      </c>
      <c r="H21" s="75">
        <f t="shared" si="2"/>
        <v>34.25</v>
      </c>
      <c r="J21" s="7">
        <f>'2018-19_working'!J21</f>
        <v>18</v>
      </c>
      <c r="K21" s="7">
        <f>'2018-19_working'!K21</f>
        <v>39</v>
      </c>
      <c r="L21" s="7">
        <f>'2018-19_working'!L21</f>
        <v>8</v>
      </c>
      <c r="M21" s="7">
        <f>'2018-19_working'!M21</f>
        <v>2</v>
      </c>
      <c r="N21" s="7">
        <f>SUM('2018-19_working'!N21:O21)</f>
        <v>0</v>
      </c>
      <c r="O21" s="7">
        <f>'2018-19_working'!P21</f>
        <v>0</v>
      </c>
      <c r="P21" s="75">
        <f t="shared" si="3"/>
        <v>29.17910447761194</v>
      </c>
      <c r="R21" s="7">
        <f t="shared" si="4"/>
        <v>23</v>
      </c>
      <c r="S21" s="7">
        <f t="shared" si="5"/>
        <v>54</v>
      </c>
      <c r="T21" s="7">
        <f t="shared" si="6"/>
        <v>14</v>
      </c>
      <c r="U21" s="7">
        <f t="shared" si="7"/>
        <v>8</v>
      </c>
      <c r="V21" s="7">
        <f t="shared" si="8"/>
        <v>0</v>
      </c>
      <c r="W21" s="7">
        <f t="shared" si="9"/>
        <v>0</v>
      </c>
      <c r="X21" s="75">
        <f t="shared" si="10"/>
        <v>30.81818181818182</v>
      </c>
      <c r="Z21" s="7">
        <f>'2018-19_working'!R21</f>
        <v>0</v>
      </c>
      <c r="AA21" s="7">
        <f>'2018-19_working'!S21</f>
        <v>0</v>
      </c>
      <c r="AB21" s="7">
        <f>'2018-19_working'!T21</f>
        <v>0</v>
      </c>
      <c r="AC21" s="7">
        <f>'2018-19_working'!U21</f>
        <v>0</v>
      </c>
      <c r="AD21" s="7">
        <f>SUM('2018-19_working'!V21:W21)</f>
        <v>0</v>
      </c>
      <c r="AE21" s="7">
        <f>'2018-19_working'!X21</f>
        <v>0</v>
      </c>
      <c r="AF21" s="75" t="str">
        <f t="shared" si="11"/>
        <v>-</v>
      </c>
      <c r="AH21" s="7">
        <f>'2018-19_working'!Z21</f>
        <v>5</v>
      </c>
      <c r="AI21" s="7">
        <f>'2018-19_working'!AA21</f>
        <v>16</v>
      </c>
      <c r="AJ21" s="7">
        <f>'2018-19_working'!AB21</f>
        <v>16</v>
      </c>
      <c r="AK21" s="7">
        <f>'2018-19_working'!AC21</f>
        <v>14</v>
      </c>
      <c r="AL21" s="7">
        <f>SUM('2018-19_working'!AD21:AE21)</f>
        <v>5</v>
      </c>
      <c r="AM21" s="7">
        <f>'2018-19_working'!AF21</f>
        <v>0</v>
      </c>
      <c r="AN21" s="75">
        <f t="shared" si="12"/>
        <v>39.553571428571431</v>
      </c>
      <c r="AP21" s="7">
        <f t="shared" si="13"/>
        <v>28</v>
      </c>
      <c r="AQ21" s="7">
        <f t="shared" si="14"/>
        <v>70</v>
      </c>
      <c r="AR21" s="7">
        <f t="shared" si="15"/>
        <v>30</v>
      </c>
      <c r="AS21" s="7">
        <f t="shared" si="16"/>
        <v>22</v>
      </c>
      <c r="AT21" s="7">
        <f t="shared" si="17"/>
        <v>5</v>
      </c>
      <c r="AU21" s="7">
        <f t="shared" si="18"/>
        <v>0</v>
      </c>
      <c r="AV21" s="75">
        <f t="shared" si="19"/>
        <v>33.974193548387099</v>
      </c>
    </row>
    <row r="22" spans="1:48" x14ac:dyDescent="0.35">
      <c r="A22" s="7" t="s">
        <v>27</v>
      </c>
      <c r="B22" s="7">
        <f>'2018-19_working'!B22</f>
        <v>0</v>
      </c>
      <c r="C22" s="7">
        <f>'2018-19_working'!C22</f>
        <v>0</v>
      </c>
      <c r="D22" s="7">
        <f>'2018-19_working'!D22</f>
        <v>0</v>
      </c>
      <c r="E22" s="7">
        <f>'2018-19_working'!E22</f>
        <v>0</v>
      </c>
      <c r="F22" s="7">
        <f>SUM('2018-19_working'!F22:G22)</f>
        <v>0</v>
      </c>
      <c r="G22" s="7">
        <f>'2018-19_working'!H22</f>
        <v>0</v>
      </c>
      <c r="H22" s="75" t="str">
        <f t="shared" si="2"/>
        <v>-</v>
      </c>
      <c r="J22" s="7">
        <f>'2018-19_working'!J22</f>
        <v>7</v>
      </c>
      <c r="K22" s="7">
        <f>'2018-19_working'!K22</f>
        <v>11</v>
      </c>
      <c r="L22" s="7">
        <f>'2018-19_working'!L22</f>
        <v>2</v>
      </c>
      <c r="M22" s="7">
        <f>'2018-19_working'!M22</f>
        <v>1</v>
      </c>
      <c r="N22" s="7">
        <f>SUM('2018-19_working'!N22:O22)</f>
        <v>0</v>
      </c>
      <c r="O22" s="7">
        <f>'2018-19_working'!P22</f>
        <v>1</v>
      </c>
      <c r="P22" s="75">
        <f t="shared" si="3"/>
        <v>28.642857142857142</v>
      </c>
      <c r="R22" s="7">
        <f t="shared" si="4"/>
        <v>7</v>
      </c>
      <c r="S22" s="7">
        <f t="shared" si="5"/>
        <v>11</v>
      </c>
      <c r="T22" s="7">
        <f t="shared" si="6"/>
        <v>2</v>
      </c>
      <c r="U22" s="7">
        <f t="shared" si="7"/>
        <v>1</v>
      </c>
      <c r="V22" s="7">
        <f t="shared" si="8"/>
        <v>0</v>
      </c>
      <c r="W22" s="7">
        <f t="shared" si="9"/>
        <v>1</v>
      </c>
      <c r="X22" s="75">
        <f t="shared" si="10"/>
        <v>28.642857142857142</v>
      </c>
      <c r="Z22" s="7">
        <f>'2018-19_working'!R22</f>
        <v>0</v>
      </c>
      <c r="AA22" s="7">
        <f>'2018-19_working'!S22</f>
        <v>0</v>
      </c>
      <c r="AB22" s="7">
        <f>'2018-19_working'!T22</f>
        <v>0</v>
      </c>
      <c r="AC22" s="7">
        <f>'2018-19_working'!U22</f>
        <v>0</v>
      </c>
      <c r="AD22" s="7">
        <f>SUM('2018-19_working'!V22:W22)</f>
        <v>0</v>
      </c>
      <c r="AE22" s="7">
        <f>'2018-19_working'!X22</f>
        <v>0</v>
      </c>
      <c r="AF22" s="75" t="str">
        <f t="shared" si="11"/>
        <v>-</v>
      </c>
      <c r="AH22" s="7">
        <f>'2018-19_working'!Z22</f>
        <v>3</v>
      </c>
      <c r="AI22" s="7">
        <f>'2018-19_working'!AA22</f>
        <v>5</v>
      </c>
      <c r="AJ22" s="7">
        <f>'2018-19_working'!AB22</f>
        <v>2</v>
      </c>
      <c r="AK22" s="7">
        <f>'2018-19_working'!AC22</f>
        <v>1</v>
      </c>
      <c r="AL22" s="7">
        <f>SUM('2018-19_working'!AD22:AE22)</f>
        <v>0</v>
      </c>
      <c r="AM22" s="7">
        <f>'2018-19_working'!AF22</f>
        <v>0</v>
      </c>
      <c r="AN22" s="75">
        <f t="shared" si="12"/>
        <v>31.045454545454543</v>
      </c>
      <c r="AP22" s="7">
        <f t="shared" si="13"/>
        <v>10</v>
      </c>
      <c r="AQ22" s="7">
        <f t="shared" si="14"/>
        <v>16</v>
      </c>
      <c r="AR22" s="7">
        <f t="shared" si="15"/>
        <v>4</v>
      </c>
      <c r="AS22" s="7">
        <f t="shared" si="16"/>
        <v>2</v>
      </c>
      <c r="AT22" s="7">
        <f t="shared" si="17"/>
        <v>0</v>
      </c>
      <c r="AU22" s="7">
        <f t="shared" si="18"/>
        <v>1</v>
      </c>
      <c r="AV22" s="75">
        <f t="shared" si="19"/>
        <v>29.46875</v>
      </c>
    </row>
    <row r="23" spans="1:48" x14ac:dyDescent="0.35">
      <c r="A23" s="7" t="s">
        <v>28</v>
      </c>
      <c r="B23" s="7">
        <f>'2018-19_working'!B23</f>
        <v>0</v>
      </c>
      <c r="C23" s="7">
        <f>'2018-19_working'!C23</f>
        <v>1</v>
      </c>
      <c r="D23" s="7">
        <f>'2018-19_working'!D23</f>
        <v>1</v>
      </c>
      <c r="E23" s="7">
        <f>'2018-19_working'!E23</f>
        <v>0</v>
      </c>
      <c r="F23" s="7">
        <f>SUM('2018-19_working'!F23:G23)</f>
        <v>0</v>
      </c>
      <c r="G23" s="7">
        <f>'2018-19_working'!H23</f>
        <v>0</v>
      </c>
      <c r="H23" s="75">
        <f t="shared" si="2"/>
        <v>35.25</v>
      </c>
      <c r="J23" s="7">
        <f>'2018-19_working'!J23</f>
        <v>7</v>
      </c>
      <c r="K23" s="7">
        <f>'2018-19_working'!K23</f>
        <v>12</v>
      </c>
      <c r="L23" s="7">
        <f>'2018-19_working'!L23</f>
        <v>6</v>
      </c>
      <c r="M23" s="7">
        <f>'2018-19_working'!M23</f>
        <v>2</v>
      </c>
      <c r="N23" s="7">
        <f>SUM('2018-19_working'!N23:O23)</f>
        <v>0</v>
      </c>
      <c r="O23" s="7">
        <f>'2018-19_working'!P23</f>
        <v>0</v>
      </c>
      <c r="P23" s="75">
        <f t="shared" si="3"/>
        <v>31.25925925925926</v>
      </c>
      <c r="R23" s="7">
        <f t="shared" si="4"/>
        <v>7</v>
      </c>
      <c r="S23" s="7">
        <f t="shared" si="5"/>
        <v>13</v>
      </c>
      <c r="T23" s="7">
        <f t="shared" si="6"/>
        <v>7</v>
      </c>
      <c r="U23" s="7">
        <f t="shared" si="7"/>
        <v>2</v>
      </c>
      <c r="V23" s="7">
        <f t="shared" si="8"/>
        <v>0</v>
      </c>
      <c r="W23" s="7">
        <f t="shared" si="9"/>
        <v>0</v>
      </c>
      <c r="X23" s="75">
        <f t="shared" si="10"/>
        <v>31.534482758620687</v>
      </c>
      <c r="Z23" s="7">
        <f>'2018-19_working'!R23</f>
        <v>2</v>
      </c>
      <c r="AA23" s="7">
        <f>'2018-19_working'!S23</f>
        <v>0</v>
      </c>
      <c r="AB23" s="7">
        <f>'2018-19_working'!T23</f>
        <v>0</v>
      </c>
      <c r="AC23" s="7">
        <f>'2018-19_working'!U23</f>
        <v>0</v>
      </c>
      <c r="AD23" s="7">
        <f>SUM('2018-19_working'!V23:W23)</f>
        <v>0</v>
      </c>
      <c r="AE23" s="7">
        <f>'2018-19_working'!X23</f>
        <v>0</v>
      </c>
      <c r="AF23" s="75">
        <f t="shared" si="11"/>
        <v>20</v>
      </c>
      <c r="AH23" s="7">
        <f>'2018-19_working'!Z23</f>
        <v>2</v>
      </c>
      <c r="AI23" s="7">
        <f>'2018-19_working'!AA23</f>
        <v>5</v>
      </c>
      <c r="AJ23" s="7">
        <f>'2018-19_working'!AB23</f>
        <v>5</v>
      </c>
      <c r="AK23" s="7">
        <f>'2018-19_working'!AC23</f>
        <v>12</v>
      </c>
      <c r="AL23" s="7">
        <f>SUM('2018-19_working'!AD23:AE23)</f>
        <v>2</v>
      </c>
      <c r="AM23" s="7">
        <f>'2018-19_working'!AF23</f>
        <v>0</v>
      </c>
      <c r="AN23" s="75">
        <f t="shared" si="12"/>
        <v>42.711538461538467</v>
      </c>
      <c r="AP23" s="7">
        <f t="shared" si="13"/>
        <v>11</v>
      </c>
      <c r="AQ23" s="7">
        <f t="shared" si="14"/>
        <v>18</v>
      </c>
      <c r="AR23" s="7">
        <f t="shared" si="15"/>
        <v>12</v>
      </c>
      <c r="AS23" s="7">
        <f t="shared" si="16"/>
        <v>14</v>
      </c>
      <c r="AT23" s="7">
        <f t="shared" si="17"/>
        <v>2</v>
      </c>
      <c r="AU23" s="7">
        <f t="shared" si="18"/>
        <v>0</v>
      </c>
      <c r="AV23" s="75">
        <f t="shared" si="19"/>
        <v>36.228070175438589</v>
      </c>
    </row>
    <row r="24" spans="1:48" x14ac:dyDescent="0.35">
      <c r="A24" s="7" t="s">
        <v>29</v>
      </c>
      <c r="B24" s="7">
        <f>'2018-19_working'!B24</f>
        <v>5</v>
      </c>
      <c r="C24" s="7">
        <f>'2018-19_working'!C24</f>
        <v>36</v>
      </c>
      <c r="D24" s="7">
        <f>'2018-19_working'!D24</f>
        <v>11</v>
      </c>
      <c r="E24" s="7">
        <f>'2018-19_working'!E24</f>
        <v>5</v>
      </c>
      <c r="F24" s="7">
        <f>SUM('2018-19_working'!F24:G24)</f>
        <v>0</v>
      </c>
      <c r="G24" s="7">
        <f>'2018-19_working'!H24</f>
        <v>0</v>
      </c>
      <c r="H24" s="75">
        <f t="shared" si="2"/>
        <v>32.94736842105263</v>
      </c>
      <c r="J24" s="7">
        <f>'2018-19_working'!J24</f>
        <v>18</v>
      </c>
      <c r="K24" s="7">
        <f>'2018-19_working'!K24</f>
        <v>29</v>
      </c>
      <c r="L24" s="7">
        <f>'2018-19_working'!L24</f>
        <v>11</v>
      </c>
      <c r="M24" s="7">
        <f>'2018-19_working'!M24</f>
        <v>3</v>
      </c>
      <c r="N24" s="7">
        <f>SUM('2018-19_working'!N24:O24)</f>
        <v>1</v>
      </c>
      <c r="O24" s="7">
        <f>'2018-19_working'!P24</f>
        <v>0</v>
      </c>
      <c r="P24" s="75">
        <f t="shared" si="3"/>
        <v>30.370967741935484</v>
      </c>
      <c r="R24" s="7">
        <f t="shared" si="4"/>
        <v>23</v>
      </c>
      <c r="S24" s="7">
        <f t="shared" si="5"/>
        <v>65</v>
      </c>
      <c r="T24" s="7">
        <f t="shared" si="6"/>
        <v>22</v>
      </c>
      <c r="U24" s="7">
        <f t="shared" si="7"/>
        <v>8</v>
      </c>
      <c r="V24" s="7">
        <f t="shared" si="8"/>
        <v>1</v>
      </c>
      <c r="W24" s="7">
        <f t="shared" si="9"/>
        <v>0</v>
      </c>
      <c r="X24" s="75">
        <f t="shared" si="10"/>
        <v>31.605042016806717</v>
      </c>
      <c r="Z24" s="7">
        <f>'2018-19_working'!R24</f>
        <v>0</v>
      </c>
      <c r="AA24" s="7">
        <f>'2018-19_working'!S24</f>
        <v>1</v>
      </c>
      <c r="AB24" s="7">
        <f>'2018-19_working'!T24</f>
        <v>1</v>
      </c>
      <c r="AC24" s="7">
        <f>'2018-19_working'!U24</f>
        <v>1</v>
      </c>
      <c r="AD24" s="7">
        <f>SUM('2018-19_working'!V24:W24)</f>
        <v>0</v>
      </c>
      <c r="AE24" s="7">
        <f>'2018-19_working'!X24</f>
        <v>0</v>
      </c>
      <c r="AF24" s="75">
        <f t="shared" si="11"/>
        <v>40.333333333333329</v>
      </c>
      <c r="AH24" s="7">
        <f>'2018-19_working'!Z24</f>
        <v>5</v>
      </c>
      <c r="AI24" s="7">
        <f>'2018-19_working'!AA24</f>
        <v>9</v>
      </c>
      <c r="AJ24" s="7">
        <f>'2018-19_working'!AB24</f>
        <v>5</v>
      </c>
      <c r="AK24" s="7">
        <f>'2018-19_working'!AC24</f>
        <v>10</v>
      </c>
      <c r="AL24" s="7">
        <f>SUM('2018-19_working'!AD24:AE24)</f>
        <v>2</v>
      </c>
      <c r="AM24" s="7">
        <f>'2018-19_working'!AF24</f>
        <v>0</v>
      </c>
      <c r="AN24" s="75">
        <f t="shared" si="12"/>
        <v>38.37096774193548</v>
      </c>
      <c r="AP24" s="7">
        <f t="shared" si="13"/>
        <v>28</v>
      </c>
      <c r="AQ24" s="7">
        <f t="shared" si="14"/>
        <v>75</v>
      </c>
      <c r="AR24" s="7">
        <f t="shared" si="15"/>
        <v>28</v>
      </c>
      <c r="AS24" s="7">
        <f t="shared" si="16"/>
        <v>19</v>
      </c>
      <c r="AT24" s="7">
        <f t="shared" si="17"/>
        <v>3</v>
      </c>
      <c r="AU24" s="7">
        <f t="shared" si="18"/>
        <v>0</v>
      </c>
      <c r="AV24" s="75">
        <f t="shared" si="19"/>
        <v>33.147058823529413</v>
      </c>
    </row>
    <row r="25" spans="1:48" x14ac:dyDescent="0.35">
      <c r="A25" s="7" t="s">
        <v>30</v>
      </c>
      <c r="B25" s="7">
        <f>'2018-19_working'!B25</f>
        <v>0</v>
      </c>
      <c r="C25" s="7">
        <f>'2018-19_working'!C25</f>
        <v>2</v>
      </c>
      <c r="D25" s="7">
        <f>'2018-19_working'!D25</f>
        <v>3</v>
      </c>
      <c r="E25" s="7">
        <f>'2018-19_working'!E25</f>
        <v>2</v>
      </c>
      <c r="F25" s="7">
        <f>SUM('2018-19_working'!F25:G25)</f>
        <v>0</v>
      </c>
      <c r="G25" s="7">
        <f>'2018-19_working'!H25</f>
        <v>0</v>
      </c>
      <c r="H25" s="75">
        <f t="shared" si="2"/>
        <v>40.357142857142861</v>
      </c>
      <c r="J25" s="7">
        <f>'2018-19_working'!J25</f>
        <v>11</v>
      </c>
      <c r="K25" s="7">
        <f>'2018-19_working'!K25</f>
        <v>19</v>
      </c>
      <c r="L25" s="7">
        <f>'2018-19_working'!L25</f>
        <v>13</v>
      </c>
      <c r="M25" s="7">
        <f>'2018-19_working'!M25</f>
        <v>6</v>
      </c>
      <c r="N25" s="7">
        <f>SUM('2018-19_working'!N25:O25)</f>
        <v>2</v>
      </c>
      <c r="O25" s="7">
        <f>'2018-19_working'!P25</f>
        <v>0</v>
      </c>
      <c r="P25" s="75">
        <f t="shared" si="3"/>
        <v>33.950980392156865</v>
      </c>
      <c r="R25" s="7">
        <f t="shared" si="4"/>
        <v>11</v>
      </c>
      <c r="S25" s="7">
        <f t="shared" si="5"/>
        <v>21</v>
      </c>
      <c r="T25" s="7">
        <f t="shared" si="6"/>
        <v>16</v>
      </c>
      <c r="U25" s="7">
        <f t="shared" si="7"/>
        <v>8</v>
      </c>
      <c r="V25" s="7">
        <f t="shared" si="8"/>
        <v>2</v>
      </c>
      <c r="W25" s="7">
        <f t="shared" si="9"/>
        <v>0</v>
      </c>
      <c r="X25" s="75">
        <f t="shared" si="10"/>
        <v>34.724137931034484</v>
      </c>
      <c r="Z25" s="7">
        <f>'2018-19_working'!R25</f>
        <v>0</v>
      </c>
      <c r="AA25" s="7">
        <f>'2018-19_working'!S25</f>
        <v>0</v>
      </c>
      <c r="AB25" s="7">
        <f>'2018-19_working'!T25</f>
        <v>0</v>
      </c>
      <c r="AC25" s="7">
        <f>'2018-19_working'!U25</f>
        <v>0</v>
      </c>
      <c r="AD25" s="7">
        <f>SUM('2018-19_working'!V25:W25)</f>
        <v>0</v>
      </c>
      <c r="AE25" s="7">
        <f>'2018-19_working'!X25</f>
        <v>0</v>
      </c>
      <c r="AF25" s="75" t="str">
        <f t="shared" si="11"/>
        <v>-</v>
      </c>
      <c r="AH25" s="7">
        <f>'2018-19_working'!Z25</f>
        <v>1</v>
      </c>
      <c r="AI25" s="7">
        <f>'2018-19_working'!AA25</f>
        <v>0</v>
      </c>
      <c r="AJ25" s="7">
        <f>'2018-19_working'!AB25</f>
        <v>2</v>
      </c>
      <c r="AK25" s="7">
        <f>'2018-19_working'!AC25</f>
        <v>1</v>
      </c>
      <c r="AL25" s="7">
        <f>SUM('2018-19_working'!AD25:AE25)</f>
        <v>1</v>
      </c>
      <c r="AM25" s="7">
        <f>'2018-19_working'!AF25</f>
        <v>0</v>
      </c>
      <c r="AN25" s="75">
        <f t="shared" si="12"/>
        <v>41.5</v>
      </c>
      <c r="AP25" s="7">
        <f t="shared" si="13"/>
        <v>12</v>
      </c>
      <c r="AQ25" s="7">
        <f t="shared" si="14"/>
        <v>21</v>
      </c>
      <c r="AR25" s="7">
        <f t="shared" si="15"/>
        <v>18</v>
      </c>
      <c r="AS25" s="7">
        <f t="shared" si="16"/>
        <v>9</v>
      </c>
      <c r="AT25" s="7">
        <f t="shared" si="17"/>
        <v>3</v>
      </c>
      <c r="AU25" s="7">
        <f t="shared" si="18"/>
        <v>0</v>
      </c>
      <c r="AV25" s="75">
        <f t="shared" si="19"/>
        <v>35.261904761904759</v>
      </c>
    </row>
    <row r="26" spans="1:48" x14ac:dyDescent="0.35">
      <c r="A26" s="7" t="s">
        <v>31</v>
      </c>
      <c r="B26" s="7">
        <f>'2018-19_working'!B26</f>
        <v>5</v>
      </c>
      <c r="C26" s="7">
        <f>'2018-19_working'!C26</f>
        <v>19</v>
      </c>
      <c r="D26" s="7">
        <f>'2018-19_working'!D26</f>
        <v>19</v>
      </c>
      <c r="E26" s="7">
        <f>'2018-19_working'!E26</f>
        <v>14</v>
      </c>
      <c r="F26" s="7">
        <f>SUM('2018-19_working'!F26:G26)</f>
        <v>2</v>
      </c>
      <c r="G26" s="7">
        <f>'2018-19_working'!H26</f>
        <v>0</v>
      </c>
      <c r="H26" s="75">
        <f t="shared" si="2"/>
        <v>38.279661016949156</v>
      </c>
      <c r="J26" s="7">
        <f>'2018-19_working'!J26</f>
        <v>18</v>
      </c>
      <c r="K26" s="7">
        <f>'2018-19_working'!K26</f>
        <v>39</v>
      </c>
      <c r="L26" s="7">
        <f>'2018-19_working'!L26</f>
        <v>27</v>
      </c>
      <c r="M26" s="7">
        <f>'2018-19_working'!M26</f>
        <v>23</v>
      </c>
      <c r="N26" s="7">
        <f>SUM('2018-19_working'!N26:O26)</f>
        <v>3</v>
      </c>
      <c r="O26" s="7">
        <f>'2018-19_working'!P26</f>
        <v>0</v>
      </c>
      <c r="P26" s="75">
        <f t="shared" si="3"/>
        <v>35.93636363636363</v>
      </c>
      <c r="R26" s="7">
        <f t="shared" si="4"/>
        <v>23</v>
      </c>
      <c r="S26" s="7">
        <f t="shared" si="5"/>
        <v>58</v>
      </c>
      <c r="T26" s="7">
        <f t="shared" si="6"/>
        <v>46</v>
      </c>
      <c r="U26" s="7">
        <f t="shared" si="7"/>
        <v>37</v>
      </c>
      <c r="V26" s="7">
        <f t="shared" si="8"/>
        <v>5</v>
      </c>
      <c r="W26" s="7">
        <f t="shared" si="9"/>
        <v>0</v>
      </c>
      <c r="X26" s="75">
        <f t="shared" si="10"/>
        <v>36.754437869822482</v>
      </c>
      <c r="Z26" s="7">
        <f>'2018-19_working'!R26</f>
        <v>0</v>
      </c>
      <c r="AA26" s="7">
        <f>'2018-19_working'!S26</f>
        <v>3</v>
      </c>
      <c r="AB26" s="7">
        <f>'2018-19_working'!T26</f>
        <v>0</v>
      </c>
      <c r="AC26" s="7">
        <f>'2018-19_working'!U26</f>
        <v>0</v>
      </c>
      <c r="AD26" s="7">
        <f>SUM('2018-19_working'!V26:W26)</f>
        <v>0</v>
      </c>
      <c r="AE26" s="7">
        <f>'2018-19_working'!X26</f>
        <v>0</v>
      </c>
      <c r="AF26" s="75">
        <f t="shared" si="11"/>
        <v>30</v>
      </c>
      <c r="AH26" s="7">
        <f>'2018-19_working'!Z26</f>
        <v>2</v>
      </c>
      <c r="AI26" s="7">
        <f>'2018-19_working'!AA26</f>
        <v>13</v>
      </c>
      <c r="AJ26" s="7">
        <f>'2018-19_working'!AB26</f>
        <v>8</v>
      </c>
      <c r="AK26" s="7">
        <f>'2018-19_working'!AC26</f>
        <v>4</v>
      </c>
      <c r="AL26" s="7">
        <f>SUM('2018-19_working'!AD26:AE26)</f>
        <v>1</v>
      </c>
      <c r="AM26" s="7">
        <f>'2018-19_working'!AF26</f>
        <v>0</v>
      </c>
      <c r="AN26" s="75">
        <f t="shared" si="12"/>
        <v>36.142857142857146</v>
      </c>
      <c r="AP26" s="7">
        <f t="shared" si="13"/>
        <v>25</v>
      </c>
      <c r="AQ26" s="7">
        <f t="shared" si="14"/>
        <v>74</v>
      </c>
      <c r="AR26" s="7">
        <f t="shared" si="15"/>
        <v>54</v>
      </c>
      <c r="AS26" s="7">
        <f t="shared" si="16"/>
        <v>41</v>
      </c>
      <c r="AT26" s="7">
        <f t="shared" si="17"/>
        <v>6</v>
      </c>
      <c r="AU26" s="7">
        <f t="shared" si="18"/>
        <v>0</v>
      </c>
      <c r="AV26" s="75">
        <f t="shared" si="19"/>
        <v>36.567500000000003</v>
      </c>
    </row>
    <row r="27" spans="1:48" x14ac:dyDescent="0.35">
      <c r="A27" s="7" t="s">
        <v>32</v>
      </c>
      <c r="B27" s="7">
        <f>'2018-19_working'!B27</f>
        <v>1</v>
      </c>
      <c r="C27" s="7">
        <f>'2018-19_working'!C27</f>
        <v>17</v>
      </c>
      <c r="D27" s="7">
        <f>'2018-19_working'!D27</f>
        <v>6</v>
      </c>
      <c r="E27" s="7">
        <f>'2018-19_working'!E27</f>
        <v>1</v>
      </c>
      <c r="F27" s="7">
        <f>SUM('2018-19_working'!F27:G27)</f>
        <v>0</v>
      </c>
      <c r="G27" s="7">
        <f>'2018-19_working'!H27</f>
        <v>0</v>
      </c>
      <c r="H27" s="75">
        <f t="shared" si="2"/>
        <v>32.940000000000005</v>
      </c>
      <c r="J27" s="7">
        <f>'2018-19_working'!J27</f>
        <v>7</v>
      </c>
      <c r="K27" s="7">
        <f>'2018-19_working'!K27</f>
        <v>33</v>
      </c>
      <c r="L27" s="7">
        <f>'2018-19_working'!L27</f>
        <v>12</v>
      </c>
      <c r="M27" s="7">
        <f>'2018-19_working'!M27</f>
        <v>9</v>
      </c>
      <c r="N27" s="7">
        <f>SUM('2018-19_working'!N27:O27)</f>
        <v>2</v>
      </c>
      <c r="O27" s="7">
        <f>'2018-19_working'!P27</f>
        <v>0</v>
      </c>
      <c r="P27" s="75">
        <f t="shared" si="3"/>
        <v>34.642857142857146</v>
      </c>
      <c r="R27" s="7">
        <f t="shared" si="4"/>
        <v>8</v>
      </c>
      <c r="S27" s="7">
        <f t="shared" si="5"/>
        <v>50</v>
      </c>
      <c r="T27" s="7">
        <f t="shared" si="6"/>
        <v>18</v>
      </c>
      <c r="U27" s="7">
        <f t="shared" si="7"/>
        <v>10</v>
      </c>
      <c r="V27" s="7">
        <f t="shared" si="8"/>
        <v>2</v>
      </c>
      <c r="W27" s="7">
        <f t="shared" si="9"/>
        <v>0</v>
      </c>
      <c r="X27" s="75">
        <f t="shared" si="10"/>
        <v>34.159090909090914</v>
      </c>
      <c r="Z27" s="7">
        <f>'2018-19_working'!R27</f>
        <v>0</v>
      </c>
      <c r="AA27" s="7">
        <f>'2018-19_working'!S27</f>
        <v>2</v>
      </c>
      <c r="AB27" s="7">
        <f>'2018-19_working'!T27</f>
        <v>0</v>
      </c>
      <c r="AC27" s="7">
        <f>'2018-19_working'!U27</f>
        <v>0</v>
      </c>
      <c r="AD27" s="7">
        <f>SUM('2018-19_working'!V27:W27)</f>
        <v>0</v>
      </c>
      <c r="AE27" s="7">
        <f>'2018-19_working'!X27</f>
        <v>0</v>
      </c>
      <c r="AF27" s="75">
        <f t="shared" si="11"/>
        <v>30</v>
      </c>
      <c r="AH27" s="7">
        <f>'2018-19_working'!Z27</f>
        <v>3</v>
      </c>
      <c r="AI27" s="7">
        <f>'2018-19_working'!AA27</f>
        <v>4</v>
      </c>
      <c r="AJ27" s="7">
        <f>'2018-19_working'!AB27</f>
        <v>6</v>
      </c>
      <c r="AK27" s="7">
        <f>'2018-19_working'!AC27</f>
        <v>7</v>
      </c>
      <c r="AL27" s="7">
        <f>SUM('2018-19_working'!AD27:AE27)</f>
        <v>5</v>
      </c>
      <c r="AM27" s="7">
        <f>'2018-19_working'!AF27</f>
        <v>0</v>
      </c>
      <c r="AN27" s="75">
        <f t="shared" si="12"/>
        <v>42.26</v>
      </c>
      <c r="AP27" s="7">
        <f t="shared" si="13"/>
        <v>11</v>
      </c>
      <c r="AQ27" s="7">
        <f t="shared" si="14"/>
        <v>56</v>
      </c>
      <c r="AR27" s="7">
        <f t="shared" si="15"/>
        <v>24</v>
      </c>
      <c r="AS27" s="7">
        <f t="shared" si="16"/>
        <v>17</v>
      </c>
      <c r="AT27" s="7">
        <f t="shared" si="17"/>
        <v>7</v>
      </c>
      <c r="AU27" s="7">
        <f t="shared" si="18"/>
        <v>0</v>
      </c>
      <c r="AV27" s="75">
        <f t="shared" si="19"/>
        <v>35.847826086956523</v>
      </c>
    </row>
    <row r="28" spans="1:48" x14ac:dyDescent="0.35">
      <c r="A28" s="7" t="s">
        <v>33</v>
      </c>
      <c r="B28" s="7">
        <f>'2018-19_working'!B28</f>
        <v>6</v>
      </c>
      <c r="C28" s="7">
        <f>'2018-19_working'!C28</f>
        <v>12</v>
      </c>
      <c r="D28" s="7">
        <f>'2018-19_working'!D28</f>
        <v>4</v>
      </c>
      <c r="E28" s="7">
        <f>'2018-19_working'!E28</f>
        <v>4</v>
      </c>
      <c r="F28" s="7">
        <f>SUM('2018-19_working'!F28:G28)</f>
        <v>0</v>
      </c>
      <c r="G28" s="7">
        <f>'2018-19_working'!H28</f>
        <v>0</v>
      </c>
      <c r="H28" s="75">
        <f t="shared" si="2"/>
        <v>32.461538461538467</v>
      </c>
      <c r="J28" s="7">
        <f>'2018-19_working'!J28</f>
        <v>3</v>
      </c>
      <c r="K28" s="7">
        <f>'2018-19_working'!K28</f>
        <v>10</v>
      </c>
      <c r="L28" s="7">
        <f>'2018-19_working'!L28</f>
        <v>7</v>
      </c>
      <c r="M28" s="7">
        <f>'2018-19_working'!M28</f>
        <v>1</v>
      </c>
      <c r="N28" s="7">
        <f>SUM('2018-19_working'!N28:O28)</f>
        <v>1</v>
      </c>
      <c r="O28" s="7">
        <f>'2018-19_working'!P28</f>
        <v>0</v>
      </c>
      <c r="P28" s="75">
        <f t="shared" si="3"/>
        <v>34.090909090909093</v>
      </c>
      <c r="R28" s="7">
        <f t="shared" si="4"/>
        <v>9</v>
      </c>
      <c r="S28" s="7">
        <f t="shared" si="5"/>
        <v>22</v>
      </c>
      <c r="T28" s="7">
        <f t="shared" si="6"/>
        <v>11</v>
      </c>
      <c r="U28" s="7">
        <f t="shared" si="7"/>
        <v>5</v>
      </c>
      <c r="V28" s="7">
        <f t="shared" si="8"/>
        <v>1</v>
      </c>
      <c r="W28" s="7">
        <f t="shared" si="9"/>
        <v>0</v>
      </c>
      <c r="X28" s="75">
        <f t="shared" si="10"/>
        <v>33.208333333333329</v>
      </c>
      <c r="Z28" s="7">
        <f>'2018-19_working'!R28</f>
        <v>0</v>
      </c>
      <c r="AA28" s="7">
        <f>'2018-19_working'!S28</f>
        <v>0</v>
      </c>
      <c r="AB28" s="7">
        <f>'2018-19_working'!T28</f>
        <v>0</v>
      </c>
      <c r="AC28" s="7">
        <f>'2018-19_working'!U28</f>
        <v>0</v>
      </c>
      <c r="AD28" s="7">
        <f>SUM('2018-19_working'!V28:W28)</f>
        <v>0</v>
      </c>
      <c r="AE28" s="7">
        <f>'2018-19_working'!X28</f>
        <v>0</v>
      </c>
      <c r="AF28" s="75" t="str">
        <f t="shared" si="11"/>
        <v>-</v>
      </c>
      <c r="AH28" s="7">
        <f>'2018-19_working'!Z28</f>
        <v>0</v>
      </c>
      <c r="AI28" s="7">
        <f>'2018-19_working'!AA28</f>
        <v>0</v>
      </c>
      <c r="AJ28" s="7">
        <f>'2018-19_working'!AB28</f>
        <v>2</v>
      </c>
      <c r="AK28" s="7">
        <f>'2018-19_working'!AC28</f>
        <v>8</v>
      </c>
      <c r="AL28" s="7">
        <f>SUM('2018-19_working'!AD28:AE28)</f>
        <v>2</v>
      </c>
      <c r="AM28" s="7">
        <f>'2018-19_working'!AF28</f>
        <v>0</v>
      </c>
      <c r="AN28" s="75">
        <f t="shared" si="12"/>
        <v>49.75</v>
      </c>
      <c r="AP28" s="7">
        <f t="shared" si="13"/>
        <v>9</v>
      </c>
      <c r="AQ28" s="7">
        <f t="shared" si="14"/>
        <v>22</v>
      </c>
      <c r="AR28" s="7">
        <f t="shared" si="15"/>
        <v>13</v>
      </c>
      <c r="AS28" s="7">
        <f t="shared" si="16"/>
        <v>13</v>
      </c>
      <c r="AT28" s="7">
        <f t="shared" si="17"/>
        <v>3</v>
      </c>
      <c r="AU28" s="7">
        <f t="shared" si="18"/>
        <v>0</v>
      </c>
      <c r="AV28" s="75">
        <f t="shared" si="19"/>
        <v>36.516666666666666</v>
      </c>
    </row>
    <row r="29" spans="1:48" x14ac:dyDescent="0.35">
      <c r="A29" s="7" t="s">
        <v>34</v>
      </c>
      <c r="B29" s="7">
        <f>'2018-19_working'!B29</f>
        <v>4</v>
      </c>
      <c r="C29" s="7">
        <f>'2018-19_working'!C29</f>
        <v>15</v>
      </c>
      <c r="D29" s="7">
        <f>'2018-19_working'!D29</f>
        <v>3</v>
      </c>
      <c r="E29" s="7">
        <f>'2018-19_working'!E29</f>
        <v>0</v>
      </c>
      <c r="F29" s="7">
        <f>SUM('2018-19_working'!F29:G29)</f>
        <v>0</v>
      </c>
      <c r="G29" s="7">
        <f>'2018-19_working'!H29</f>
        <v>0</v>
      </c>
      <c r="H29" s="75">
        <f t="shared" si="2"/>
        <v>29.613636363636363</v>
      </c>
      <c r="J29" s="7">
        <f>'2018-19_working'!J29</f>
        <v>10</v>
      </c>
      <c r="K29" s="7">
        <f>'2018-19_working'!K29</f>
        <v>16</v>
      </c>
      <c r="L29" s="7">
        <f>'2018-19_working'!L29</f>
        <v>3</v>
      </c>
      <c r="M29" s="7">
        <f>'2018-19_working'!M29</f>
        <v>2</v>
      </c>
      <c r="N29" s="7">
        <f>SUM('2018-19_working'!N29:O29)</f>
        <v>0</v>
      </c>
      <c r="O29" s="7">
        <f>'2018-19_working'!P29</f>
        <v>0</v>
      </c>
      <c r="P29" s="75">
        <f t="shared" si="3"/>
        <v>29.112903225806452</v>
      </c>
      <c r="R29" s="7">
        <f t="shared" si="4"/>
        <v>14</v>
      </c>
      <c r="S29" s="7">
        <f t="shared" si="5"/>
        <v>31</v>
      </c>
      <c r="T29" s="7">
        <f t="shared" si="6"/>
        <v>6</v>
      </c>
      <c r="U29" s="7">
        <f t="shared" si="7"/>
        <v>2</v>
      </c>
      <c r="V29" s="7">
        <f t="shared" si="8"/>
        <v>0</v>
      </c>
      <c r="W29" s="7">
        <f t="shared" si="9"/>
        <v>0</v>
      </c>
      <c r="X29" s="75">
        <f t="shared" si="10"/>
        <v>29.320754716981131</v>
      </c>
      <c r="Z29" s="7">
        <f>'2018-19_working'!R29</f>
        <v>0</v>
      </c>
      <c r="AA29" s="7">
        <f>'2018-19_working'!S29</f>
        <v>1</v>
      </c>
      <c r="AB29" s="7">
        <f>'2018-19_working'!T29</f>
        <v>2</v>
      </c>
      <c r="AC29" s="7">
        <f>'2018-19_working'!U29</f>
        <v>1</v>
      </c>
      <c r="AD29" s="7">
        <f>SUM('2018-19_working'!V29:W29)</f>
        <v>0</v>
      </c>
      <c r="AE29" s="7">
        <f>'2018-19_working'!X29</f>
        <v>0</v>
      </c>
      <c r="AF29" s="75">
        <f t="shared" si="11"/>
        <v>40.375</v>
      </c>
      <c r="AH29" s="7">
        <f>'2018-19_working'!Z29</f>
        <v>3</v>
      </c>
      <c r="AI29" s="7">
        <f>'2018-19_working'!AA29</f>
        <v>7</v>
      </c>
      <c r="AJ29" s="7">
        <f>'2018-19_working'!AB29</f>
        <v>5</v>
      </c>
      <c r="AK29" s="7">
        <f>'2018-19_working'!AC29</f>
        <v>2</v>
      </c>
      <c r="AL29" s="7">
        <f>SUM('2018-19_working'!AD29:AE29)</f>
        <v>1</v>
      </c>
      <c r="AM29" s="7">
        <f>'2018-19_working'!AF29</f>
        <v>0</v>
      </c>
      <c r="AN29" s="75">
        <f t="shared" si="12"/>
        <v>34.972222222222221</v>
      </c>
      <c r="AP29" s="7">
        <f t="shared" si="13"/>
        <v>17</v>
      </c>
      <c r="AQ29" s="7">
        <f t="shared" si="14"/>
        <v>39</v>
      </c>
      <c r="AR29" s="7">
        <f t="shared" si="15"/>
        <v>13</v>
      </c>
      <c r="AS29" s="7">
        <f t="shared" si="16"/>
        <v>5</v>
      </c>
      <c r="AT29" s="7">
        <f t="shared" si="17"/>
        <v>1</v>
      </c>
      <c r="AU29" s="7">
        <f t="shared" si="18"/>
        <v>0</v>
      </c>
      <c r="AV29" s="75">
        <f t="shared" si="19"/>
        <v>31.266666666666666</v>
      </c>
    </row>
    <row r="30" spans="1:48" x14ac:dyDescent="0.35">
      <c r="A30" s="7" t="s">
        <v>35</v>
      </c>
      <c r="B30" s="7">
        <f>'2018-19_working'!B30</f>
        <v>0</v>
      </c>
      <c r="C30" s="7">
        <f>'2018-19_working'!C30</f>
        <v>0</v>
      </c>
      <c r="D30" s="7">
        <f>'2018-19_working'!D30</f>
        <v>0</v>
      </c>
      <c r="E30" s="7">
        <f>'2018-19_working'!E30</f>
        <v>0</v>
      </c>
      <c r="F30" s="7">
        <f>SUM('2018-19_working'!F30:G30)</f>
        <v>0</v>
      </c>
      <c r="G30" s="7">
        <f>'2018-19_working'!H30</f>
        <v>0</v>
      </c>
      <c r="H30" s="75" t="str">
        <f t="shared" si="2"/>
        <v>-</v>
      </c>
      <c r="J30" s="7">
        <f>'2018-19_working'!J30</f>
        <v>0</v>
      </c>
      <c r="K30" s="7">
        <f>'2018-19_working'!K30</f>
        <v>5</v>
      </c>
      <c r="L30" s="7">
        <f>'2018-19_working'!L30</f>
        <v>3</v>
      </c>
      <c r="M30" s="7">
        <f>'2018-19_working'!M30</f>
        <v>1</v>
      </c>
      <c r="N30" s="7">
        <f>SUM('2018-19_working'!N30:O30)</f>
        <v>0</v>
      </c>
      <c r="O30" s="7">
        <f>'2018-19_working'!P30</f>
        <v>0</v>
      </c>
      <c r="P30" s="75">
        <f t="shared" si="3"/>
        <v>35.777777777777779</v>
      </c>
      <c r="R30" s="7">
        <f t="shared" si="4"/>
        <v>0</v>
      </c>
      <c r="S30" s="7">
        <f t="shared" si="5"/>
        <v>5</v>
      </c>
      <c r="T30" s="7">
        <f t="shared" si="6"/>
        <v>3</v>
      </c>
      <c r="U30" s="7">
        <f t="shared" si="7"/>
        <v>1</v>
      </c>
      <c r="V30" s="7">
        <f t="shared" si="8"/>
        <v>0</v>
      </c>
      <c r="W30" s="7">
        <f t="shared" si="9"/>
        <v>0</v>
      </c>
      <c r="X30" s="75">
        <f t="shared" si="10"/>
        <v>35.777777777777779</v>
      </c>
      <c r="Z30" s="7">
        <f>'2018-19_working'!R30</f>
        <v>0</v>
      </c>
      <c r="AA30" s="7">
        <f>'2018-19_working'!S30</f>
        <v>0</v>
      </c>
      <c r="AB30" s="7">
        <f>'2018-19_working'!T30</f>
        <v>0</v>
      </c>
      <c r="AC30" s="7">
        <f>'2018-19_working'!U30</f>
        <v>0</v>
      </c>
      <c r="AD30" s="7">
        <f>SUM('2018-19_working'!V30:W30)</f>
        <v>0</v>
      </c>
      <c r="AE30" s="7">
        <f>'2018-19_working'!X30</f>
        <v>0</v>
      </c>
      <c r="AF30" s="75" t="str">
        <f t="shared" si="11"/>
        <v>-</v>
      </c>
      <c r="AH30" s="7">
        <f>'2018-19_working'!Z30</f>
        <v>0</v>
      </c>
      <c r="AI30" s="7">
        <f>'2018-19_working'!AA30</f>
        <v>0</v>
      </c>
      <c r="AJ30" s="7">
        <f>'2018-19_working'!AB30</f>
        <v>0</v>
      </c>
      <c r="AK30" s="7">
        <f>'2018-19_working'!AC30</f>
        <v>2</v>
      </c>
      <c r="AL30" s="7">
        <f>SUM('2018-19_working'!AD30:AE30)</f>
        <v>0</v>
      </c>
      <c r="AM30" s="7">
        <f>'2018-19_working'!AF30</f>
        <v>0</v>
      </c>
      <c r="AN30" s="75">
        <f t="shared" si="12"/>
        <v>50.5</v>
      </c>
      <c r="AP30" s="7">
        <f t="shared" si="13"/>
        <v>0</v>
      </c>
      <c r="AQ30" s="7">
        <f t="shared" si="14"/>
        <v>5</v>
      </c>
      <c r="AR30" s="7">
        <f t="shared" si="15"/>
        <v>3</v>
      </c>
      <c r="AS30" s="7">
        <f t="shared" si="16"/>
        <v>3</v>
      </c>
      <c r="AT30" s="7">
        <f t="shared" si="17"/>
        <v>0</v>
      </c>
      <c r="AU30" s="7">
        <f t="shared" si="18"/>
        <v>0</v>
      </c>
      <c r="AV30" s="75">
        <f t="shared" si="19"/>
        <v>38.454545454545453</v>
      </c>
    </row>
    <row r="31" spans="1:48" x14ac:dyDescent="0.35">
      <c r="A31" s="7" t="s">
        <v>36</v>
      </c>
      <c r="B31" s="7">
        <f>'2018-19_working'!B31</f>
        <v>3</v>
      </c>
      <c r="C31" s="7">
        <f>'2018-19_working'!C31</f>
        <v>20</v>
      </c>
      <c r="D31" s="7">
        <f>'2018-19_working'!D31</f>
        <v>6</v>
      </c>
      <c r="E31" s="7">
        <f>'2018-19_working'!E31</f>
        <v>4</v>
      </c>
      <c r="F31" s="7">
        <f>SUM('2018-19_working'!F31:G31)</f>
        <v>0</v>
      </c>
      <c r="G31" s="7">
        <f>'2018-19_working'!H31</f>
        <v>0</v>
      </c>
      <c r="H31" s="75">
        <f t="shared" si="2"/>
        <v>33.484848484848484</v>
      </c>
      <c r="J31" s="7">
        <f>'2018-19_working'!J31</f>
        <v>19</v>
      </c>
      <c r="K31" s="7">
        <f>'2018-19_working'!K31</f>
        <v>50</v>
      </c>
      <c r="L31" s="7">
        <f>'2018-19_working'!L31</f>
        <v>20</v>
      </c>
      <c r="M31" s="7">
        <f>'2018-19_working'!M31</f>
        <v>11</v>
      </c>
      <c r="N31" s="7">
        <f>SUM('2018-19_working'!N31:O31)</f>
        <v>2</v>
      </c>
      <c r="O31" s="7">
        <f>'2018-19_working'!P31</f>
        <v>0</v>
      </c>
      <c r="P31" s="75">
        <f t="shared" si="3"/>
        <v>32.916666666666664</v>
      </c>
      <c r="R31" s="7">
        <f t="shared" si="4"/>
        <v>22</v>
      </c>
      <c r="S31" s="7">
        <f t="shared" si="5"/>
        <v>70</v>
      </c>
      <c r="T31" s="7">
        <f t="shared" si="6"/>
        <v>26</v>
      </c>
      <c r="U31" s="7">
        <f t="shared" si="7"/>
        <v>15</v>
      </c>
      <c r="V31" s="7">
        <f t="shared" si="8"/>
        <v>2</v>
      </c>
      <c r="W31" s="7">
        <f t="shared" si="9"/>
        <v>0</v>
      </c>
      <c r="X31" s="75">
        <f t="shared" si="10"/>
        <v>33.055555555555557</v>
      </c>
      <c r="Z31" s="7">
        <f>'2018-19_working'!R31</f>
        <v>0</v>
      </c>
      <c r="AA31" s="7">
        <f>'2018-19_working'!S31</f>
        <v>0</v>
      </c>
      <c r="AB31" s="7">
        <f>'2018-19_working'!T31</f>
        <v>0</v>
      </c>
      <c r="AC31" s="7">
        <f>'2018-19_working'!U31</f>
        <v>1</v>
      </c>
      <c r="AD31" s="7">
        <f>SUM('2018-19_working'!V31:W31)</f>
        <v>0</v>
      </c>
      <c r="AE31" s="7">
        <f>'2018-19_working'!X31</f>
        <v>0</v>
      </c>
      <c r="AF31" s="75">
        <f t="shared" si="11"/>
        <v>50.5</v>
      </c>
      <c r="AH31" s="7">
        <f>'2018-19_working'!Z31</f>
        <v>2</v>
      </c>
      <c r="AI31" s="7">
        <f>'2018-19_working'!AA31</f>
        <v>10</v>
      </c>
      <c r="AJ31" s="7">
        <f>'2018-19_working'!AB31</f>
        <v>10</v>
      </c>
      <c r="AK31" s="7">
        <f>'2018-19_working'!AC31</f>
        <v>9</v>
      </c>
      <c r="AL31" s="7">
        <f>SUM('2018-19_working'!AD31:AE31)</f>
        <v>9</v>
      </c>
      <c r="AM31" s="7">
        <f>'2018-19_working'!AF31</f>
        <v>0</v>
      </c>
      <c r="AN31" s="75">
        <f t="shared" si="12"/>
        <v>42.587499999999999</v>
      </c>
      <c r="AP31" s="7">
        <f t="shared" si="13"/>
        <v>24</v>
      </c>
      <c r="AQ31" s="7">
        <f t="shared" si="14"/>
        <v>80</v>
      </c>
      <c r="AR31" s="7">
        <f t="shared" si="15"/>
        <v>36</v>
      </c>
      <c r="AS31" s="7">
        <f t="shared" si="16"/>
        <v>25</v>
      </c>
      <c r="AT31" s="7">
        <f t="shared" si="17"/>
        <v>11</v>
      </c>
      <c r="AU31" s="7">
        <f t="shared" si="18"/>
        <v>0</v>
      </c>
      <c r="AV31" s="75">
        <f t="shared" si="19"/>
        <v>35.321022727272727</v>
      </c>
    </row>
    <row r="32" spans="1:48" x14ac:dyDescent="0.35">
      <c r="A32" s="7" t="s">
        <v>37</v>
      </c>
      <c r="B32" s="7">
        <f>'2018-19_working'!B32</f>
        <v>6</v>
      </c>
      <c r="C32" s="7">
        <f>'2018-19_working'!C32</f>
        <v>29</v>
      </c>
      <c r="D32" s="7">
        <f>'2018-19_working'!D32</f>
        <v>17</v>
      </c>
      <c r="E32" s="7">
        <f>'2018-19_working'!E32</f>
        <v>3</v>
      </c>
      <c r="F32" s="7">
        <f>SUM('2018-19_working'!F32:G32)</f>
        <v>0</v>
      </c>
      <c r="G32" s="7">
        <f>'2018-19_working'!H32</f>
        <v>0</v>
      </c>
      <c r="H32" s="75">
        <f t="shared" si="2"/>
        <v>33.272727272727273</v>
      </c>
      <c r="J32" s="7">
        <f>'2018-19_working'!J32</f>
        <v>19</v>
      </c>
      <c r="K32" s="7">
        <f>'2018-19_working'!K32</f>
        <v>32</v>
      </c>
      <c r="L32" s="7">
        <f>'2018-19_working'!L32</f>
        <v>18</v>
      </c>
      <c r="M32" s="7">
        <f>'2018-19_working'!M32</f>
        <v>3</v>
      </c>
      <c r="N32" s="7">
        <f>SUM('2018-19_working'!N32:O32)</f>
        <v>0</v>
      </c>
      <c r="O32" s="7">
        <f>'2018-19_working'!P32</f>
        <v>0</v>
      </c>
      <c r="P32" s="75">
        <f t="shared" si="3"/>
        <v>30.840277777777779</v>
      </c>
      <c r="R32" s="7">
        <f t="shared" si="4"/>
        <v>25</v>
      </c>
      <c r="S32" s="7">
        <f t="shared" si="5"/>
        <v>61</v>
      </c>
      <c r="T32" s="7">
        <f t="shared" si="6"/>
        <v>35</v>
      </c>
      <c r="U32" s="7">
        <f t="shared" si="7"/>
        <v>6</v>
      </c>
      <c r="V32" s="7">
        <f t="shared" si="8"/>
        <v>0</v>
      </c>
      <c r="W32" s="7">
        <f t="shared" si="9"/>
        <v>0</v>
      </c>
      <c r="X32" s="75">
        <f t="shared" si="10"/>
        <v>31.893700787401574</v>
      </c>
      <c r="Z32" s="7">
        <f>'2018-19_working'!R32</f>
        <v>0</v>
      </c>
      <c r="AA32" s="7">
        <f>'2018-19_working'!S32</f>
        <v>0</v>
      </c>
      <c r="AB32" s="7">
        <f>'2018-19_working'!T32</f>
        <v>0</v>
      </c>
      <c r="AC32" s="7">
        <f>'2018-19_working'!U32</f>
        <v>0</v>
      </c>
      <c r="AD32" s="7">
        <f>SUM('2018-19_working'!V32:W32)</f>
        <v>0</v>
      </c>
      <c r="AE32" s="7">
        <f>'2018-19_working'!X32</f>
        <v>0</v>
      </c>
      <c r="AF32" s="75" t="str">
        <f t="shared" si="11"/>
        <v>-</v>
      </c>
      <c r="AH32" s="7">
        <f>'2018-19_working'!Z32</f>
        <v>4</v>
      </c>
      <c r="AI32" s="7">
        <f>'2018-19_working'!AA32</f>
        <v>6</v>
      </c>
      <c r="AJ32" s="7">
        <f>'2018-19_working'!AB32</f>
        <v>7</v>
      </c>
      <c r="AK32" s="7">
        <f>'2018-19_working'!AC32</f>
        <v>4</v>
      </c>
      <c r="AL32" s="7">
        <f>SUM('2018-19_working'!AD32:AE32)</f>
        <v>1</v>
      </c>
      <c r="AM32" s="7">
        <f>'2018-19_working'!AF32</f>
        <v>0</v>
      </c>
      <c r="AN32" s="75">
        <f t="shared" si="12"/>
        <v>36.43181818181818</v>
      </c>
      <c r="AP32" s="7">
        <f t="shared" si="13"/>
        <v>29</v>
      </c>
      <c r="AQ32" s="7">
        <f t="shared" si="14"/>
        <v>67</v>
      </c>
      <c r="AR32" s="7">
        <f t="shared" si="15"/>
        <v>42</v>
      </c>
      <c r="AS32" s="7">
        <f t="shared" si="16"/>
        <v>10</v>
      </c>
      <c r="AT32" s="7">
        <f t="shared" si="17"/>
        <v>1</v>
      </c>
      <c r="AU32" s="7">
        <f t="shared" si="18"/>
        <v>0</v>
      </c>
      <c r="AV32" s="75">
        <f t="shared" si="19"/>
        <v>32.563758389261743</v>
      </c>
    </row>
    <row r="33" spans="1:48" x14ac:dyDescent="0.35">
      <c r="A33" s="7" t="s">
        <v>38</v>
      </c>
      <c r="B33" s="7">
        <f>'2018-19_working'!B33</f>
        <v>2</v>
      </c>
      <c r="C33" s="7">
        <f>'2018-19_working'!C33</f>
        <v>0</v>
      </c>
      <c r="D33" s="7">
        <f>'2018-19_working'!D33</f>
        <v>6</v>
      </c>
      <c r="E33" s="7">
        <f>'2018-19_working'!E33</f>
        <v>0</v>
      </c>
      <c r="F33" s="7">
        <f>SUM('2018-19_working'!F33:G33)</f>
        <v>0</v>
      </c>
      <c r="G33" s="7">
        <f>'2018-19_working'!H33</f>
        <v>0</v>
      </c>
      <c r="H33" s="75">
        <f t="shared" si="2"/>
        <v>35.375</v>
      </c>
      <c r="J33" s="7">
        <f>'2018-19_working'!J33</f>
        <v>7</v>
      </c>
      <c r="K33" s="7">
        <f>'2018-19_working'!K33</f>
        <v>10</v>
      </c>
      <c r="L33" s="7">
        <f>'2018-19_working'!L33</f>
        <v>14</v>
      </c>
      <c r="M33" s="7">
        <f>'2018-19_working'!M33</f>
        <v>2</v>
      </c>
      <c r="N33" s="7">
        <f>SUM('2018-19_working'!N33:O33)</f>
        <v>0</v>
      </c>
      <c r="O33" s="7">
        <f>'2018-19_working'!P33</f>
        <v>0</v>
      </c>
      <c r="P33" s="75">
        <f t="shared" si="3"/>
        <v>33.575757575757578</v>
      </c>
      <c r="R33" s="7">
        <f t="shared" si="4"/>
        <v>9</v>
      </c>
      <c r="S33" s="7">
        <f t="shared" si="5"/>
        <v>10</v>
      </c>
      <c r="T33" s="7">
        <f t="shared" si="6"/>
        <v>20</v>
      </c>
      <c r="U33" s="7">
        <f t="shared" si="7"/>
        <v>2</v>
      </c>
      <c r="V33" s="7">
        <f t="shared" si="8"/>
        <v>0</v>
      </c>
      <c r="W33" s="7">
        <f t="shared" si="9"/>
        <v>0</v>
      </c>
      <c r="X33" s="75">
        <f t="shared" si="10"/>
        <v>33.926829268292678</v>
      </c>
      <c r="Z33" s="7">
        <f>'2018-19_working'!R33</f>
        <v>0</v>
      </c>
      <c r="AA33" s="7">
        <f>'2018-19_working'!S33</f>
        <v>0</v>
      </c>
      <c r="AB33" s="7">
        <f>'2018-19_working'!T33</f>
        <v>0</v>
      </c>
      <c r="AC33" s="7">
        <f>'2018-19_working'!U33</f>
        <v>0</v>
      </c>
      <c r="AD33" s="7">
        <f>SUM('2018-19_working'!V33:W33)</f>
        <v>0</v>
      </c>
      <c r="AE33" s="7">
        <f>'2018-19_working'!X33</f>
        <v>0</v>
      </c>
      <c r="AF33" s="75" t="str">
        <f t="shared" si="11"/>
        <v>-</v>
      </c>
      <c r="AH33" s="7">
        <f>'2018-19_working'!Z33</f>
        <v>0</v>
      </c>
      <c r="AI33" s="7">
        <f>'2018-19_working'!AA33</f>
        <v>5</v>
      </c>
      <c r="AJ33" s="7">
        <f>'2018-19_working'!AB33</f>
        <v>1</v>
      </c>
      <c r="AK33" s="7">
        <f>'2018-19_working'!AC33</f>
        <v>2</v>
      </c>
      <c r="AL33" s="7">
        <f>SUM('2018-19_working'!AD33:AE33)</f>
        <v>1</v>
      </c>
      <c r="AM33" s="7">
        <f>'2018-19_working'!AF33</f>
        <v>0</v>
      </c>
      <c r="AN33" s="75">
        <f t="shared" si="12"/>
        <v>38.611111111111107</v>
      </c>
      <c r="AP33" s="7">
        <f t="shared" si="13"/>
        <v>9</v>
      </c>
      <c r="AQ33" s="7">
        <f t="shared" si="14"/>
        <v>15</v>
      </c>
      <c r="AR33" s="7">
        <f t="shared" si="15"/>
        <v>21</v>
      </c>
      <c r="AS33" s="7">
        <f t="shared" si="16"/>
        <v>4</v>
      </c>
      <c r="AT33" s="7">
        <f t="shared" si="17"/>
        <v>1</v>
      </c>
      <c r="AU33" s="7">
        <f t="shared" si="18"/>
        <v>0</v>
      </c>
      <c r="AV33" s="75">
        <f t="shared" si="19"/>
        <v>34.769999999999996</v>
      </c>
    </row>
    <row r="34" spans="1:48" x14ac:dyDescent="0.35">
      <c r="A34" s="7" t="s">
        <v>39</v>
      </c>
      <c r="B34" s="7">
        <f>'2018-19_working'!B34</f>
        <v>1</v>
      </c>
      <c r="C34" s="7">
        <f>'2018-19_working'!C34</f>
        <v>12</v>
      </c>
      <c r="D34" s="7">
        <f>'2018-19_working'!D34</f>
        <v>0</v>
      </c>
      <c r="E34" s="7">
        <f>'2018-19_working'!E34</f>
        <v>0</v>
      </c>
      <c r="F34" s="7">
        <f>SUM('2018-19_working'!F34:G34)</f>
        <v>0</v>
      </c>
      <c r="G34" s="7">
        <f>'2018-19_working'!H34</f>
        <v>0</v>
      </c>
      <c r="H34" s="75">
        <f t="shared" si="2"/>
        <v>29.230769230769234</v>
      </c>
      <c r="J34" s="7">
        <f>'2018-19_working'!J34</f>
        <v>17</v>
      </c>
      <c r="K34" s="7">
        <f>'2018-19_working'!K34</f>
        <v>21</v>
      </c>
      <c r="L34" s="7">
        <f>'2018-19_working'!L34</f>
        <v>10</v>
      </c>
      <c r="M34" s="7">
        <f>'2018-19_working'!M34</f>
        <v>4</v>
      </c>
      <c r="N34" s="7">
        <f>SUM('2018-19_working'!N34:O34)</f>
        <v>1</v>
      </c>
      <c r="O34" s="7">
        <f>'2018-19_working'!P34</f>
        <v>0</v>
      </c>
      <c r="P34" s="75">
        <f t="shared" si="3"/>
        <v>30.811320754716984</v>
      </c>
      <c r="R34" s="7">
        <f t="shared" si="4"/>
        <v>18</v>
      </c>
      <c r="S34" s="7">
        <f t="shared" si="5"/>
        <v>33</v>
      </c>
      <c r="T34" s="7">
        <f t="shared" si="6"/>
        <v>10</v>
      </c>
      <c r="U34" s="7">
        <f t="shared" si="7"/>
        <v>4</v>
      </c>
      <c r="V34" s="7">
        <f t="shared" si="8"/>
        <v>1</v>
      </c>
      <c r="W34" s="7">
        <f t="shared" si="9"/>
        <v>0</v>
      </c>
      <c r="X34" s="75">
        <f t="shared" si="10"/>
        <v>30.499999999999996</v>
      </c>
      <c r="Z34" s="7">
        <f>'2018-19_working'!R34</f>
        <v>0</v>
      </c>
      <c r="AA34" s="7">
        <f>'2018-19_working'!S34</f>
        <v>4</v>
      </c>
      <c r="AB34" s="7">
        <f>'2018-19_working'!T34</f>
        <v>0</v>
      </c>
      <c r="AC34" s="7">
        <f>'2018-19_working'!U34</f>
        <v>0</v>
      </c>
      <c r="AD34" s="7">
        <f>SUM('2018-19_working'!V34:W34)</f>
        <v>0</v>
      </c>
      <c r="AE34" s="7">
        <f>'2018-19_working'!X34</f>
        <v>0</v>
      </c>
      <c r="AF34" s="75">
        <f t="shared" si="11"/>
        <v>30</v>
      </c>
      <c r="AH34" s="7">
        <f>'2018-19_working'!Z34</f>
        <v>3</v>
      </c>
      <c r="AI34" s="7">
        <f>'2018-19_working'!AA34</f>
        <v>2</v>
      </c>
      <c r="AJ34" s="7">
        <f>'2018-19_working'!AB34</f>
        <v>1</v>
      </c>
      <c r="AK34" s="7">
        <f>'2018-19_working'!AC34</f>
        <v>2</v>
      </c>
      <c r="AL34" s="7">
        <f>SUM('2018-19_working'!AD34:AE34)</f>
        <v>2</v>
      </c>
      <c r="AM34" s="7">
        <f>'2018-19_working'!AF34</f>
        <v>0</v>
      </c>
      <c r="AN34" s="75">
        <f t="shared" si="12"/>
        <v>37.35</v>
      </c>
      <c r="AP34" s="7">
        <f t="shared" si="13"/>
        <v>21</v>
      </c>
      <c r="AQ34" s="7">
        <f t="shared" si="14"/>
        <v>39</v>
      </c>
      <c r="AR34" s="7">
        <f t="shared" si="15"/>
        <v>11</v>
      </c>
      <c r="AS34" s="7">
        <f t="shared" si="16"/>
        <v>6</v>
      </c>
      <c r="AT34" s="7">
        <f t="shared" si="17"/>
        <v>3</v>
      </c>
      <c r="AU34" s="7">
        <f t="shared" si="18"/>
        <v>0</v>
      </c>
      <c r="AV34" s="75">
        <f t="shared" si="19"/>
        <v>31.331250000000004</v>
      </c>
    </row>
    <row r="35" spans="1:48" x14ac:dyDescent="0.35">
      <c r="A35" s="7" t="s">
        <v>40</v>
      </c>
      <c r="B35" s="7">
        <f>'2018-19_working'!B35</f>
        <v>5</v>
      </c>
      <c r="C35" s="7">
        <f>'2018-19_working'!C35</f>
        <v>12</v>
      </c>
      <c r="D35" s="7">
        <f>'2018-19_working'!D35</f>
        <v>10</v>
      </c>
      <c r="E35" s="7">
        <f>'2018-19_working'!E35</f>
        <v>3</v>
      </c>
      <c r="F35" s="7">
        <f>SUM('2018-19_working'!F35:G35)</f>
        <v>0</v>
      </c>
      <c r="G35" s="7">
        <f>'2018-19_working'!H35</f>
        <v>0</v>
      </c>
      <c r="H35" s="75">
        <f t="shared" si="2"/>
        <v>33.883333333333333</v>
      </c>
      <c r="J35" s="7">
        <f>'2018-19_working'!J35</f>
        <v>7</v>
      </c>
      <c r="K35" s="7">
        <f>'2018-19_working'!K35</f>
        <v>17</v>
      </c>
      <c r="L35" s="7">
        <f>'2018-19_working'!L35</f>
        <v>11</v>
      </c>
      <c r="M35" s="7">
        <f>'2018-19_working'!M35</f>
        <v>3</v>
      </c>
      <c r="N35" s="7">
        <f>SUM('2018-19_working'!N35:O35)</f>
        <v>0</v>
      </c>
      <c r="O35" s="7">
        <f>'2018-19_working'!P35</f>
        <v>0</v>
      </c>
      <c r="P35" s="75">
        <f t="shared" si="3"/>
        <v>32.815789473684212</v>
      </c>
      <c r="R35" s="7">
        <f t="shared" si="4"/>
        <v>12</v>
      </c>
      <c r="S35" s="7">
        <f t="shared" si="5"/>
        <v>29</v>
      </c>
      <c r="T35" s="7">
        <f t="shared" si="6"/>
        <v>21</v>
      </c>
      <c r="U35" s="7">
        <f t="shared" si="7"/>
        <v>6</v>
      </c>
      <c r="V35" s="7">
        <f t="shared" si="8"/>
        <v>0</v>
      </c>
      <c r="W35" s="7">
        <f t="shared" si="9"/>
        <v>0</v>
      </c>
      <c r="X35" s="75">
        <f t="shared" si="10"/>
        <v>33.286764705882355</v>
      </c>
      <c r="Z35" s="7">
        <f>'2018-19_working'!R35</f>
        <v>0</v>
      </c>
      <c r="AA35" s="7">
        <f>'2018-19_working'!S35</f>
        <v>2</v>
      </c>
      <c r="AB35" s="7">
        <f>'2018-19_working'!T35</f>
        <v>0</v>
      </c>
      <c r="AC35" s="7">
        <f>'2018-19_working'!U35</f>
        <v>0</v>
      </c>
      <c r="AD35" s="7">
        <f>SUM('2018-19_working'!V35:W35)</f>
        <v>0</v>
      </c>
      <c r="AE35" s="7">
        <f>'2018-19_working'!X35</f>
        <v>0</v>
      </c>
      <c r="AF35" s="75">
        <f t="shared" si="11"/>
        <v>30</v>
      </c>
      <c r="AH35" s="7">
        <f>'2018-19_working'!Z35</f>
        <v>2</v>
      </c>
      <c r="AI35" s="7">
        <f>'2018-19_working'!AA35</f>
        <v>2</v>
      </c>
      <c r="AJ35" s="7">
        <f>'2018-19_working'!AB35</f>
        <v>2</v>
      </c>
      <c r="AK35" s="7">
        <f>'2018-19_working'!AC35</f>
        <v>2</v>
      </c>
      <c r="AL35" s="7">
        <f>SUM('2018-19_working'!AD35:AE35)</f>
        <v>2</v>
      </c>
      <c r="AM35" s="7">
        <f>'2018-19_working'!AF35</f>
        <v>0</v>
      </c>
      <c r="AN35" s="75">
        <f t="shared" si="12"/>
        <v>39.400000000000006</v>
      </c>
      <c r="AP35" s="7">
        <f t="shared" si="13"/>
        <v>14</v>
      </c>
      <c r="AQ35" s="7">
        <f t="shared" si="14"/>
        <v>33</v>
      </c>
      <c r="AR35" s="7">
        <f t="shared" si="15"/>
        <v>23</v>
      </c>
      <c r="AS35" s="7">
        <f t="shared" si="16"/>
        <v>8</v>
      </c>
      <c r="AT35" s="7">
        <f t="shared" si="17"/>
        <v>2</v>
      </c>
      <c r="AU35" s="7">
        <f t="shared" si="18"/>
        <v>0</v>
      </c>
      <c r="AV35" s="75">
        <f t="shared" si="19"/>
        <v>33.968749999999993</v>
      </c>
    </row>
    <row r="36" spans="1:48" x14ac:dyDescent="0.35">
      <c r="A36" s="7" t="s">
        <v>41</v>
      </c>
      <c r="B36" s="7">
        <f>'2018-19_working'!B36</f>
        <v>0</v>
      </c>
      <c r="C36" s="7">
        <f>'2018-19_working'!C36</f>
        <v>0</v>
      </c>
      <c r="D36" s="7">
        <f>'2018-19_working'!D36</f>
        <v>0</v>
      </c>
      <c r="E36" s="7">
        <f>'2018-19_working'!E36</f>
        <v>0</v>
      </c>
      <c r="F36" s="7">
        <f>SUM('2018-19_working'!F36:G36)</f>
        <v>0</v>
      </c>
      <c r="G36" s="7">
        <f>'2018-19_working'!H36</f>
        <v>0</v>
      </c>
      <c r="H36" s="75" t="str">
        <f t="shared" si="2"/>
        <v>-</v>
      </c>
      <c r="J36" s="7">
        <f>'2018-19_working'!J36</f>
        <v>0</v>
      </c>
      <c r="K36" s="7">
        <f>'2018-19_working'!K36</f>
        <v>0</v>
      </c>
      <c r="L36" s="7">
        <f>'2018-19_working'!L36</f>
        <v>0</v>
      </c>
      <c r="M36" s="7">
        <f>'2018-19_working'!M36</f>
        <v>0</v>
      </c>
      <c r="N36" s="7">
        <f>SUM('2018-19_working'!N36:O36)</f>
        <v>0</v>
      </c>
      <c r="O36" s="7">
        <f>'2018-19_working'!P36</f>
        <v>0</v>
      </c>
      <c r="P36" s="75" t="str">
        <f t="shared" si="3"/>
        <v>-</v>
      </c>
      <c r="R36" s="7">
        <f t="shared" si="4"/>
        <v>0</v>
      </c>
      <c r="S36" s="7">
        <f t="shared" si="5"/>
        <v>0</v>
      </c>
      <c r="T36" s="7">
        <f t="shared" si="6"/>
        <v>0</v>
      </c>
      <c r="U36" s="7">
        <f t="shared" si="7"/>
        <v>0</v>
      </c>
      <c r="V36" s="7">
        <f t="shared" si="8"/>
        <v>0</v>
      </c>
      <c r="W36" s="7">
        <f t="shared" si="9"/>
        <v>0</v>
      </c>
      <c r="X36" s="75" t="str">
        <f t="shared" si="10"/>
        <v>-</v>
      </c>
      <c r="Z36" s="7">
        <f>'2018-19_working'!R36</f>
        <v>2</v>
      </c>
      <c r="AA36" s="7">
        <f>'2018-19_working'!S36</f>
        <v>3</v>
      </c>
      <c r="AB36" s="7">
        <f>'2018-19_working'!T36</f>
        <v>2</v>
      </c>
      <c r="AC36" s="7">
        <f>'2018-19_working'!U36</f>
        <v>0</v>
      </c>
      <c r="AD36" s="7">
        <f>SUM('2018-19_working'!V36:W36)</f>
        <v>0</v>
      </c>
      <c r="AE36" s="7">
        <f>'2018-19_working'!X36</f>
        <v>0</v>
      </c>
      <c r="AF36" s="75">
        <f t="shared" si="11"/>
        <v>30.142857142857139</v>
      </c>
      <c r="AH36" s="7">
        <f>'2018-19_working'!Z36</f>
        <v>0</v>
      </c>
      <c r="AI36" s="7">
        <f>'2018-19_working'!AA36</f>
        <v>0</v>
      </c>
      <c r="AJ36" s="7">
        <f>'2018-19_working'!AB36</f>
        <v>0</v>
      </c>
      <c r="AK36" s="7">
        <f>'2018-19_working'!AC36</f>
        <v>1</v>
      </c>
      <c r="AL36" s="7">
        <f>SUM('2018-19_working'!AD36:AE36)</f>
        <v>0</v>
      </c>
      <c r="AM36" s="7">
        <f>'2018-19_working'!AF36</f>
        <v>0</v>
      </c>
      <c r="AN36" s="75">
        <f t="shared" si="12"/>
        <v>50.5</v>
      </c>
      <c r="AP36" s="7">
        <f t="shared" si="13"/>
        <v>2</v>
      </c>
      <c r="AQ36" s="7">
        <f t="shared" si="14"/>
        <v>3</v>
      </c>
      <c r="AR36" s="7">
        <f t="shared" si="15"/>
        <v>2</v>
      </c>
      <c r="AS36" s="7">
        <f t="shared" si="16"/>
        <v>1</v>
      </c>
      <c r="AT36" s="7">
        <f t="shared" si="17"/>
        <v>0</v>
      </c>
      <c r="AU36" s="7">
        <f t="shared" si="18"/>
        <v>0</v>
      </c>
      <c r="AV36" s="75">
        <f t="shared" si="19"/>
        <v>32.6875</v>
      </c>
    </row>
    <row r="37" spans="1:48" x14ac:dyDescent="0.35">
      <c r="A37" s="7" t="s">
        <v>42</v>
      </c>
      <c r="B37" s="7">
        <f>'2018-19_working'!B37</f>
        <v>2</v>
      </c>
      <c r="C37" s="7">
        <f>'2018-19_working'!C37</f>
        <v>15</v>
      </c>
      <c r="D37" s="7">
        <f>'2018-19_working'!D37</f>
        <v>11</v>
      </c>
      <c r="E37" s="7">
        <f>'2018-19_working'!E37</f>
        <v>2</v>
      </c>
      <c r="F37" s="7">
        <f>SUM('2018-19_working'!F37:G37)</f>
        <v>0</v>
      </c>
      <c r="G37" s="7">
        <f>'2018-19_working'!H37</f>
        <v>0</v>
      </c>
      <c r="H37" s="75">
        <f t="shared" si="2"/>
        <v>34.549999999999997</v>
      </c>
      <c r="J37" s="7">
        <f>'2018-19_working'!J37</f>
        <v>11</v>
      </c>
      <c r="K37" s="7">
        <f>'2018-19_working'!K37</f>
        <v>15</v>
      </c>
      <c r="L37" s="7">
        <f>'2018-19_working'!L37</f>
        <v>10</v>
      </c>
      <c r="M37" s="7">
        <f>'2018-19_working'!M37</f>
        <v>5</v>
      </c>
      <c r="N37" s="7">
        <f>SUM('2018-19_working'!N37:O37)</f>
        <v>0</v>
      </c>
      <c r="O37" s="7">
        <f>'2018-19_working'!P37</f>
        <v>0</v>
      </c>
      <c r="P37" s="75">
        <f t="shared" si="3"/>
        <v>32.378048780487802</v>
      </c>
      <c r="R37" s="7">
        <f t="shared" si="4"/>
        <v>13</v>
      </c>
      <c r="S37" s="7">
        <f t="shared" si="5"/>
        <v>30</v>
      </c>
      <c r="T37" s="7">
        <f t="shared" si="6"/>
        <v>21</v>
      </c>
      <c r="U37" s="7">
        <f t="shared" si="7"/>
        <v>7</v>
      </c>
      <c r="V37" s="7">
        <f t="shared" si="8"/>
        <v>0</v>
      </c>
      <c r="W37" s="7">
        <f t="shared" si="9"/>
        <v>0</v>
      </c>
      <c r="X37" s="75">
        <f t="shared" si="10"/>
        <v>33.29577464788732</v>
      </c>
      <c r="Z37" s="7">
        <f>'2018-19_working'!R37</f>
        <v>1</v>
      </c>
      <c r="AA37" s="7">
        <f>'2018-19_working'!S37</f>
        <v>3</v>
      </c>
      <c r="AB37" s="7">
        <f>'2018-19_working'!T37</f>
        <v>0</v>
      </c>
      <c r="AC37" s="7">
        <f>'2018-19_working'!U37</f>
        <v>0</v>
      </c>
      <c r="AD37" s="7">
        <f>SUM('2018-19_working'!V37:W37)</f>
        <v>0</v>
      </c>
      <c r="AE37" s="7">
        <f>'2018-19_working'!X37</f>
        <v>0</v>
      </c>
      <c r="AF37" s="75">
        <f t="shared" si="11"/>
        <v>27.5</v>
      </c>
      <c r="AH37" s="7">
        <f>'2018-19_working'!Z37</f>
        <v>0</v>
      </c>
      <c r="AI37" s="7">
        <f>'2018-19_working'!AA37</f>
        <v>6</v>
      </c>
      <c r="AJ37" s="7">
        <f>'2018-19_working'!AB37</f>
        <v>2</v>
      </c>
      <c r="AK37" s="7">
        <f>'2018-19_working'!AC37</f>
        <v>0</v>
      </c>
      <c r="AL37" s="7">
        <f>SUM('2018-19_working'!AD37:AE37)</f>
        <v>0</v>
      </c>
      <c r="AM37" s="7">
        <f>'2018-19_working'!AF37</f>
        <v>10</v>
      </c>
      <c r="AN37" s="75">
        <f t="shared" si="12"/>
        <v>32.625</v>
      </c>
      <c r="AP37" s="7">
        <f t="shared" si="13"/>
        <v>14</v>
      </c>
      <c r="AQ37" s="7">
        <f t="shared" si="14"/>
        <v>39</v>
      </c>
      <c r="AR37" s="7">
        <f t="shared" si="15"/>
        <v>23</v>
      </c>
      <c r="AS37" s="7">
        <f t="shared" si="16"/>
        <v>7</v>
      </c>
      <c r="AT37" s="7">
        <f t="shared" si="17"/>
        <v>0</v>
      </c>
      <c r="AU37" s="7">
        <f t="shared" si="18"/>
        <v>10</v>
      </c>
      <c r="AV37" s="75">
        <f t="shared" si="19"/>
        <v>32.951807228915662</v>
      </c>
    </row>
    <row r="38" spans="1:48" x14ac:dyDescent="0.35">
      <c r="A38" s="7" t="s">
        <v>43</v>
      </c>
      <c r="B38" s="7">
        <f>'2018-19_working'!B38</f>
        <v>1</v>
      </c>
      <c r="C38" s="7">
        <f>'2018-19_working'!C38</f>
        <v>7</v>
      </c>
      <c r="D38" s="7">
        <f>'2018-19_working'!D38</f>
        <v>1</v>
      </c>
      <c r="E38" s="7">
        <f>'2018-19_working'!E38</f>
        <v>0</v>
      </c>
      <c r="F38" s="7">
        <f>SUM('2018-19_working'!F38:G38)</f>
        <v>0</v>
      </c>
      <c r="G38" s="7">
        <f>'2018-19_working'!H38</f>
        <v>0</v>
      </c>
      <c r="H38" s="75">
        <f t="shared" si="2"/>
        <v>30.055555555555554</v>
      </c>
      <c r="J38" s="7">
        <f>'2018-19_working'!J38</f>
        <v>14</v>
      </c>
      <c r="K38" s="7">
        <f>'2018-19_working'!K38</f>
        <v>26</v>
      </c>
      <c r="L38" s="7">
        <f>'2018-19_working'!L38</f>
        <v>4</v>
      </c>
      <c r="M38" s="7">
        <f>'2018-19_working'!M38</f>
        <v>3</v>
      </c>
      <c r="N38" s="7">
        <f>SUM('2018-19_working'!N38:O38)</f>
        <v>1</v>
      </c>
      <c r="O38" s="7">
        <f>'2018-19_working'!P38</f>
        <v>0</v>
      </c>
      <c r="P38" s="75">
        <f t="shared" si="3"/>
        <v>29.781250000000004</v>
      </c>
      <c r="R38" s="7">
        <f t="shared" si="4"/>
        <v>15</v>
      </c>
      <c r="S38" s="7">
        <f t="shared" si="5"/>
        <v>33</v>
      </c>
      <c r="T38" s="7">
        <f t="shared" si="6"/>
        <v>5</v>
      </c>
      <c r="U38" s="7">
        <f t="shared" si="7"/>
        <v>3</v>
      </c>
      <c r="V38" s="7">
        <f t="shared" si="8"/>
        <v>1</v>
      </c>
      <c r="W38" s="7">
        <f t="shared" si="9"/>
        <v>0</v>
      </c>
      <c r="X38" s="75">
        <f t="shared" si="10"/>
        <v>29.82456140350877</v>
      </c>
      <c r="Z38" s="7">
        <f>'2018-19_working'!R38</f>
        <v>0</v>
      </c>
      <c r="AA38" s="7">
        <f>'2018-19_working'!S38</f>
        <v>2</v>
      </c>
      <c r="AB38" s="7">
        <f>'2018-19_working'!T38</f>
        <v>2</v>
      </c>
      <c r="AC38" s="7">
        <f>'2018-19_working'!U38</f>
        <v>0</v>
      </c>
      <c r="AD38" s="7">
        <f>SUM('2018-19_working'!V38:W38)</f>
        <v>0</v>
      </c>
      <c r="AE38" s="7">
        <f>'2018-19_working'!X38</f>
        <v>0</v>
      </c>
      <c r="AF38" s="75">
        <f t="shared" si="11"/>
        <v>35.25</v>
      </c>
      <c r="AH38" s="7">
        <f>'2018-19_working'!Z38</f>
        <v>0</v>
      </c>
      <c r="AI38" s="7">
        <f>'2018-19_working'!AA38</f>
        <v>2</v>
      </c>
      <c r="AJ38" s="7">
        <f>'2018-19_working'!AB38</f>
        <v>3</v>
      </c>
      <c r="AK38" s="7">
        <f>'2018-19_working'!AC38</f>
        <v>3</v>
      </c>
      <c r="AL38" s="7">
        <f>SUM('2018-19_working'!AD38:AE38)</f>
        <v>1</v>
      </c>
      <c r="AM38" s="7">
        <f>'2018-19_working'!AF38</f>
        <v>0</v>
      </c>
      <c r="AN38" s="75">
        <f t="shared" si="12"/>
        <v>43.222222222222221</v>
      </c>
      <c r="AP38" s="7">
        <f t="shared" si="13"/>
        <v>15</v>
      </c>
      <c r="AQ38" s="7">
        <f t="shared" si="14"/>
        <v>37</v>
      </c>
      <c r="AR38" s="7">
        <f t="shared" si="15"/>
        <v>10</v>
      </c>
      <c r="AS38" s="7">
        <f t="shared" si="16"/>
        <v>6</v>
      </c>
      <c r="AT38" s="7">
        <f t="shared" si="17"/>
        <v>2</v>
      </c>
      <c r="AU38" s="7">
        <f t="shared" si="18"/>
        <v>0</v>
      </c>
      <c r="AV38" s="75">
        <f t="shared" si="19"/>
        <v>31.857142857142858</v>
      </c>
    </row>
    <row r="39" spans="1:48" x14ac:dyDescent="0.35">
      <c r="A39" s="7" t="s">
        <v>44</v>
      </c>
      <c r="B39" s="7">
        <f>'2018-19_working'!B39</f>
        <v>0</v>
      </c>
      <c r="C39" s="7">
        <f>'2018-19_working'!C39</f>
        <v>3</v>
      </c>
      <c r="D39" s="7">
        <f>'2018-19_working'!D39</f>
        <v>5</v>
      </c>
      <c r="E39" s="7">
        <f>'2018-19_working'!E39</f>
        <v>1</v>
      </c>
      <c r="F39" s="7">
        <f>SUM('2018-19_working'!F39:G39)</f>
        <v>0</v>
      </c>
      <c r="G39" s="7">
        <f>'2018-19_working'!H39</f>
        <v>0</v>
      </c>
      <c r="H39" s="75">
        <f t="shared" si="2"/>
        <v>38.111111111111114</v>
      </c>
      <c r="J39" s="7">
        <f>'2018-19_working'!J39</f>
        <v>9</v>
      </c>
      <c r="K39" s="7">
        <f>'2018-19_working'!K39</f>
        <v>5</v>
      </c>
      <c r="L39" s="7">
        <f>'2018-19_working'!L39</f>
        <v>4</v>
      </c>
      <c r="M39" s="7">
        <f>'2018-19_working'!M39</f>
        <v>1</v>
      </c>
      <c r="N39" s="7">
        <f>SUM('2018-19_working'!N39:O39)</f>
        <v>0</v>
      </c>
      <c r="O39" s="7">
        <f>'2018-19_working'!P39</f>
        <v>0</v>
      </c>
      <c r="P39" s="75">
        <f t="shared" si="3"/>
        <v>28.552631578947366</v>
      </c>
      <c r="R39" s="7">
        <f t="shared" si="4"/>
        <v>9</v>
      </c>
      <c r="S39" s="7">
        <f t="shared" si="5"/>
        <v>8</v>
      </c>
      <c r="T39" s="7">
        <f t="shared" si="6"/>
        <v>9</v>
      </c>
      <c r="U39" s="7">
        <f t="shared" si="7"/>
        <v>2</v>
      </c>
      <c r="V39" s="7">
        <f t="shared" si="8"/>
        <v>0</v>
      </c>
      <c r="W39" s="7">
        <f t="shared" si="9"/>
        <v>0</v>
      </c>
      <c r="X39" s="75">
        <f t="shared" si="10"/>
        <v>31.625000000000004</v>
      </c>
      <c r="Z39" s="7">
        <f>'2018-19_working'!R39</f>
        <v>0</v>
      </c>
      <c r="AA39" s="7">
        <f>'2018-19_working'!S39</f>
        <v>0</v>
      </c>
      <c r="AB39" s="7">
        <f>'2018-19_working'!T39</f>
        <v>0</v>
      </c>
      <c r="AC39" s="7">
        <f>'2018-19_working'!U39</f>
        <v>0</v>
      </c>
      <c r="AD39" s="7">
        <f>SUM('2018-19_working'!V39:W39)</f>
        <v>0</v>
      </c>
      <c r="AE39" s="7">
        <f>'2018-19_working'!X39</f>
        <v>0</v>
      </c>
      <c r="AF39" s="75" t="str">
        <f t="shared" si="11"/>
        <v>-</v>
      </c>
      <c r="AH39" s="7">
        <f>'2018-19_working'!Z39</f>
        <v>1</v>
      </c>
      <c r="AI39" s="7">
        <f>'2018-19_working'!AA39</f>
        <v>0</v>
      </c>
      <c r="AJ39" s="7">
        <f>'2018-19_working'!AB39</f>
        <v>0</v>
      </c>
      <c r="AK39" s="7">
        <f>'2018-19_working'!AC39</f>
        <v>0</v>
      </c>
      <c r="AL39" s="7">
        <f>SUM('2018-19_working'!AD39:AE39)</f>
        <v>0</v>
      </c>
      <c r="AM39" s="7">
        <f>'2018-19_working'!AF39</f>
        <v>0</v>
      </c>
      <c r="AN39" s="75">
        <f t="shared" si="12"/>
        <v>20</v>
      </c>
      <c r="AP39" s="7">
        <f t="shared" si="13"/>
        <v>10</v>
      </c>
      <c r="AQ39" s="7">
        <f t="shared" si="14"/>
        <v>8</v>
      </c>
      <c r="AR39" s="7">
        <f t="shared" si="15"/>
        <v>9</v>
      </c>
      <c r="AS39" s="7">
        <f t="shared" si="16"/>
        <v>2</v>
      </c>
      <c r="AT39" s="7">
        <f t="shared" si="17"/>
        <v>0</v>
      </c>
      <c r="AU39" s="7">
        <f t="shared" si="18"/>
        <v>0</v>
      </c>
      <c r="AV39" s="75">
        <f t="shared" si="19"/>
        <v>31.22413793103448</v>
      </c>
    </row>
    <row r="40" spans="1:48" x14ac:dyDescent="0.35">
      <c r="A40" s="7" t="s">
        <v>45</v>
      </c>
      <c r="B40" s="7">
        <f>'2018-19_working'!B40</f>
        <v>1</v>
      </c>
      <c r="C40" s="7">
        <f>'2018-19_working'!C40</f>
        <v>20</v>
      </c>
      <c r="D40" s="7">
        <f>'2018-19_working'!D40</f>
        <v>9</v>
      </c>
      <c r="E40" s="7">
        <f>'2018-19_working'!E40</f>
        <v>0</v>
      </c>
      <c r="F40" s="7">
        <f>SUM('2018-19_working'!F40:G40)</f>
        <v>0</v>
      </c>
      <c r="G40" s="7">
        <f>'2018-19_working'!H40</f>
        <v>0</v>
      </c>
      <c r="H40" s="75">
        <f t="shared" si="2"/>
        <v>32.81666666666667</v>
      </c>
      <c r="J40" s="7">
        <f>'2018-19_working'!J40</f>
        <v>8</v>
      </c>
      <c r="K40" s="7">
        <f>'2018-19_working'!K40</f>
        <v>8</v>
      </c>
      <c r="L40" s="7">
        <f>'2018-19_working'!L40</f>
        <v>6</v>
      </c>
      <c r="M40" s="7">
        <f>'2018-19_working'!M40</f>
        <v>3</v>
      </c>
      <c r="N40" s="7">
        <f>SUM('2018-19_working'!N40:O40)</f>
        <v>0</v>
      </c>
      <c r="O40" s="7">
        <f>'2018-19_working'!P40</f>
        <v>0</v>
      </c>
      <c r="P40" s="75">
        <f t="shared" si="3"/>
        <v>31.779999999999998</v>
      </c>
      <c r="R40" s="7">
        <f t="shared" si="4"/>
        <v>9</v>
      </c>
      <c r="S40" s="7">
        <f t="shared" si="5"/>
        <v>28</v>
      </c>
      <c r="T40" s="7">
        <f t="shared" si="6"/>
        <v>15</v>
      </c>
      <c r="U40" s="7">
        <f t="shared" si="7"/>
        <v>3</v>
      </c>
      <c r="V40" s="7">
        <f t="shared" si="8"/>
        <v>0</v>
      </c>
      <c r="W40" s="7">
        <f t="shared" si="9"/>
        <v>0</v>
      </c>
      <c r="X40" s="75">
        <f t="shared" si="10"/>
        <v>32.345454545454544</v>
      </c>
      <c r="Z40" s="7">
        <f>'2018-19_working'!R40</f>
        <v>0</v>
      </c>
      <c r="AA40" s="7">
        <f>'2018-19_working'!S40</f>
        <v>0</v>
      </c>
      <c r="AB40" s="7">
        <f>'2018-19_working'!T40</f>
        <v>0</v>
      </c>
      <c r="AC40" s="7">
        <f>'2018-19_working'!U40</f>
        <v>0</v>
      </c>
      <c r="AD40" s="7">
        <f>SUM('2018-19_working'!V40:W40)</f>
        <v>0</v>
      </c>
      <c r="AE40" s="7">
        <f>'2018-19_working'!X40</f>
        <v>0</v>
      </c>
      <c r="AF40" s="75" t="str">
        <f t="shared" si="11"/>
        <v>-</v>
      </c>
      <c r="AH40" s="7">
        <f>'2018-19_working'!Z40</f>
        <v>1</v>
      </c>
      <c r="AI40" s="7">
        <f>'2018-19_working'!AA40</f>
        <v>3</v>
      </c>
      <c r="AJ40" s="7">
        <f>'2018-19_working'!AB40</f>
        <v>1</v>
      </c>
      <c r="AK40" s="7">
        <f>'2018-19_working'!AC40</f>
        <v>3</v>
      </c>
      <c r="AL40" s="7">
        <f>SUM('2018-19_working'!AD40:AE40)</f>
        <v>1</v>
      </c>
      <c r="AM40" s="7">
        <f>'2018-19_working'!AF40</f>
        <v>0</v>
      </c>
      <c r="AN40" s="75">
        <f t="shared" si="12"/>
        <v>39.777777777777779</v>
      </c>
      <c r="AP40" s="7">
        <f t="shared" si="13"/>
        <v>10</v>
      </c>
      <c r="AQ40" s="7">
        <f t="shared" si="14"/>
        <v>31</v>
      </c>
      <c r="AR40" s="7">
        <f t="shared" si="15"/>
        <v>16</v>
      </c>
      <c r="AS40" s="7">
        <f t="shared" si="16"/>
        <v>6</v>
      </c>
      <c r="AT40" s="7">
        <f t="shared" si="17"/>
        <v>1</v>
      </c>
      <c r="AU40" s="7">
        <f t="shared" si="18"/>
        <v>0</v>
      </c>
      <c r="AV40" s="75">
        <f t="shared" si="19"/>
        <v>33.390625</v>
      </c>
    </row>
    <row r="41" spans="1:48" x14ac:dyDescent="0.35">
      <c r="A41" s="7" t="s">
        <v>46</v>
      </c>
      <c r="B41" s="7">
        <f>'2018-19_working'!B41</f>
        <v>0</v>
      </c>
      <c r="C41" s="7">
        <f>'2018-19_working'!C41</f>
        <v>6</v>
      </c>
      <c r="D41" s="7">
        <f>'2018-19_working'!D41</f>
        <v>2</v>
      </c>
      <c r="E41" s="7">
        <f>'2018-19_working'!E41</f>
        <v>0</v>
      </c>
      <c r="F41" s="7">
        <f>SUM('2018-19_working'!F41:G41)</f>
        <v>0</v>
      </c>
      <c r="G41" s="7">
        <f>'2018-19_working'!H41</f>
        <v>0</v>
      </c>
      <c r="H41" s="75">
        <f t="shared" si="2"/>
        <v>32.625</v>
      </c>
      <c r="J41" s="7">
        <f>'2018-19_working'!J41</f>
        <v>8</v>
      </c>
      <c r="K41" s="7">
        <f>'2018-19_working'!K41</f>
        <v>29</v>
      </c>
      <c r="L41" s="7">
        <f>'2018-19_working'!L41</f>
        <v>12</v>
      </c>
      <c r="M41" s="7">
        <f>'2018-19_working'!M41</f>
        <v>6</v>
      </c>
      <c r="N41" s="7">
        <f>SUM('2018-19_working'!N41:O41)</f>
        <v>1</v>
      </c>
      <c r="O41" s="7">
        <f>'2018-19_working'!P41</f>
        <v>0</v>
      </c>
      <c r="P41" s="75">
        <f t="shared" si="3"/>
        <v>33.482142857142854</v>
      </c>
      <c r="R41" s="7">
        <f t="shared" si="4"/>
        <v>8</v>
      </c>
      <c r="S41" s="7">
        <f t="shared" si="5"/>
        <v>35</v>
      </c>
      <c r="T41" s="7">
        <f t="shared" si="6"/>
        <v>14</v>
      </c>
      <c r="U41" s="7">
        <f t="shared" si="7"/>
        <v>6</v>
      </c>
      <c r="V41" s="7">
        <f t="shared" si="8"/>
        <v>1</v>
      </c>
      <c r="W41" s="7">
        <f t="shared" si="9"/>
        <v>0</v>
      </c>
      <c r="X41" s="75">
        <f t="shared" si="10"/>
        <v>33.375</v>
      </c>
      <c r="Z41" s="7">
        <f>'2018-19_working'!R41</f>
        <v>0</v>
      </c>
      <c r="AA41" s="7">
        <f>'2018-19_working'!S41</f>
        <v>0</v>
      </c>
      <c r="AB41" s="7">
        <f>'2018-19_working'!T41</f>
        <v>0</v>
      </c>
      <c r="AC41" s="7">
        <f>'2018-19_working'!U41</f>
        <v>0</v>
      </c>
      <c r="AD41" s="7">
        <f>SUM('2018-19_working'!V41:W41)</f>
        <v>0</v>
      </c>
      <c r="AE41" s="7">
        <f>'2018-19_working'!X41</f>
        <v>0</v>
      </c>
      <c r="AF41" s="75" t="str">
        <f t="shared" si="11"/>
        <v>-</v>
      </c>
      <c r="AH41" s="7">
        <f>'2018-19_working'!Z41</f>
        <v>0</v>
      </c>
      <c r="AI41" s="7">
        <f>'2018-19_working'!AA41</f>
        <v>3</v>
      </c>
      <c r="AJ41" s="7">
        <f>'2018-19_working'!AB41</f>
        <v>2</v>
      </c>
      <c r="AK41" s="7">
        <f>'2018-19_working'!AC41</f>
        <v>2</v>
      </c>
      <c r="AL41" s="7">
        <f>SUM('2018-19_working'!AD41:AE41)</f>
        <v>2</v>
      </c>
      <c r="AM41" s="7">
        <f>'2018-19_working'!AF41</f>
        <v>0</v>
      </c>
      <c r="AN41" s="75">
        <f t="shared" si="12"/>
        <v>42.666666666666664</v>
      </c>
      <c r="AP41" s="7">
        <f t="shared" si="13"/>
        <v>8</v>
      </c>
      <c r="AQ41" s="7">
        <f t="shared" si="14"/>
        <v>38</v>
      </c>
      <c r="AR41" s="7">
        <f t="shared" si="15"/>
        <v>16</v>
      </c>
      <c r="AS41" s="7">
        <f t="shared" si="16"/>
        <v>8</v>
      </c>
      <c r="AT41" s="7">
        <f t="shared" si="17"/>
        <v>3</v>
      </c>
      <c r="AU41" s="7">
        <f t="shared" si="18"/>
        <v>0</v>
      </c>
      <c r="AV41" s="75">
        <f t="shared" si="19"/>
        <v>34.520547945205479</v>
      </c>
    </row>
    <row r="42" spans="1:48" x14ac:dyDescent="0.35">
      <c r="A42" s="7" t="s">
        <v>47</v>
      </c>
      <c r="B42" s="7">
        <f>'2018-19_working'!B42</f>
        <v>2</v>
      </c>
      <c r="C42" s="7">
        <f>'2018-19_working'!C42</f>
        <v>5</v>
      </c>
      <c r="D42" s="7">
        <f>'2018-19_working'!D42</f>
        <v>5</v>
      </c>
      <c r="E42" s="7">
        <f>'2018-19_working'!E42</f>
        <v>0</v>
      </c>
      <c r="F42" s="7">
        <f>SUM('2018-19_working'!F42:G42)</f>
        <v>0</v>
      </c>
      <c r="G42" s="7">
        <f>'2018-19_working'!H42</f>
        <v>0</v>
      </c>
      <c r="H42" s="75">
        <f t="shared" si="2"/>
        <v>32.708333333333329</v>
      </c>
      <c r="J42" s="7">
        <f>'2018-19_working'!J42</f>
        <v>8</v>
      </c>
      <c r="K42" s="7">
        <f>'2018-19_working'!K42</f>
        <v>13</v>
      </c>
      <c r="L42" s="7">
        <f>'2018-19_working'!L42</f>
        <v>6</v>
      </c>
      <c r="M42" s="7">
        <f>'2018-19_working'!M42</f>
        <v>1</v>
      </c>
      <c r="N42" s="7">
        <f>SUM('2018-19_working'!N42:O42)</f>
        <v>0</v>
      </c>
      <c r="O42" s="7">
        <f>'2018-19_working'!P42</f>
        <v>0</v>
      </c>
      <c r="P42" s="75">
        <f t="shared" si="3"/>
        <v>30.124999999999996</v>
      </c>
      <c r="R42" s="7">
        <f t="shared" si="4"/>
        <v>10</v>
      </c>
      <c r="S42" s="7">
        <f t="shared" si="5"/>
        <v>18</v>
      </c>
      <c r="T42" s="7">
        <f t="shared" si="6"/>
        <v>11</v>
      </c>
      <c r="U42" s="7">
        <f t="shared" si="7"/>
        <v>1</v>
      </c>
      <c r="V42" s="7">
        <f t="shared" si="8"/>
        <v>0</v>
      </c>
      <c r="W42" s="7">
        <f t="shared" si="9"/>
        <v>0</v>
      </c>
      <c r="X42" s="75">
        <f t="shared" si="10"/>
        <v>30.900000000000002</v>
      </c>
      <c r="Z42" s="7">
        <f>'2018-19_working'!R42</f>
        <v>0</v>
      </c>
      <c r="AA42" s="7">
        <f>'2018-19_working'!S42</f>
        <v>2</v>
      </c>
      <c r="AB42" s="7">
        <f>'2018-19_working'!T42</f>
        <v>0</v>
      </c>
      <c r="AC42" s="7">
        <f>'2018-19_working'!U42</f>
        <v>0</v>
      </c>
      <c r="AD42" s="7">
        <f>SUM('2018-19_working'!V42:W42)</f>
        <v>0</v>
      </c>
      <c r="AE42" s="7">
        <f>'2018-19_working'!X42</f>
        <v>0</v>
      </c>
      <c r="AF42" s="75">
        <f t="shared" si="11"/>
        <v>30</v>
      </c>
      <c r="AH42" s="7">
        <f>'2018-19_working'!Z42</f>
        <v>2</v>
      </c>
      <c r="AI42" s="7">
        <f>'2018-19_working'!AA42</f>
        <v>0</v>
      </c>
      <c r="AJ42" s="7">
        <f>'2018-19_working'!AB42</f>
        <v>2</v>
      </c>
      <c r="AK42" s="7">
        <f>'2018-19_working'!AC42</f>
        <v>3</v>
      </c>
      <c r="AL42" s="7">
        <f>SUM('2018-19_working'!AD42:AE42)</f>
        <v>1</v>
      </c>
      <c r="AM42" s="7">
        <f>'2018-19_working'!AF42</f>
        <v>0</v>
      </c>
      <c r="AN42" s="75">
        <f t="shared" si="12"/>
        <v>41.0625</v>
      </c>
      <c r="AP42" s="7">
        <f t="shared" si="13"/>
        <v>12</v>
      </c>
      <c r="AQ42" s="7">
        <f t="shared" si="14"/>
        <v>20</v>
      </c>
      <c r="AR42" s="7">
        <f t="shared" si="15"/>
        <v>13</v>
      </c>
      <c r="AS42" s="7">
        <f t="shared" si="16"/>
        <v>4</v>
      </c>
      <c r="AT42" s="7">
        <f t="shared" si="17"/>
        <v>1</v>
      </c>
      <c r="AU42" s="7">
        <f t="shared" si="18"/>
        <v>0</v>
      </c>
      <c r="AV42" s="75">
        <f t="shared" si="19"/>
        <v>32.49</v>
      </c>
    </row>
    <row r="43" spans="1:48" x14ac:dyDescent="0.35">
      <c r="A43" s="7" t="s">
        <v>48</v>
      </c>
      <c r="B43" s="7">
        <f>'2018-19_working'!B43</f>
        <v>1</v>
      </c>
      <c r="C43" s="7">
        <f>'2018-19_working'!C43</f>
        <v>7</v>
      </c>
      <c r="D43" s="7">
        <f>'2018-19_working'!D43</f>
        <v>5</v>
      </c>
      <c r="E43" s="7">
        <f>'2018-19_working'!E43</f>
        <v>0</v>
      </c>
      <c r="F43" s="7">
        <f>SUM('2018-19_working'!F43:G43)</f>
        <v>0</v>
      </c>
      <c r="G43" s="7">
        <f>'2018-19_working'!H43</f>
        <v>0</v>
      </c>
      <c r="H43" s="75">
        <f t="shared" si="2"/>
        <v>33.269230769230774</v>
      </c>
      <c r="J43" s="7">
        <f>'2018-19_working'!J43</f>
        <v>12</v>
      </c>
      <c r="K43" s="7">
        <f>'2018-19_working'!K43</f>
        <v>17</v>
      </c>
      <c r="L43" s="7">
        <f>'2018-19_working'!L43</f>
        <v>11</v>
      </c>
      <c r="M43" s="7">
        <f>'2018-19_working'!M43</f>
        <v>3</v>
      </c>
      <c r="N43" s="7">
        <f>SUM('2018-19_working'!N43:O43)</f>
        <v>1</v>
      </c>
      <c r="O43" s="7">
        <f>'2018-19_working'!P43</f>
        <v>0</v>
      </c>
      <c r="P43" s="75">
        <f t="shared" si="3"/>
        <v>31.886363636363633</v>
      </c>
      <c r="R43" s="7">
        <f t="shared" si="4"/>
        <v>13</v>
      </c>
      <c r="S43" s="7">
        <f t="shared" si="5"/>
        <v>24</v>
      </c>
      <c r="T43" s="7">
        <f t="shared" si="6"/>
        <v>16</v>
      </c>
      <c r="U43" s="7">
        <f t="shared" si="7"/>
        <v>3</v>
      </c>
      <c r="V43" s="7">
        <f t="shared" si="8"/>
        <v>1</v>
      </c>
      <c r="W43" s="7">
        <f t="shared" si="9"/>
        <v>0</v>
      </c>
      <c r="X43" s="75">
        <f t="shared" si="10"/>
        <v>32.201754385964911</v>
      </c>
      <c r="Z43" s="7">
        <f>'2018-19_working'!R43</f>
        <v>0</v>
      </c>
      <c r="AA43" s="7">
        <f>'2018-19_working'!S43</f>
        <v>0</v>
      </c>
      <c r="AB43" s="7">
        <f>'2018-19_working'!T43</f>
        <v>0</v>
      </c>
      <c r="AC43" s="7">
        <f>'2018-19_working'!U43</f>
        <v>0</v>
      </c>
      <c r="AD43" s="7">
        <f>SUM('2018-19_working'!V43:W43)</f>
        <v>0</v>
      </c>
      <c r="AE43" s="7">
        <f>'2018-19_working'!X43</f>
        <v>0</v>
      </c>
      <c r="AF43" s="75" t="str">
        <f t="shared" si="11"/>
        <v>-</v>
      </c>
      <c r="AH43" s="7">
        <f>'2018-19_working'!Z43</f>
        <v>4</v>
      </c>
      <c r="AI43" s="7">
        <f>'2018-19_working'!AA43</f>
        <v>6</v>
      </c>
      <c r="AJ43" s="7">
        <f>'2018-19_working'!AB43</f>
        <v>4</v>
      </c>
      <c r="AK43" s="7">
        <f>'2018-19_working'!AC43</f>
        <v>5</v>
      </c>
      <c r="AL43" s="7">
        <f>SUM('2018-19_working'!AD43:AE43)</f>
        <v>5</v>
      </c>
      <c r="AM43" s="7">
        <f>'2018-19_working'!AF43</f>
        <v>0</v>
      </c>
      <c r="AN43" s="75">
        <f t="shared" si="12"/>
        <v>39.770833333333329</v>
      </c>
      <c r="AP43" s="7">
        <f t="shared" si="13"/>
        <v>17</v>
      </c>
      <c r="AQ43" s="7">
        <f t="shared" si="14"/>
        <v>30</v>
      </c>
      <c r="AR43" s="7">
        <f t="shared" si="15"/>
        <v>20</v>
      </c>
      <c r="AS43" s="7">
        <f t="shared" si="16"/>
        <v>8</v>
      </c>
      <c r="AT43" s="7">
        <f t="shared" si="17"/>
        <v>6</v>
      </c>
      <c r="AU43" s="7">
        <f t="shared" si="18"/>
        <v>0</v>
      </c>
      <c r="AV43" s="75">
        <f t="shared" si="19"/>
        <v>34.444444444444443</v>
      </c>
    </row>
    <row r="44" spans="1:48" x14ac:dyDescent="0.35">
      <c r="A44" s="7" t="s">
        <v>49</v>
      </c>
      <c r="B44" s="7">
        <f>'2018-19_working'!B44</f>
        <v>1</v>
      </c>
      <c r="C44" s="7">
        <f>'2018-19_working'!C44</f>
        <v>7</v>
      </c>
      <c r="D44" s="7">
        <f>'2018-19_working'!D44</f>
        <v>0</v>
      </c>
      <c r="E44" s="7">
        <f>'2018-19_working'!E44</f>
        <v>0</v>
      </c>
      <c r="F44" s="7">
        <f>SUM('2018-19_working'!F44:G44)</f>
        <v>0</v>
      </c>
      <c r="G44" s="7">
        <f>'2018-19_working'!H44</f>
        <v>0</v>
      </c>
      <c r="H44" s="75">
        <f t="shared" si="2"/>
        <v>28.75</v>
      </c>
      <c r="J44" s="7">
        <f>'2018-19_working'!J44</f>
        <v>8</v>
      </c>
      <c r="K44" s="7">
        <f>'2018-19_working'!K44</f>
        <v>22</v>
      </c>
      <c r="L44" s="7">
        <f>'2018-19_working'!L44</f>
        <v>11</v>
      </c>
      <c r="M44" s="7">
        <f>'2018-19_working'!M44</f>
        <v>4</v>
      </c>
      <c r="N44" s="7">
        <f>SUM('2018-19_working'!N44:O44)</f>
        <v>1</v>
      </c>
      <c r="O44" s="7">
        <f>'2018-19_working'!P44</f>
        <v>0</v>
      </c>
      <c r="P44" s="75">
        <f t="shared" si="3"/>
        <v>33.119565217391305</v>
      </c>
      <c r="R44" s="7">
        <f t="shared" si="4"/>
        <v>9</v>
      </c>
      <c r="S44" s="7">
        <f t="shared" si="5"/>
        <v>29</v>
      </c>
      <c r="T44" s="7">
        <f t="shared" si="6"/>
        <v>11</v>
      </c>
      <c r="U44" s="7">
        <f t="shared" si="7"/>
        <v>4</v>
      </c>
      <c r="V44" s="7">
        <f t="shared" si="8"/>
        <v>1</v>
      </c>
      <c r="W44" s="7">
        <f t="shared" si="9"/>
        <v>0</v>
      </c>
      <c r="X44" s="75">
        <f t="shared" si="10"/>
        <v>32.472222222222221</v>
      </c>
      <c r="Z44" s="7">
        <f>'2018-19_working'!R44</f>
        <v>0</v>
      </c>
      <c r="AA44" s="7">
        <f>'2018-19_working'!S44</f>
        <v>0</v>
      </c>
      <c r="AB44" s="7">
        <f>'2018-19_working'!T44</f>
        <v>0</v>
      </c>
      <c r="AC44" s="7">
        <f>'2018-19_working'!U44</f>
        <v>0</v>
      </c>
      <c r="AD44" s="7">
        <f>SUM('2018-19_working'!V44:W44)</f>
        <v>0</v>
      </c>
      <c r="AE44" s="7">
        <f>'2018-19_working'!X44</f>
        <v>0</v>
      </c>
      <c r="AF44" s="75" t="str">
        <f t="shared" si="11"/>
        <v>-</v>
      </c>
      <c r="AH44" s="7">
        <f>'2018-19_working'!Z44</f>
        <v>2</v>
      </c>
      <c r="AI44" s="7">
        <f>'2018-19_working'!AA44</f>
        <v>0</v>
      </c>
      <c r="AJ44" s="7">
        <f>'2018-19_working'!AB44</f>
        <v>2</v>
      </c>
      <c r="AK44" s="7">
        <f>'2018-19_working'!AC44</f>
        <v>0</v>
      </c>
      <c r="AL44" s="7">
        <f>SUM('2018-19_working'!AD44:AE44)</f>
        <v>2</v>
      </c>
      <c r="AM44" s="7">
        <f>'2018-19_working'!AF44</f>
        <v>0</v>
      </c>
      <c r="AN44" s="75">
        <f t="shared" si="12"/>
        <v>38.833333333333329</v>
      </c>
      <c r="AP44" s="7">
        <f t="shared" si="13"/>
        <v>11</v>
      </c>
      <c r="AQ44" s="7">
        <f t="shared" si="14"/>
        <v>29</v>
      </c>
      <c r="AR44" s="7">
        <f t="shared" si="15"/>
        <v>13</v>
      </c>
      <c r="AS44" s="7">
        <f t="shared" si="16"/>
        <v>4</v>
      </c>
      <c r="AT44" s="7">
        <f t="shared" si="17"/>
        <v>3</v>
      </c>
      <c r="AU44" s="7">
        <f t="shared" si="18"/>
        <v>0</v>
      </c>
      <c r="AV44" s="75">
        <f t="shared" si="19"/>
        <v>33.108333333333334</v>
      </c>
    </row>
    <row r="45" spans="1:48" x14ac:dyDescent="0.35">
      <c r="A45" s="7" t="s">
        <v>50</v>
      </c>
      <c r="B45" s="7">
        <f>'2018-19_working'!B45</f>
        <v>5</v>
      </c>
      <c r="C45" s="7">
        <f>'2018-19_working'!C45</f>
        <v>17</v>
      </c>
      <c r="D45" s="7">
        <f>'2018-19_working'!D45</f>
        <v>5</v>
      </c>
      <c r="E45" s="7">
        <f>'2018-19_working'!E45</f>
        <v>3</v>
      </c>
      <c r="F45" s="7">
        <f>SUM('2018-19_working'!F45:G45)</f>
        <v>0</v>
      </c>
      <c r="G45" s="7">
        <f>'2018-19_working'!H45</f>
        <v>0</v>
      </c>
      <c r="H45" s="75">
        <f t="shared" si="2"/>
        <v>32.133333333333333</v>
      </c>
      <c r="J45" s="7">
        <f>'2018-19_working'!J45</f>
        <v>0</v>
      </c>
      <c r="K45" s="7">
        <f>'2018-19_working'!K45</f>
        <v>7</v>
      </c>
      <c r="L45" s="7">
        <f>'2018-19_working'!L45</f>
        <v>0</v>
      </c>
      <c r="M45" s="7">
        <f>'2018-19_working'!M45</f>
        <v>0</v>
      </c>
      <c r="N45" s="7">
        <f>SUM('2018-19_working'!N45:O45)</f>
        <v>0</v>
      </c>
      <c r="O45" s="7">
        <f>'2018-19_working'!P45</f>
        <v>0</v>
      </c>
      <c r="P45" s="75">
        <f t="shared" si="3"/>
        <v>30</v>
      </c>
      <c r="R45" s="7">
        <f t="shared" si="4"/>
        <v>5</v>
      </c>
      <c r="S45" s="7">
        <f t="shared" si="5"/>
        <v>24</v>
      </c>
      <c r="T45" s="7">
        <f t="shared" si="6"/>
        <v>5</v>
      </c>
      <c r="U45" s="7">
        <f t="shared" si="7"/>
        <v>3</v>
      </c>
      <c r="V45" s="7">
        <f t="shared" si="8"/>
        <v>0</v>
      </c>
      <c r="W45" s="7">
        <f t="shared" si="9"/>
        <v>0</v>
      </c>
      <c r="X45" s="75">
        <f t="shared" si="10"/>
        <v>31.729729729729733</v>
      </c>
      <c r="Z45" s="7">
        <f>'2018-19_working'!R45</f>
        <v>0</v>
      </c>
      <c r="AA45" s="7">
        <f>'2018-19_working'!S45</f>
        <v>3</v>
      </c>
      <c r="AB45" s="7">
        <f>'2018-19_working'!T45</f>
        <v>1</v>
      </c>
      <c r="AC45" s="7">
        <f>'2018-19_working'!U45</f>
        <v>0</v>
      </c>
      <c r="AD45" s="7">
        <f>SUM('2018-19_working'!V45:W45)</f>
        <v>0</v>
      </c>
      <c r="AE45" s="7">
        <f>'2018-19_working'!X45</f>
        <v>0</v>
      </c>
      <c r="AF45" s="75">
        <f t="shared" si="11"/>
        <v>32.625</v>
      </c>
      <c r="AH45" s="7">
        <f>'2018-19_working'!Z45</f>
        <v>0</v>
      </c>
      <c r="AI45" s="7">
        <f>'2018-19_working'!AA45</f>
        <v>0</v>
      </c>
      <c r="AJ45" s="7">
        <f>'2018-19_working'!AB45</f>
        <v>1</v>
      </c>
      <c r="AK45" s="7">
        <f>'2018-19_working'!AC45</f>
        <v>15</v>
      </c>
      <c r="AL45" s="7">
        <f>SUM('2018-19_working'!AD45:AE45)</f>
        <v>0</v>
      </c>
      <c r="AM45" s="7">
        <f>'2018-19_working'!AF45</f>
        <v>0</v>
      </c>
      <c r="AN45" s="75">
        <f t="shared" si="12"/>
        <v>49.875</v>
      </c>
      <c r="AP45" s="7">
        <f t="shared" si="13"/>
        <v>5</v>
      </c>
      <c r="AQ45" s="7">
        <f t="shared" si="14"/>
        <v>27</v>
      </c>
      <c r="AR45" s="7">
        <f t="shared" si="15"/>
        <v>7</v>
      </c>
      <c r="AS45" s="7">
        <f t="shared" si="16"/>
        <v>18</v>
      </c>
      <c r="AT45" s="7">
        <f t="shared" si="17"/>
        <v>0</v>
      </c>
      <c r="AU45" s="7">
        <f t="shared" si="18"/>
        <v>0</v>
      </c>
      <c r="AV45" s="75">
        <f t="shared" si="19"/>
        <v>36.885964912280699</v>
      </c>
    </row>
    <row r="46" spans="1:48" x14ac:dyDescent="0.35">
      <c r="A46" s="7" t="s">
        <v>51</v>
      </c>
      <c r="B46" s="7">
        <f>'2018-19_working'!B46</f>
        <v>0</v>
      </c>
      <c r="C46" s="7">
        <f>'2018-19_working'!C46</f>
        <v>4</v>
      </c>
      <c r="D46" s="7">
        <f>'2018-19_working'!D46</f>
        <v>3</v>
      </c>
      <c r="E46" s="7">
        <f>'2018-19_working'!E46</f>
        <v>5</v>
      </c>
      <c r="F46" s="7">
        <f>SUM('2018-19_working'!F46:G46)</f>
        <v>1</v>
      </c>
      <c r="G46" s="7">
        <f>'2018-19_working'!H46</f>
        <v>0</v>
      </c>
      <c r="H46" s="75">
        <f t="shared" si="2"/>
        <v>42.307692307692307</v>
      </c>
      <c r="J46" s="7">
        <f>'2018-19_working'!J46</f>
        <v>2</v>
      </c>
      <c r="K46" s="7">
        <f>'2018-19_working'!K46</f>
        <v>11</v>
      </c>
      <c r="L46" s="7">
        <f>'2018-19_working'!L46</f>
        <v>5</v>
      </c>
      <c r="M46" s="7">
        <f>'2018-19_working'!M46</f>
        <v>1</v>
      </c>
      <c r="N46" s="7">
        <f>SUM('2018-19_working'!N46:O46)</f>
        <v>0</v>
      </c>
      <c r="O46" s="7">
        <f>'2018-19_working'!P46</f>
        <v>0</v>
      </c>
      <c r="P46" s="75">
        <f t="shared" si="3"/>
        <v>32.78947368421052</v>
      </c>
      <c r="R46" s="7">
        <f t="shared" si="4"/>
        <v>2</v>
      </c>
      <c r="S46" s="7">
        <f t="shared" si="5"/>
        <v>15</v>
      </c>
      <c r="T46" s="7">
        <f t="shared" si="6"/>
        <v>8</v>
      </c>
      <c r="U46" s="7">
        <f t="shared" si="7"/>
        <v>6</v>
      </c>
      <c r="V46" s="7">
        <f t="shared" si="8"/>
        <v>1</v>
      </c>
      <c r="W46" s="7">
        <f t="shared" si="9"/>
        <v>0</v>
      </c>
      <c r="X46" s="75">
        <f t="shared" si="10"/>
        <v>36.65625</v>
      </c>
      <c r="Z46" s="7">
        <f>'2018-19_working'!R46</f>
        <v>0</v>
      </c>
      <c r="AA46" s="7">
        <f>'2018-19_working'!S46</f>
        <v>0</v>
      </c>
      <c r="AB46" s="7">
        <f>'2018-19_working'!T46</f>
        <v>1</v>
      </c>
      <c r="AC46" s="7">
        <f>'2018-19_working'!U46</f>
        <v>0</v>
      </c>
      <c r="AD46" s="7">
        <f>SUM('2018-19_working'!V46:W46)</f>
        <v>0</v>
      </c>
      <c r="AE46" s="7">
        <f>'2018-19_working'!X46</f>
        <v>0</v>
      </c>
      <c r="AF46" s="75">
        <f t="shared" si="11"/>
        <v>40.5</v>
      </c>
      <c r="AH46" s="7">
        <f>'2018-19_working'!Z46</f>
        <v>2</v>
      </c>
      <c r="AI46" s="7">
        <f>'2018-19_working'!AA46</f>
        <v>1</v>
      </c>
      <c r="AJ46" s="7">
        <f>'2018-19_working'!AB46</f>
        <v>1</v>
      </c>
      <c r="AK46" s="7">
        <f>'2018-19_working'!AC46</f>
        <v>7</v>
      </c>
      <c r="AL46" s="7">
        <f>SUM('2018-19_working'!AD46:AE46)</f>
        <v>2</v>
      </c>
      <c r="AM46" s="7">
        <f>'2018-19_working'!AF46</f>
        <v>0</v>
      </c>
      <c r="AN46" s="75">
        <f t="shared" si="12"/>
        <v>44.307692307692307</v>
      </c>
      <c r="AP46" s="7">
        <f t="shared" si="13"/>
        <v>4</v>
      </c>
      <c r="AQ46" s="7">
        <f t="shared" si="14"/>
        <v>16</v>
      </c>
      <c r="AR46" s="7">
        <f t="shared" si="15"/>
        <v>10</v>
      </c>
      <c r="AS46" s="7">
        <f t="shared" si="16"/>
        <v>13</v>
      </c>
      <c r="AT46" s="7">
        <f t="shared" si="17"/>
        <v>3</v>
      </c>
      <c r="AU46" s="7">
        <f t="shared" si="18"/>
        <v>0</v>
      </c>
      <c r="AV46" s="75">
        <f t="shared" si="19"/>
        <v>38.902173913043477</v>
      </c>
    </row>
    <row r="47" spans="1:48" x14ac:dyDescent="0.35">
      <c r="A47" s="7" t="s">
        <v>52</v>
      </c>
      <c r="B47" s="7">
        <f>'2018-19_working'!B47</f>
        <v>2</v>
      </c>
      <c r="C47" s="7">
        <f>'2018-19_working'!C47</f>
        <v>11</v>
      </c>
      <c r="D47" s="7">
        <f>'2018-19_working'!D47</f>
        <v>4</v>
      </c>
      <c r="E47" s="7">
        <f>'2018-19_working'!E47</f>
        <v>0</v>
      </c>
      <c r="F47" s="7">
        <f>SUM('2018-19_working'!F47:G47)</f>
        <v>0</v>
      </c>
      <c r="G47" s="7">
        <f>'2018-19_working'!H47</f>
        <v>0</v>
      </c>
      <c r="H47" s="75">
        <f t="shared" si="2"/>
        <v>31.294117647058826</v>
      </c>
      <c r="J47" s="7">
        <f>'2018-19_working'!J47</f>
        <v>12</v>
      </c>
      <c r="K47" s="7">
        <f>'2018-19_working'!K47</f>
        <v>20</v>
      </c>
      <c r="L47" s="7">
        <f>'2018-19_working'!L47</f>
        <v>6</v>
      </c>
      <c r="M47" s="7">
        <f>'2018-19_working'!M47</f>
        <v>4</v>
      </c>
      <c r="N47" s="7">
        <f>SUM('2018-19_working'!N47:O47)</f>
        <v>0</v>
      </c>
      <c r="O47" s="7">
        <f>'2018-19_working'!P47</f>
        <v>0</v>
      </c>
      <c r="P47" s="75">
        <f t="shared" si="3"/>
        <v>30.595238095238095</v>
      </c>
      <c r="R47" s="7">
        <f t="shared" si="4"/>
        <v>14</v>
      </c>
      <c r="S47" s="7">
        <f t="shared" si="5"/>
        <v>31</v>
      </c>
      <c r="T47" s="7">
        <f t="shared" si="6"/>
        <v>10</v>
      </c>
      <c r="U47" s="7">
        <f t="shared" si="7"/>
        <v>4</v>
      </c>
      <c r="V47" s="7">
        <f t="shared" si="8"/>
        <v>0</v>
      </c>
      <c r="W47" s="7">
        <f t="shared" si="9"/>
        <v>0</v>
      </c>
      <c r="X47" s="75">
        <f t="shared" si="10"/>
        <v>30.796610169491526</v>
      </c>
      <c r="Z47" s="7">
        <f>'2018-19_working'!R47</f>
        <v>0</v>
      </c>
      <c r="AA47" s="7">
        <f>'2018-19_working'!S47</f>
        <v>0</v>
      </c>
      <c r="AB47" s="7">
        <f>'2018-19_working'!T47</f>
        <v>0</v>
      </c>
      <c r="AC47" s="7">
        <f>'2018-19_working'!U47</f>
        <v>0</v>
      </c>
      <c r="AD47" s="7">
        <f>SUM('2018-19_working'!V47:W47)</f>
        <v>0</v>
      </c>
      <c r="AE47" s="7">
        <f>'2018-19_working'!X47</f>
        <v>0</v>
      </c>
      <c r="AF47" s="75" t="str">
        <f t="shared" si="11"/>
        <v>-</v>
      </c>
      <c r="AH47" s="7">
        <f>'2018-19_working'!Z47</f>
        <v>0</v>
      </c>
      <c r="AI47" s="7">
        <f>'2018-19_working'!AA47</f>
        <v>2</v>
      </c>
      <c r="AJ47" s="7">
        <f>'2018-19_working'!AB47</f>
        <v>5</v>
      </c>
      <c r="AK47" s="7">
        <f>'2018-19_working'!AC47</f>
        <v>4</v>
      </c>
      <c r="AL47" s="7">
        <f>SUM('2018-19_working'!AD47:AE47)</f>
        <v>0</v>
      </c>
      <c r="AM47" s="7">
        <f>'2018-19_working'!AF47</f>
        <v>0</v>
      </c>
      <c r="AN47" s="75">
        <f t="shared" si="12"/>
        <v>42.227272727272734</v>
      </c>
      <c r="AP47" s="7">
        <f t="shared" si="13"/>
        <v>14</v>
      </c>
      <c r="AQ47" s="7">
        <f t="shared" si="14"/>
        <v>33</v>
      </c>
      <c r="AR47" s="7">
        <f t="shared" si="15"/>
        <v>15</v>
      </c>
      <c r="AS47" s="7">
        <f t="shared" si="16"/>
        <v>8</v>
      </c>
      <c r="AT47" s="7">
        <f t="shared" si="17"/>
        <v>0</v>
      </c>
      <c r="AU47" s="7">
        <f t="shared" si="18"/>
        <v>0</v>
      </c>
      <c r="AV47" s="75">
        <f t="shared" si="19"/>
        <v>32.592857142857142</v>
      </c>
    </row>
    <row r="48" spans="1:48" x14ac:dyDescent="0.35">
      <c r="A48" s="7" t="s">
        <v>53</v>
      </c>
      <c r="B48" s="7">
        <f>'2018-19_working'!B48</f>
        <v>0</v>
      </c>
      <c r="C48" s="7">
        <f>'2018-19_working'!C48</f>
        <v>0</v>
      </c>
      <c r="D48" s="7">
        <f>'2018-19_working'!D48</f>
        <v>0</v>
      </c>
      <c r="E48" s="7">
        <f>'2018-19_working'!E48</f>
        <v>0</v>
      </c>
      <c r="F48" s="7">
        <f>SUM('2018-19_working'!F48:G48)</f>
        <v>0</v>
      </c>
      <c r="G48" s="7">
        <f>'2018-19_working'!H48</f>
        <v>0</v>
      </c>
      <c r="H48" s="75" t="str">
        <f t="shared" si="2"/>
        <v>-</v>
      </c>
      <c r="J48" s="7">
        <f>'2018-19_working'!J48</f>
        <v>0</v>
      </c>
      <c r="K48" s="7">
        <f>'2018-19_working'!K48</f>
        <v>2</v>
      </c>
      <c r="L48" s="7">
        <f>'2018-19_working'!L48</f>
        <v>1</v>
      </c>
      <c r="M48" s="7">
        <f>'2018-19_working'!M48</f>
        <v>0</v>
      </c>
      <c r="N48" s="7">
        <f>SUM('2018-19_working'!N48:O48)</f>
        <v>0</v>
      </c>
      <c r="O48" s="7">
        <f>'2018-19_working'!P48</f>
        <v>0</v>
      </c>
      <c r="P48" s="75">
        <f t="shared" si="3"/>
        <v>33.5</v>
      </c>
      <c r="R48" s="7">
        <f t="shared" si="4"/>
        <v>0</v>
      </c>
      <c r="S48" s="7">
        <f t="shared" si="5"/>
        <v>2</v>
      </c>
      <c r="T48" s="7">
        <f t="shared" si="6"/>
        <v>1</v>
      </c>
      <c r="U48" s="7">
        <f t="shared" si="7"/>
        <v>0</v>
      </c>
      <c r="V48" s="7">
        <f t="shared" si="8"/>
        <v>0</v>
      </c>
      <c r="W48" s="7">
        <f t="shared" si="9"/>
        <v>0</v>
      </c>
      <c r="X48" s="75">
        <f t="shared" si="10"/>
        <v>33.5</v>
      </c>
      <c r="Z48" s="7">
        <f>'2018-19_working'!R48</f>
        <v>0</v>
      </c>
      <c r="AA48" s="7">
        <f>'2018-19_working'!S48</f>
        <v>0</v>
      </c>
      <c r="AB48" s="7">
        <f>'2018-19_working'!T48</f>
        <v>0</v>
      </c>
      <c r="AC48" s="7">
        <f>'2018-19_working'!U48</f>
        <v>0</v>
      </c>
      <c r="AD48" s="7">
        <f>SUM('2018-19_working'!V48:W48)</f>
        <v>0</v>
      </c>
      <c r="AE48" s="7">
        <f>'2018-19_working'!X48</f>
        <v>0</v>
      </c>
      <c r="AF48" s="75" t="str">
        <f t="shared" si="11"/>
        <v>-</v>
      </c>
      <c r="AH48" s="7">
        <f>'2018-19_working'!Z48</f>
        <v>0</v>
      </c>
      <c r="AI48" s="7">
        <f>'2018-19_working'!AA48</f>
        <v>0</v>
      </c>
      <c r="AJ48" s="7">
        <f>'2018-19_working'!AB48</f>
        <v>0</v>
      </c>
      <c r="AK48" s="7">
        <f>'2018-19_working'!AC48</f>
        <v>0</v>
      </c>
      <c r="AL48" s="7">
        <f>SUM('2018-19_working'!AD48:AE48)</f>
        <v>1</v>
      </c>
      <c r="AM48" s="7">
        <f>'2018-19_working'!AF48</f>
        <v>0</v>
      </c>
      <c r="AN48" s="75">
        <f t="shared" si="12"/>
        <v>56</v>
      </c>
      <c r="AP48" s="7">
        <f t="shared" si="13"/>
        <v>0</v>
      </c>
      <c r="AQ48" s="7">
        <f t="shared" si="14"/>
        <v>2</v>
      </c>
      <c r="AR48" s="7">
        <f t="shared" si="15"/>
        <v>1</v>
      </c>
      <c r="AS48" s="7">
        <f t="shared" si="16"/>
        <v>0</v>
      </c>
      <c r="AT48" s="7">
        <f t="shared" si="17"/>
        <v>1</v>
      </c>
      <c r="AU48" s="7">
        <f t="shared" si="18"/>
        <v>0</v>
      </c>
      <c r="AV48" s="75">
        <f t="shared" si="19"/>
        <v>39.125</v>
      </c>
    </row>
    <row r="49" spans="1:48" x14ac:dyDescent="0.35">
      <c r="A49" s="7" t="s">
        <v>54</v>
      </c>
      <c r="B49" s="7">
        <f>'2018-19_working'!B49</f>
        <v>142</v>
      </c>
      <c r="C49" s="7">
        <f>'2018-19_working'!C49</f>
        <v>528</v>
      </c>
      <c r="D49" s="7">
        <f>'2018-19_working'!D49</f>
        <v>112</v>
      </c>
      <c r="E49" s="7">
        <f>'2018-19_working'!E49</f>
        <v>25</v>
      </c>
      <c r="F49" s="7">
        <f>SUM('2018-19_working'!F49:G49)</f>
        <v>2</v>
      </c>
      <c r="G49" s="7">
        <f>'2018-19_working'!H49</f>
        <v>0</v>
      </c>
      <c r="H49" s="75">
        <f t="shared" si="2"/>
        <v>30.396168108776266</v>
      </c>
      <c r="J49" s="7">
        <f>'2018-19_working'!J49</f>
        <v>7</v>
      </c>
      <c r="K49" s="7">
        <f>'2018-19_working'!K49</f>
        <v>24</v>
      </c>
      <c r="L49" s="7">
        <f>'2018-19_working'!L49</f>
        <v>14</v>
      </c>
      <c r="M49" s="7">
        <f>'2018-19_working'!M49</f>
        <v>2</v>
      </c>
      <c r="N49" s="7">
        <f>SUM('2018-19_working'!N49:O49)</f>
        <v>1</v>
      </c>
      <c r="O49" s="7">
        <f>'2018-19_working'!P49</f>
        <v>0</v>
      </c>
      <c r="P49" s="75">
        <f t="shared" si="3"/>
        <v>33</v>
      </c>
      <c r="R49" s="7">
        <f t="shared" si="4"/>
        <v>149</v>
      </c>
      <c r="S49" s="7">
        <f t="shared" si="5"/>
        <v>552</v>
      </c>
      <c r="T49" s="7">
        <f t="shared" si="6"/>
        <v>126</v>
      </c>
      <c r="U49" s="7">
        <f t="shared" si="7"/>
        <v>27</v>
      </c>
      <c r="V49" s="7">
        <f t="shared" si="8"/>
        <v>3</v>
      </c>
      <c r="W49" s="7">
        <f t="shared" si="9"/>
        <v>0</v>
      </c>
      <c r="X49" s="75">
        <f t="shared" si="10"/>
        <v>30.542007001166862</v>
      </c>
      <c r="Z49" s="7">
        <f>'2018-19_working'!R49</f>
        <v>3</v>
      </c>
      <c r="AA49" s="7">
        <f>'2018-19_working'!S49</f>
        <v>6</v>
      </c>
      <c r="AB49" s="7">
        <f>'2018-19_working'!T49</f>
        <v>7</v>
      </c>
      <c r="AC49" s="7">
        <f>'2018-19_working'!U49</f>
        <v>4</v>
      </c>
      <c r="AD49" s="7">
        <f>SUM('2018-19_working'!V49:W49)</f>
        <v>2</v>
      </c>
      <c r="AE49" s="7">
        <f>'2018-19_working'!X49</f>
        <v>0</v>
      </c>
      <c r="AF49" s="75">
        <f t="shared" si="11"/>
        <v>38.06818181818182</v>
      </c>
      <c r="AH49" s="7">
        <f>'2018-19_working'!Z49</f>
        <v>50</v>
      </c>
      <c r="AI49" s="7">
        <f>'2018-19_working'!AA49</f>
        <v>104</v>
      </c>
      <c r="AJ49" s="7">
        <f>'2018-19_working'!AB49</f>
        <v>59</v>
      </c>
      <c r="AK49" s="7">
        <f>'2018-19_working'!AC49</f>
        <v>80</v>
      </c>
      <c r="AL49" s="7">
        <f>SUM('2018-19_working'!AD49:AE49)</f>
        <v>41</v>
      </c>
      <c r="AM49" s="7">
        <f>'2018-19_working'!AF49</f>
        <v>0</v>
      </c>
      <c r="AN49" s="75">
        <f t="shared" si="12"/>
        <v>38.459580838323355</v>
      </c>
      <c r="AP49" s="7">
        <f t="shared" si="13"/>
        <v>202</v>
      </c>
      <c r="AQ49" s="7">
        <f t="shared" si="14"/>
        <v>662</v>
      </c>
      <c r="AR49" s="7">
        <f t="shared" si="15"/>
        <v>192</v>
      </c>
      <c r="AS49" s="7">
        <f t="shared" si="16"/>
        <v>111</v>
      </c>
      <c r="AT49" s="7">
        <f t="shared" si="17"/>
        <v>46</v>
      </c>
      <c r="AU49" s="7">
        <f t="shared" si="18"/>
        <v>0</v>
      </c>
      <c r="AV49" s="75">
        <f t="shared" si="19"/>
        <v>32.858615004122008</v>
      </c>
    </row>
    <row r="50" spans="1:48" x14ac:dyDescent="0.35">
      <c r="A50" s="7" t="s">
        <v>55</v>
      </c>
      <c r="B50" s="7">
        <f>'2018-19_working'!B50</f>
        <v>28</v>
      </c>
      <c r="C50" s="7">
        <f>'2018-19_working'!C50</f>
        <v>82</v>
      </c>
      <c r="D50" s="7">
        <f>'2018-19_working'!D50</f>
        <v>14</v>
      </c>
      <c r="E50" s="7">
        <f>'2018-19_working'!E50</f>
        <v>0</v>
      </c>
      <c r="F50" s="7">
        <f>SUM('2018-19_working'!F50:G50)</f>
        <v>1</v>
      </c>
      <c r="G50" s="7">
        <f>'2018-19_working'!H50</f>
        <v>0</v>
      </c>
      <c r="H50" s="75">
        <f t="shared" si="2"/>
        <v>29.144000000000002</v>
      </c>
      <c r="J50" s="7">
        <f>'2018-19_working'!J50</f>
        <v>0</v>
      </c>
      <c r="K50" s="7">
        <f>'2018-19_working'!K50</f>
        <v>0</v>
      </c>
      <c r="L50" s="7">
        <f>'2018-19_working'!L50</f>
        <v>0</v>
      </c>
      <c r="M50" s="7">
        <f>'2018-19_working'!M50</f>
        <v>0</v>
      </c>
      <c r="N50" s="7">
        <f>SUM('2018-19_working'!N50:O50)</f>
        <v>0</v>
      </c>
      <c r="O50" s="7">
        <f>'2018-19_working'!P50</f>
        <v>0</v>
      </c>
      <c r="P50" s="75" t="str">
        <f t="shared" si="3"/>
        <v>-</v>
      </c>
      <c r="R50" s="7">
        <f t="shared" si="4"/>
        <v>28</v>
      </c>
      <c r="S50" s="7">
        <f t="shared" si="5"/>
        <v>82</v>
      </c>
      <c r="T50" s="7">
        <f t="shared" si="6"/>
        <v>14</v>
      </c>
      <c r="U50" s="7">
        <f t="shared" si="7"/>
        <v>0</v>
      </c>
      <c r="V50" s="7">
        <f t="shared" si="8"/>
        <v>1</v>
      </c>
      <c r="W50" s="7">
        <f t="shared" si="9"/>
        <v>0</v>
      </c>
      <c r="X50" s="75">
        <f t="shared" si="10"/>
        <v>29.144000000000002</v>
      </c>
      <c r="Z50" s="7">
        <f>'2018-19_working'!R50</f>
        <v>0</v>
      </c>
      <c r="AA50" s="7">
        <f>'2018-19_working'!S50</f>
        <v>0</v>
      </c>
      <c r="AB50" s="7">
        <f>'2018-19_working'!T50</f>
        <v>0</v>
      </c>
      <c r="AC50" s="7">
        <f>'2018-19_working'!U50</f>
        <v>0</v>
      </c>
      <c r="AD50" s="7">
        <f>SUM('2018-19_working'!V50:W50)</f>
        <v>0</v>
      </c>
      <c r="AE50" s="7">
        <f>'2018-19_working'!X50</f>
        <v>0</v>
      </c>
      <c r="AF50" s="75" t="str">
        <f t="shared" si="11"/>
        <v>-</v>
      </c>
      <c r="AH50" s="7">
        <f>'2018-19_working'!Z50</f>
        <v>10</v>
      </c>
      <c r="AI50" s="7">
        <f>'2018-19_working'!AA50</f>
        <v>17</v>
      </c>
      <c r="AJ50" s="7">
        <f>'2018-19_working'!AB50</f>
        <v>8</v>
      </c>
      <c r="AK50" s="7">
        <f>'2018-19_working'!AC50</f>
        <v>16</v>
      </c>
      <c r="AL50" s="7">
        <f>SUM('2018-19_working'!AD50:AE50)</f>
        <v>8</v>
      </c>
      <c r="AM50" s="7">
        <f>'2018-19_working'!AF50</f>
        <v>0</v>
      </c>
      <c r="AN50" s="75">
        <f t="shared" si="12"/>
        <v>38.813559322033896</v>
      </c>
      <c r="AP50" s="7">
        <f t="shared" si="13"/>
        <v>38</v>
      </c>
      <c r="AQ50" s="7">
        <f t="shared" si="14"/>
        <v>99</v>
      </c>
      <c r="AR50" s="7">
        <f t="shared" si="15"/>
        <v>22</v>
      </c>
      <c r="AS50" s="7">
        <f t="shared" si="16"/>
        <v>16</v>
      </c>
      <c r="AT50" s="7">
        <f t="shared" si="17"/>
        <v>9</v>
      </c>
      <c r="AU50" s="7">
        <f t="shared" si="18"/>
        <v>0</v>
      </c>
      <c r="AV50" s="75">
        <f t="shared" si="19"/>
        <v>32.244565217391305</v>
      </c>
    </row>
    <row r="51" spans="1:48" x14ac:dyDescent="0.35">
      <c r="A51" s="7" t="s">
        <v>56</v>
      </c>
      <c r="B51" s="7">
        <f>'2018-19_working'!B51</f>
        <v>5</v>
      </c>
      <c r="C51" s="7">
        <f>'2018-19_working'!C51</f>
        <v>31</v>
      </c>
      <c r="D51" s="7">
        <f>'2018-19_working'!D51</f>
        <v>12</v>
      </c>
      <c r="E51" s="7">
        <f>'2018-19_working'!E51</f>
        <v>3</v>
      </c>
      <c r="F51" s="7">
        <f>SUM('2018-19_working'!F51:G51)</f>
        <v>0</v>
      </c>
      <c r="G51" s="7">
        <f>'2018-19_working'!H51</f>
        <v>0</v>
      </c>
      <c r="H51" s="75">
        <f t="shared" si="2"/>
        <v>32.696078431372548</v>
      </c>
      <c r="J51" s="7">
        <f>'2018-19_working'!J51</f>
        <v>2</v>
      </c>
      <c r="K51" s="7">
        <f>'2018-19_working'!K51</f>
        <v>14</v>
      </c>
      <c r="L51" s="7">
        <f>'2018-19_working'!L51</f>
        <v>9</v>
      </c>
      <c r="M51" s="7">
        <f>'2018-19_working'!M51</f>
        <v>0</v>
      </c>
      <c r="N51" s="7">
        <f>SUM('2018-19_working'!N51:O51)</f>
        <v>0</v>
      </c>
      <c r="O51" s="7">
        <f>'2018-19_working'!P51</f>
        <v>0</v>
      </c>
      <c r="P51" s="75">
        <f t="shared" si="3"/>
        <v>32.980000000000004</v>
      </c>
      <c r="R51" s="7">
        <f t="shared" si="4"/>
        <v>7</v>
      </c>
      <c r="S51" s="7">
        <f t="shared" si="5"/>
        <v>45</v>
      </c>
      <c r="T51" s="7">
        <f t="shared" si="6"/>
        <v>21</v>
      </c>
      <c r="U51" s="7">
        <f t="shared" si="7"/>
        <v>3</v>
      </c>
      <c r="V51" s="7">
        <f t="shared" si="8"/>
        <v>0</v>
      </c>
      <c r="W51" s="7">
        <f t="shared" si="9"/>
        <v>0</v>
      </c>
      <c r="X51" s="75">
        <f t="shared" si="10"/>
        <v>32.789473684210527</v>
      </c>
      <c r="Z51" s="7">
        <f>'2018-19_working'!R51</f>
        <v>1</v>
      </c>
      <c r="AA51" s="7">
        <f>'2018-19_working'!S51</f>
        <v>1</v>
      </c>
      <c r="AB51" s="7">
        <f>'2018-19_working'!T51</f>
        <v>1</v>
      </c>
      <c r="AC51" s="7">
        <f>'2018-19_working'!U51</f>
        <v>2</v>
      </c>
      <c r="AD51" s="7">
        <f>SUM('2018-19_working'!V51:W51)</f>
        <v>2</v>
      </c>
      <c r="AE51" s="7">
        <f>'2018-19_working'!X51</f>
        <v>0</v>
      </c>
      <c r="AF51" s="75">
        <f t="shared" si="11"/>
        <v>43.357142857142854</v>
      </c>
      <c r="AH51" s="7">
        <f>'2018-19_working'!Z51</f>
        <v>18</v>
      </c>
      <c r="AI51" s="7">
        <f>'2018-19_working'!AA51</f>
        <v>11</v>
      </c>
      <c r="AJ51" s="7">
        <f>'2018-19_working'!AB51</f>
        <v>6</v>
      </c>
      <c r="AK51" s="7">
        <f>'2018-19_working'!AC51</f>
        <v>17</v>
      </c>
      <c r="AL51" s="7">
        <f>SUM('2018-19_working'!AD51:AE51)</f>
        <v>3</v>
      </c>
      <c r="AM51" s="7">
        <f>'2018-19_working'!AF51</f>
        <v>0</v>
      </c>
      <c r="AN51" s="75">
        <f t="shared" si="12"/>
        <v>35.627272727272725</v>
      </c>
      <c r="AP51" s="7">
        <f t="shared" si="13"/>
        <v>26</v>
      </c>
      <c r="AQ51" s="7">
        <f t="shared" si="14"/>
        <v>57</v>
      </c>
      <c r="AR51" s="7">
        <f t="shared" si="15"/>
        <v>28</v>
      </c>
      <c r="AS51" s="7">
        <f t="shared" si="16"/>
        <v>22</v>
      </c>
      <c r="AT51" s="7">
        <f t="shared" si="17"/>
        <v>5</v>
      </c>
      <c r="AU51" s="7">
        <f t="shared" si="18"/>
        <v>0</v>
      </c>
      <c r="AV51" s="75">
        <f t="shared" si="19"/>
        <v>34.45652173913043</v>
      </c>
    </row>
    <row r="52" spans="1:48" x14ac:dyDescent="0.35">
      <c r="A52" s="7" t="s">
        <v>57</v>
      </c>
      <c r="B52" s="7">
        <f>'2018-19_working'!B52</f>
        <v>5</v>
      </c>
      <c r="C52" s="7">
        <f>'2018-19_working'!C52</f>
        <v>15</v>
      </c>
      <c r="D52" s="7">
        <f>'2018-19_working'!D52</f>
        <v>3</v>
      </c>
      <c r="E52" s="7">
        <f>'2018-19_working'!E52</f>
        <v>0</v>
      </c>
      <c r="F52" s="7">
        <f>SUM('2018-19_working'!F52:G52)</f>
        <v>0</v>
      </c>
      <c r="G52" s="7">
        <f>'2018-19_working'!H52</f>
        <v>0</v>
      </c>
      <c r="H52" s="75">
        <f t="shared" si="2"/>
        <v>29.195652173913039</v>
      </c>
      <c r="J52" s="7">
        <f>'2018-19_working'!J52</f>
        <v>0</v>
      </c>
      <c r="K52" s="7">
        <f>'2018-19_working'!K52</f>
        <v>0</v>
      </c>
      <c r="L52" s="7">
        <f>'2018-19_working'!L52</f>
        <v>1</v>
      </c>
      <c r="M52" s="7">
        <f>'2018-19_working'!M52</f>
        <v>0</v>
      </c>
      <c r="N52" s="7">
        <f>SUM('2018-19_working'!N52:O52)</f>
        <v>0</v>
      </c>
      <c r="O52" s="7">
        <f>'2018-19_working'!P52</f>
        <v>0</v>
      </c>
      <c r="P52" s="75">
        <f t="shared" si="3"/>
        <v>40.5</v>
      </c>
      <c r="R52" s="7">
        <f t="shared" si="4"/>
        <v>5</v>
      </c>
      <c r="S52" s="7">
        <f t="shared" si="5"/>
        <v>15</v>
      </c>
      <c r="T52" s="7">
        <f t="shared" si="6"/>
        <v>4</v>
      </c>
      <c r="U52" s="7">
        <f t="shared" si="7"/>
        <v>0</v>
      </c>
      <c r="V52" s="7">
        <f t="shared" si="8"/>
        <v>0</v>
      </c>
      <c r="W52" s="7">
        <f t="shared" si="9"/>
        <v>0</v>
      </c>
      <c r="X52" s="75">
        <f t="shared" si="10"/>
        <v>29.666666666666668</v>
      </c>
      <c r="Z52" s="7">
        <f>'2018-19_working'!R52</f>
        <v>0</v>
      </c>
      <c r="AA52" s="7">
        <f>'2018-19_working'!S52</f>
        <v>0</v>
      </c>
      <c r="AB52" s="7">
        <f>'2018-19_working'!T52</f>
        <v>0</v>
      </c>
      <c r="AC52" s="7">
        <f>'2018-19_working'!U52</f>
        <v>0</v>
      </c>
      <c r="AD52" s="7">
        <f>SUM('2018-19_working'!V52:W52)</f>
        <v>0</v>
      </c>
      <c r="AE52" s="7">
        <f>'2018-19_working'!X52</f>
        <v>0</v>
      </c>
      <c r="AF52" s="75" t="str">
        <f t="shared" si="11"/>
        <v>-</v>
      </c>
      <c r="AH52" s="7">
        <f>'2018-19_working'!Z52</f>
        <v>1</v>
      </c>
      <c r="AI52" s="7">
        <f>'2018-19_working'!AA52</f>
        <v>8</v>
      </c>
      <c r="AJ52" s="7">
        <f>'2018-19_working'!AB52</f>
        <v>1</v>
      </c>
      <c r="AK52" s="7">
        <f>'2018-19_working'!AC52</f>
        <v>4</v>
      </c>
      <c r="AL52" s="7">
        <f>SUM('2018-19_working'!AD52:AE52)</f>
        <v>3</v>
      </c>
      <c r="AM52" s="7">
        <f>'2018-19_working'!AF52</f>
        <v>0</v>
      </c>
      <c r="AN52" s="75">
        <f t="shared" si="12"/>
        <v>39.441176470588232</v>
      </c>
      <c r="AP52" s="7">
        <f t="shared" si="13"/>
        <v>6</v>
      </c>
      <c r="AQ52" s="7">
        <f t="shared" si="14"/>
        <v>23</v>
      </c>
      <c r="AR52" s="7">
        <f t="shared" si="15"/>
        <v>5</v>
      </c>
      <c r="AS52" s="7">
        <f t="shared" si="16"/>
        <v>4</v>
      </c>
      <c r="AT52" s="7">
        <f t="shared" si="17"/>
        <v>3</v>
      </c>
      <c r="AU52" s="7">
        <f t="shared" si="18"/>
        <v>0</v>
      </c>
      <c r="AV52" s="75">
        <f t="shared" si="19"/>
        <v>33.719512195121951</v>
      </c>
    </row>
    <row r="53" spans="1:48" x14ac:dyDescent="0.35">
      <c r="A53" s="7" t="s">
        <v>58</v>
      </c>
      <c r="B53" s="7">
        <f>'2018-19_working'!B53</f>
        <v>4</v>
      </c>
      <c r="C53" s="7">
        <f>'2018-19_working'!C53</f>
        <v>13</v>
      </c>
      <c r="D53" s="7">
        <f>'2018-19_working'!D53</f>
        <v>8</v>
      </c>
      <c r="E53" s="7">
        <f>'2018-19_working'!E53</f>
        <v>1</v>
      </c>
      <c r="F53" s="7">
        <f>SUM('2018-19_working'!F53:G53)</f>
        <v>0</v>
      </c>
      <c r="G53" s="7">
        <f>'2018-19_working'!H53</f>
        <v>0</v>
      </c>
      <c r="H53" s="75">
        <f t="shared" si="2"/>
        <v>32.480769230769234</v>
      </c>
      <c r="J53" s="7">
        <f>'2018-19_working'!J53</f>
        <v>0</v>
      </c>
      <c r="K53" s="7">
        <f>'2018-19_working'!K53</f>
        <v>0</v>
      </c>
      <c r="L53" s="7">
        <f>'2018-19_working'!L53</f>
        <v>0</v>
      </c>
      <c r="M53" s="7">
        <f>'2018-19_working'!M53</f>
        <v>0</v>
      </c>
      <c r="N53" s="7">
        <f>SUM('2018-19_working'!N53:O53)</f>
        <v>0</v>
      </c>
      <c r="O53" s="7">
        <f>'2018-19_working'!P53</f>
        <v>0</v>
      </c>
      <c r="P53" s="75" t="str">
        <f t="shared" si="3"/>
        <v>-</v>
      </c>
      <c r="R53" s="7">
        <f t="shared" si="4"/>
        <v>4</v>
      </c>
      <c r="S53" s="7">
        <f t="shared" si="5"/>
        <v>13</v>
      </c>
      <c r="T53" s="7">
        <f t="shared" si="6"/>
        <v>8</v>
      </c>
      <c r="U53" s="7">
        <f t="shared" si="7"/>
        <v>1</v>
      </c>
      <c r="V53" s="7">
        <f t="shared" si="8"/>
        <v>0</v>
      </c>
      <c r="W53" s="7">
        <f t="shared" si="9"/>
        <v>0</v>
      </c>
      <c r="X53" s="75">
        <f t="shared" si="10"/>
        <v>32.480769230769234</v>
      </c>
      <c r="Z53" s="7">
        <f>'2018-19_working'!R53</f>
        <v>0</v>
      </c>
      <c r="AA53" s="7">
        <f>'2018-19_working'!S53</f>
        <v>1</v>
      </c>
      <c r="AB53" s="7">
        <f>'2018-19_working'!T53</f>
        <v>4</v>
      </c>
      <c r="AC53" s="7">
        <f>'2018-19_working'!U53</f>
        <v>0</v>
      </c>
      <c r="AD53" s="7">
        <f>SUM('2018-19_working'!V53:W53)</f>
        <v>0</v>
      </c>
      <c r="AE53" s="7">
        <f>'2018-19_working'!X53</f>
        <v>0</v>
      </c>
      <c r="AF53" s="75">
        <f t="shared" si="11"/>
        <v>38.4</v>
      </c>
      <c r="AH53" s="7">
        <f>'2018-19_working'!Z53</f>
        <v>3</v>
      </c>
      <c r="AI53" s="7">
        <f>'2018-19_working'!AA53</f>
        <v>8</v>
      </c>
      <c r="AJ53" s="7">
        <f>'2018-19_working'!AB53</f>
        <v>8</v>
      </c>
      <c r="AK53" s="7">
        <f>'2018-19_working'!AC53</f>
        <v>5</v>
      </c>
      <c r="AL53" s="7">
        <f>SUM('2018-19_working'!AD53:AE53)</f>
        <v>7</v>
      </c>
      <c r="AM53" s="7">
        <f>'2018-19_working'!AF53</f>
        <v>0</v>
      </c>
      <c r="AN53" s="75">
        <f t="shared" si="12"/>
        <v>40.91935483870968</v>
      </c>
      <c r="AP53" s="7">
        <f t="shared" si="13"/>
        <v>7</v>
      </c>
      <c r="AQ53" s="7">
        <f t="shared" si="14"/>
        <v>22</v>
      </c>
      <c r="AR53" s="7">
        <f t="shared" si="15"/>
        <v>20</v>
      </c>
      <c r="AS53" s="7">
        <f t="shared" si="16"/>
        <v>6</v>
      </c>
      <c r="AT53" s="7">
        <f t="shared" si="17"/>
        <v>7</v>
      </c>
      <c r="AU53" s="7">
        <f t="shared" si="18"/>
        <v>0</v>
      </c>
      <c r="AV53" s="75">
        <f t="shared" si="19"/>
        <v>37.177419354838712</v>
      </c>
    </row>
    <row r="54" spans="1:48" x14ac:dyDescent="0.35">
      <c r="A54" s="7" t="s">
        <v>59</v>
      </c>
      <c r="B54" s="7">
        <f>'2018-19_working'!B54</f>
        <v>11</v>
      </c>
      <c r="C54" s="7">
        <f>'2018-19_working'!C54</f>
        <v>59</v>
      </c>
      <c r="D54" s="7">
        <f>'2018-19_working'!D54</f>
        <v>17</v>
      </c>
      <c r="E54" s="7">
        <f>'2018-19_working'!E54</f>
        <v>3</v>
      </c>
      <c r="F54" s="7">
        <f>SUM('2018-19_working'!F54:G54)</f>
        <v>0</v>
      </c>
      <c r="G54" s="7">
        <f>'2018-19_working'!H54</f>
        <v>0</v>
      </c>
      <c r="H54" s="75">
        <f t="shared" si="2"/>
        <v>31.444444444444443</v>
      </c>
      <c r="J54" s="7">
        <f>'2018-19_working'!J54</f>
        <v>0</v>
      </c>
      <c r="K54" s="7">
        <f>'2018-19_working'!K54</f>
        <v>0</v>
      </c>
      <c r="L54" s="7">
        <f>'2018-19_working'!L54</f>
        <v>0</v>
      </c>
      <c r="M54" s="7">
        <f>'2018-19_working'!M54</f>
        <v>0</v>
      </c>
      <c r="N54" s="7">
        <f>SUM('2018-19_working'!N54:O54)</f>
        <v>0</v>
      </c>
      <c r="O54" s="7">
        <f>'2018-19_working'!P54</f>
        <v>0</v>
      </c>
      <c r="P54" s="75" t="str">
        <f t="shared" si="3"/>
        <v>-</v>
      </c>
      <c r="R54" s="7">
        <f t="shared" si="4"/>
        <v>11</v>
      </c>
      <c r="S54" s="7">
        <f t="shared" si="5"/>
        <v>59</v>
      </c>
      <c r="T54" s="7">
        <f t="shared" si="6"/>
        <v>17</v>
      </c>
      <c r="U54" s="7">
        <f t="shared" si="7"/>
        <v>3</v>
      </c>
      <c r="V54" s="7">
        <f t="shared" si="8"/>
        <v>0</v>
      </c>
      <c r="W54" s="7">
        <f t="shared" si="9"/>
        <v>0</v>
      </c>
      <c r="X54" s="75">
        <f t="shared" si="10"/>
        <v>31.444444444444443</v>
      </c>
      <c r="Z54" s="7">
        <f>'2018-19_working'!R54</f>
        <v>0</v>
      </c>
      <c r="AA54" s="7">
        <f>'2018-19_working'!S54</f>
        <v>0</v>
      </c>
      <c r="AB54" s="7">
        <f>'2018-19_working'!T54</f>
        <v>0</v>
      </c>
      <c r="AC54" s="7">
        <f>'2018-19_working'!U54</f>
        <v>0</v>
      </c>
      <c r="AD54" s="7">
        <f>SUM('2018-19_working'!V54:W54)</f>
        <v>0</v>
      </c>
      <c r="AE54" s="7">
        <f>'2018-19_working'!X54</f>
        <v>0</v>
      </c>
      <c r="AF54" s="75" t="str">
        <f t="shared" si="11"/>
        <v>-</v>
      </c>
      <c r="AH54" s="7">
        <f>'2018-19_working'!Z54</f>
        <v>1</v>
      </c>
      <c r="AI54" s="7">
        <f>'2018-19_working'!AA54</f>
        <v>5</v>
      </c>
      <c r="AJ54" s="7">
        <f>'2018-19_working'!AB54</f>
        <v>5</v>
      </c>
      <c r="AK54" s="7">
        <f>'2018-19_working'!AC54</f>
        <v>8</v>
      </c>
      <c r="AL54" s="7">
        <f>SUM('2018-19_working'!AD54:AE54)</f>
        <v>1</v>
      </c>
      <c r="AM54" s="7">
        <f>'2018-19_working'!AF54</f>
        <v>0</v>
      </c>
      <c r="AN54" s="75">
        <f t="shared" si="12"/>
        <v>41.625</v>
      </c>
      <c r="AP54" s="7">
        <f t="shared" si="13"/>
        <v>12</v>
      </c>
      <c r="AQ54" s="7">
        <f t="shared" si="14"/>
        <v>64</v>
      </c>
      <c r="AR54" s="7">
        <f t="shared" si="15"/>
        <v>22</v>
      </c>
      <c r="AS54" s="7">
        <f t="shared" si="16"/>
        <v>11</v>
      </c>
      <c r="AT54" s="7">
        <f t="shared" si="17"/>
        <v>1</v>
      </c>
      <c r="AU54" s="7">
        <f t="shared" si="18"/>
        <v>0</v>
      </c>
      <c r="AV54" s="75">
        <f t="shared" si="19"/>
        <v>33.29545454545454</v>
      </c>
    </row>
    <row r="55" spans="1:48" x14ac:dyDescent="0.35">
      <c r="A55" s="7" t="s">
        <v>60</v>
      </c>
      <c r="B55" s="7">
        <f>'2018-19_working'!B55</f>
        <v>9</v>
      </c>
      <c r="C55" s="7">
        <f>'2018-19_working'!C55</f>
        <v>45</v>
      </c>
      <c r="D55" s="7">
        <f>'2018-19_working'!D55</f>
        <v>12</v>
      </c>
      <c r="E55" s="7">
        <f>'2018-19_working'!E55</f>
        <v>0</v>
      </c>
      <c r="F55" s="7">
        <f>SUM('2018-19_working'!F55:G55)</f>
        <v>0</v>
      </c>
      <c r="G55" s="7">
        <f>'2018-19_working'!H55</f>
        <v>0</v>
      </c>
      <c r="H55" s="75">
        <f t="shared" si="2"/>
        <v>30.545454545454543</v>
      </c>
      <c r="J55" s="7">
        <f>'2018-19_working'!J55</f>
        <v>5</v>
      </c>
      <c r="K55" s="7">
        <f>'2018-19_working'!K55</f>
        <v>10</v>
      </c>
      <c r="L55" s="7">
        <f>'2018-19_working'!L55</f>
        <v>4</v>
      </c>
      <c r="M55" s="7">
        <f>'2018-19_working'!M55</f>
        <v>2</v>
      </c>
      <c r="N55" s="7">
        <f>SUM('2018-19_working'!N55:O55)</f>
        <v>1</v>
      </c>
      <c r="O55" s="7">
        <f>'2018-19_working'!P55</f>
        <v>0</v>
      </c>
      <c r="P55" s="75">
        <f t="shared" si="3"/>
        <v>32.68181818181818</v>
      </c>
      <c r="R55" s="7">
        <f t="shared" si="4"/>
        <v>14</v>
      </c>
      <c r="S55" s="7">
        <f t="shared" si="5"/>
        <v>55</v>
      </c>
      <c r="T55" s="7">
        <f t="shared" si="6"/>
        <v>16</v>
      </c>
      <c r="U55" s="7">
        <f t="shared" si="7"/>
        <v>2</v>
      </c>
      <c r="V55" s="7">
        <f t="shared" si="8"/>
        <v>1</v>
      </c>
      <c r="W55" s="7">
        <f t="shared" si="9"/>
        <v>0</v>
      </c>
      <c r="X55" s="75">
        <f t="shared" si="10"/>
        <v>31.079545454545453</v>
      </c>
      <c r="Z55" s="7">
        <f>'2018-19_working'!R55</f>
        <v>0</v>
      </c>
      <c r="AA55" s="7">
        <f>'2018-19_working'!S55</f>
        <v>3</v>
      </c>
      <c r="AB55" s="7">
        <f>'2018-19_working'!T55</f>
        <v>1</v>
      </c>
      <c r="AC55" s="7">
        <f>'2018-19_working'!U55</f>
        <v>1</v>
      </c>
      <c r="AD55" s="7">
        <f>SUM('2018-19_working'!V55:W55)</f>
        <v>0</v>
      </c>
      <c r="AE55" s="7">
        <f>'2018-19_working'!X55</f>
        <v>0</v>
      </c>
      <c r="AF55" s="75">
        <f t="shared" si="11"/>
        <v>36.200000000000003</v>
      </c>
      <c r="AH55" s="7">
        <f>'2018-19_working'!Z55</f>
        <v>4</v>
      </c>
      <c r="AI55" s="7">
        <f>'2018-19_working'!AA55</f>
        <v>16</v>
      </c>
      <c r="AJ55" s="7">
        <f>'2018-19_working'!AB55</f>
        <v>11</v>
      </c>
      <c r="AK55" s="7">
        <f>'2018-19_working'!AC55</f>
        <v>10</v>
      </c>
      <c r="AL55" s="7">
        <f>SUM('2018-19_working'!AD55:AE55)</f>
        <v>3</v>
      </c>
      <c r="AM55" s="7">
        <f>'2018-19_working'!AF55</f>
        <v>0</v>
      </c>
      <c r="AN55" s="75">
        <f t="shared" si="12"/>
        <v>38.147727272727273</v>
      </c>
      <c r="AP55" s="7">
        <f t="shared" si="13"/>
        <v>18</v>
      </c>
      <c r="AQ55" s="7">
        <f t="shared" si="14"/>
        <v>74</v>
      </c>
      <c r="AR55" s="7">
        <f t="shared" si="15"/>
        <v>28</v>
      </c>
      <c r="AS55" s="7">
        <f t="shared" si="16"/>
        <v>13</v>
      </c>
      <c r="AT55" s="7">
        <f t="shared" si="17"/>
        <v>4</v>
      </c>
      <c r="AU55" s="7">
        <f t="shared" si="18"/>
        <v>0</v>
      </c>
      <c r="AV55" s="75">
        <f t="shared" si="19"/>
        <v>33.536496350364963</v>
      </c>
    </row>
    <row r="56" spans="1:48" x14ac:dyDescent="0.35">
      <c r="A56" s="7" t="s">
        <v>61</v>
      </c>
      <c r="B56" s="7">
        <f>'2018-19_working'!B56</f>
        <v>80</v>
      </c>
      <c r="C56" s="7">
        <f>'2018-19_working'!C56</f>
        <v>283</v>
      </c>
      <c r="D56" s="7">
        <f>'2018-19_working'!D56</f>
        <v>46</v>
      </c>
      <c r="E56" s="7">
        <f>'2018-19_working'!E56</f>
        <v>18</v>
      </c>
      <c r="F56" s="7">
        <f>SUM('2018-19_working'!F56:G56)</f>
        <v>1</v>
      </c>
      <c r="G56" s="7">
        <f>'2018-19_working'!H56</f>
        <v>0</v>
      </c>
      <c r="H56" s="75">
        <f t="shared" si="2"/>
        <v>30.182242990654206</v>
      </c>
      <c r="J56" s="7">
        <f>'2018-19_working'!J56</f>
        <v>0</v>
      </c>
      <c r="K56" s="7">
        <f>'2018-19_working'!K56</f>
        <v>0</v>
      </c>
      <c r="L56" s="7">
        <f>'2018-19_working'!L56</f>
        <v>0</v>
      </c>
      <c r="M56" s="7">
        <f>'2018-19_working'!M56</f>
        <v>0</v>
      </c>
      <c r="N56" s="7">
        <f>SUM('2018-19_working'!N56:O56)</f>
        <v>0</v>
      </c>
      <c r="O56" s="7">
        <f>'2018-19_working'!P56</f>
        <v>0</v>
      </c>
      <c r="P56" s="75" t="str">
        <f t="shared" si="3"/>
        <v>-</v>
      </c>
      <c r="R56" s="7">
        <f t="shared" si="4"/>
        <v>80</v>
      </c>
      <c r="S56" s="7">
        <f t="shared" si="5"/>
        <v>283</v>
      </c>
      <c r="T56" s="7">
        <f t="shared" si="6"/>
        <v>46</v>
      </c>
      <c r="U56" s="7">
        <f t="shared" si="7"/>
        <v>18</v>
      </c>
      <c r="V56" s="7">
        <f t="shared" si="8"/>
        <v>1</v>
      </c>
      <c r="W56" s="7">
        <f t="shared" si="9"/>
        <v>0</v>
      </c>
      <c r="X56" s="75">
        <f t="shared" si="10"/>
        <v>30.182242990654206</v>
      </c>
      <c r="Z56" s="7">
        <f>'2018-19_working'!R56</f>
        <v>2</v>
      </c>
      <c r="AA56" s="7">
        <f>'2018-19_working'!S56</f>
        <v>1</v>
      </c>
      <c r="AB56" s="7">
        <f>'2018-19_working'!T56</f>
        <v>1</v>
      </c>
      <c r="AC56" s="7">
        <f>'2018-19_working'!U56</f>
        <v>1</v>
      </c>
      <c r="AD56" s="7">
        <f>SUM('2018-19_working'!V56:W56)</f>
        <v>0</v>
      </c>
      <c r="AE56" s="7">
        <f>'2018-19_working'!X56</f>
        <v>0</v>
      </c>
      <c r="AF56" s="75">
        <f t="shared" si="11"/>
        <v>32.200000000000003</v>
      </c>
      <c r="AH56" s="7">
        <f>'2018-19_working'!Z56</f>
        <v>13</v>
      </c>
      <c r="AI56" s="7">
        <f>'2018-19_working'!AA56</f>
        <v>39</v>
      </c>
      <c r="AJ56" s="7">
        <f>'2018-19_working'!AB56</f>
        <v>20</v>
      </c>
      <c r="AK56" s="7">
        <f>'2018-19_working'!AC56</f>
        <v>20</v>
      </c>
      <c r="AL56" s="7">
        <f>SUM('2018-19_working'!AD56:AE56)</f>
        <v>16</v>
      </c>
      <c r="AM56" s="7">
        <f>'2018-19_working'!AF56</f>
        <v>0</v>
      </c>
      <c r="AN56" s="75">
        <f t="shared" si="12"/>
        <v>38.388888888888886</v>
      </c>
      <c r="AP56" s="7">
        <f t="shared" si="13"/>
        <v>95</v>
      </c>
      <c r="AQ56" s="7">
        <f t="shared" si="14"/>
        <v>323</v>
      </c>
      <c r="AR56" s="7">
        <f t="shared" si="15"/>
        <v>67</v>
      </c>
      <c r="AS56" s="7">
        <f t="shared" si="16"/>
        <v>39</v>
      </c>
      <c r="AT56" s="7">
        <f t="shared" si="17"/>
        <v>17</v>
      </c>
      <c r="AU56" s="7">
        <f t="shared" si="18"/>
        <v>0</v>
      </c>
      <c r="AV56" s="75">
        <f t="shared" si="19"/>
        <v>31.839186691312381</v>
      </c>
    </row>
    <row r="57" spans="1:48" x14ac:dyDescent="0.35">
      <c r="P57" s="75"/>
    </row>
  </sheetData>
  <mergeCells count="7">
    <mergeCell ref="AP6:AV6"/>
    <mergeCell ref="A1:R1"/>
    <mergeCell ref="B6:H6"/>
    <mergeCell ref="J6:P6"/>
    <mergeCell ref="R6:X6"/>
    <mergeCell ref="Z6:AF6"/>
    <mergeCell ref="AH6:AN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7E61E-0DCF-4034-9E4D-646756A48B0B}">
  <sheetPr codeName="Sheet7"/>
  <dimension ref="A1:G1289"/>
  <sheetViews>
    <sheetView workbookViewId="0">
      <selection activeCell="A4" sqref="A4:L4"/>
    </sheetView>
  </sheetViews>
  <sheetFormatPr defaultRowHeight="14.5" x14ac:dyDescent="0.35"/>
  <sheetData>
    <row r="1" spans="1:7" x14ac:dyDescent="0.35">
      <c r="A1" t="s">
        <v>106</v>
      </c>
      <c r="B1" t="s">
        <v>167</v>
      </c>
      <c r="C1" t="s">
        <v>168</v>
      </c>
      <c r="D1" t="s">
        <v>169</v>
      </c>
      <c r="E1" t="s">
        <v>171</v>
      </c>
      <c r="F1" t="s">
        <v>138</v>
      </c>
      <c r="G1" t="s">
        <v>170</v>
      </c>
    </row>
    <row r="2" spans="1:7" x14ac:dyDescent="0.35">
      <c r="A2">
        <v>2019</v>
      </c>
      <c r="B2" t="s">
        <v>15</v>
      </c>
      <c r="C2" t="s">
        <v>168</v>
      </c>
      <c r="D2" t="s">
        <v>169</v>
      </c>
      <c r="E2" t="s">
        <v>76</v>
      </c>
      <c r="F2" t="s">
        <v>80</v>
      </c>
      <c r="G2">
        <v>3</v>
      </c>
    </row>
    <row r="3" spans="1:7" x14ac:dyDescent="0.35">
      <c r="A3">
        <v>2019</v>
      </c>
      <c r="B3" t="s">
        <v>15</v>
      </c>
      <c r="C3" t="s">
        <v>168</v>
      </c>
      <c r="D3" t="s">
        <v>169</v>
      </c>
      <c r="E3" t="s">
        <v>0</v>
      </c>
      <c r="F3" t="s">
        <v>80</v>
      </c>
      <c r="G3">
        <v>0</v>
      </c>
    </row>
    <row r="4" spans="1:7" x14ac:dyDescent="0.35">
      <c r="A4">
        <v>2019</v>
      </c>
      <c r="B4" t="s">
        <v>15</v>
      </c>
      <c r="C4" t="s">
        <v>168</v>
      </c>
      <c r="D4" t="s">
        <v>169</v>
      </c>
      <c r="E4" t="s">
        <v>118</v>
      </c>
      <c r="F4" t="s">
        <v>80</v>
      </c>
      <c r="G4">
        <v>3</v>
      </c>
    </row>
    <row r="5" spans="1:7" x14ac:dyDescent="0.35">
      <c r="A5">
        <v>2019</v>
      </c>
      <c r="B5" t="s">
        <v>15</v>
      </c>
      <c r="C5" t="s">
        <v>168</v>
      </c>
      <c r="D5" t="s">
        <v>169</v>
      </c>
      <c r="E5" t="s">
        <v>119</v>
      </c>
      <c r="F5" t="s">
        <v>80</v>
      </c>
      <c r="G5">
        <v>1</v>
      </c>
    </row>
    <row r="6" spans="1:7" x14ac:dyDescent="0.35">
      <c r="A6">
        <v>2019</v>
      </c>
      <c r="B6" t="s">
        <v>16</v>
      </c>
      <c r="C6" t="s">
        <v>168</v>
      </c>
      <c r="D6" t="s">
        <v>169</v>
      </c>
      <c r="E6" t="s">
        <v>76</v>
      </c>
      <c r="F6" t="s">
        <v>80</v>
      </c>
      <c r="G6">
        <v>5</v>
      </c>
    </row>
    <row r="7" spans="1:7" x14ac:dyDescent="0.35">
      <c r="A7">
        <v>2019</v>
      </c>
      <c r="B7" t="s">
        <v>16</v>
      </c>
      <c r="C7" t="s">
        <v>168</v>
      </c>
      <c r="D7" t="s">
        <v>169</v>
      </c>
      <c r="E7" t="s">
        <v>0</v>
      </c>
      <c r="F7" t="s">
        <v>80</v>
      </c>
      <c r="G7">
        <v>1</v>
      </c>
    </row>
    <row r="8" spans="1:7" x14ac:dyDescent="0.35">
      <c r="A8">
        <v>2019</v>
      </c>
      <c r="B8" t="s">
        <v>16</v>
      </c>
      <c r="C8" t="s">
        <v>168</v>
      </c>
      <c r="D8" t="s">
        <v>169</v>
      </c>
      <c r="E8" t="s">
        <v>118</v>
      </c>
      <c r="F8" t="s">
        <v>80</v>
      </c>
      <c r="G8">
        <v>1</v>
      </c>
    </row>
    <row r="9" spans="1:7" x14ac:dyDescent="0.35">
      <c r="A9">
        <v>2019</v>
      </c>
      <c r="B9" t="s">
        <v>16</v>
      </c>
      <c r="C9" t="s">
        <v>168</v>
      </c>
      <c r="D9" t="s">
        <v>169</v>
      </c>
      <c r="E9" t="s">
        <v>119</v>
      </c>
      <c r="F9" t="s">
        <v>80</v>
      </c>
      <c r="G9">
        <v>0</v>
      </c>
    </row>
    <row r="10" spans="1:7" x14ac:dyDescent="0.35">
      <c r="A10">
        <v>2019</v>
      </c>
      <c r="B10" t="s">
        <v>17</v>
      </c>
      <c r="C10" t="s">
        <v>168</v>
      </c>
      <c r="D10" t="s">
        <v>169</v>
      </c>
      <c r="E10" t="s">
        <v>76</v>
      </c>
      <c r="F10" t="s">
        <v>80</v>
      </c>
      <c r="G10">
        <v>7</v>
      </c>
    </row>
    <row r="11" spans="1:7" x14ac:dyDescent="0.35">
      <c r="A11">
        <v>2019</v>
      </c>
      <c r="B11" t="s">
        <v>17</v>
      </c>
      <c r="C11" t="s">
        <v>168</v>
      </c>
      <c r="D11" t="s">
        <v>169</v>
      </c>
      <c r="E11" t="s">
        <v>0</v>
      </c>
      <c r="F11" t="s">
        <v>80</v>
      </c>
      <c r="G11">
        <v>2</v>
      </c>
    </row>
    <row r="12" spans="1:7" x14ac:dyDescent="0.35">
      <c r="A12">
        <v>2019</v>
      </c>
      <c r="B12" t="s">
        <v>17</v>
      </c>
      <c r="C12" t="s">
        <v>168</v>
      </c>
      <c r="D12" t="s">
        <v>169</v>
      </c>
      <c r="E12" t="s">
        <v>118</v>
      </c>
      <c r="F12" t="s">
        <v>80</v>
      </c>
      <c r="G12">
        <v>3</v>
      </c>
    </row>
    <row r="13" spans="1:7" x14ac:dyDescent="0.35">
      <c r="A13">
        <v>2019</v>
      </c>
      <c r="B13" t="s">
        <v>17</v>
      </c>
      <c r="C13" t="s">
        <v>168</v>
      </c>
      <c r="D13" t="s">
        <v>169</v>
      </c>
      <c r="E13" t="s">
        <v>119</v>
      </c>
      <c r="F13" t="s">
        <v>80</v>
      </c>
      <c r="G13">
        <v>3</v>
      </c>
    </row>
    <row r="14" spans="1:7" x14ac:dyDescent="0.35">
      <c r="A14">
        <v>2019</v>
      </c>
      <c r="B14" t="s">
        <v>18</v>
      </c>
      <c r="C14" t="s">
        <v>168</v>
      </c>
      <c r="D14" t="s">
        <v>169</v>
      </c>
      <c r="E14" t="s">
        <v>76</v>
      </c>
      <c r="F14" t="s">
        <v>80</v>
      </c>
      <c r="G14">
        <v>4</v>
      </c>
    </row>
    <row r="15" spans="1:7" x14ac:dyDescent="0.35">
      <c r="A15">
        <v>2019</v>
      </c>
      <c r="B15" t="s">
        <v>18</v>
      </c>
      <c r="C15" t="s">
        <v>168</v>
      </c>
      <c r="D15" t="s">
        <v>169</v>
      </c>
      <c r="E15" t="s">
        <v>0</v>
      </c>
      <c r="F15" t="s">
        <v>80</v>
      </c>
      <c r="G15">
        <v>9</v>
      </c>
    </row>
    <row r="16" spans="1:7" x14ac:dyDescent="0.35">
      <c r="A16">
        <v>2019</v>
      </c>
      <c r="B16" t="s">
        <v>18</v>
      </c>
      <c r="C16" t="s">
        <v>168</v>
      </c>
      <c r="D16" t="s">
        <v>169</v>
      </c>
      <c r="E16" t="s">
        <v>118</v>
      </c>
      <c r="F16" t="s">
        <v>80</v>
      </c>
      <c r="G16">
        <v>0</v>
      </c>
    </row>
    <row r="17" spans="1:7" x14ac:dyDescent="0.35">
      <c r="A17">
        <v>2019</v>
      </c>
      <c r="B17" t="s">
        <v>18</v>
      </c>
      <c r="C17" t="s">
        <v>168</v>
      </c>
      <c r="D17" t="s">
        <v>169</v>
      </c>
      <c r="E17" t="s">
        <v>119</v>
      </c>
      <c r="F17" t="s">
        <v>80</v>
      </c>
      <c r="G17">
        <v>0</v>
      </c>
    </row>
    <row r="18" spans="1:7" x14ac:dyDescent="0.35">
      <c r="A18">
        <v>2019</v>
      </c>
      <c r="B18" t="s">
        <v>19</v>
      </c>
      <c r="C18" t="s">
        <v>168</v>
      </c>
      <c r="D18" t="s">
        <v>169</v>
      </c>
      <c r="E18" t="s">
        <v>76</v>
      </c>
      <c r="F18" t="s">
        <v>80</v>
      </c>
      <c r="G18">
        <v>7</v>
      </c>
    </row>
    <row r="19" spans="1:7" x14ac:dyDescent="0.35">
      <c r="A19">
        <v>2019</v>
      </c>
      <c r="B19" t="s">
        <v>19</v>
      </c>
      <c r="C19" t="s">
        <v>168</v>
      </c>
      <c r="D19" t="s">
        <v>169</v>
      </c>
      <c r="E19" t="s">
        <v>0</v>
      </c>
      <c r="F19" t="s">
        <v>80</v>
      </c>
      <c r="G19">
        <v>0</v>
      </c>
    </row>
    <row r="20" spans="1:7" x14ac:dyDescent="0.35">
      <c r="A20">
        <v>2019</v>
      </c>
      <c r="B20" t="s">
        <v>19</v>
      </c>
      <c r="C20" t="s">
        <v>168</v>
      </c>
      <c r="D20" t="s">
        <v>169</v>
      </c>
      <c r="E20" t="s">
        <v>118</v>
      </c>
      <c r="F20" t="s">
        <v>80</v>
      </c>
      <c r="G20">
        <v>1</v>
      </c>
    </row>
    <row r="21" spans="1:7" x14ac:dyDescent="0.35">
      <c r="A21">
        <v>2019</v>
      </c>
      <c r="B21" t="s">
        <v>19</v>
      </c>
      <c r="C21" t="s">
        <v>168</v>
      </c>
      <c r="D21" t="s">
        <v>169</v>
      </c>
      <c r="E21" t="s">
        <v>119</v>
      </c>
      <c r="F21" t="s">
        <v>80</v>
      </c>
      <c r="G21">
        <v>3</v>
      </c>
    </row>
    <row r="22" spans="1:7" x14ac:dyDescent="0.35">
      <c r="A22">
        <v>2019</v>
      </c>
      <c r="B22" t="s">
        <v>20</v>
      </c>
      <c r="C22" t="s">
        <v>168</v>
      </c>
      <c r="D22" t="s">
        <v>169</v>
      </c>
      <c r="E22" t="s">
        <v>76</v>
      </c>
      <c r="F22" t="s">
        <v>80</v>
      </c>
      <c r="G22">
        <v>7</v>
      </c>
    </row>
    <row r="23" spans="1:7" x14ac:dyDescent="0.35">
      <c r="A23">
        <v>2019</v>
      </c>
      <c r="B23" t="s">
        <v>20</v>
      </c>
      <c r="C23" t="s">
        <v>168</v>
      </c>
      <c r="D23" t="s">
        <v>169</v>
      </c>
      <c r="E23" t="s">
        <v>0</v>
      </c>
      <c r="F23" t="s">
        <v>80</v>
      </c>
      <c r="G23">
        <v>13</v>
      </c>
    </row>
    <row r="24" spans="1:7" x14ac:dyDescent="0.35">
      <c r="A24">
        <v>2019</v>
      </c>
      <c r="B24" t="s">
        <v>20</v>
      </c>
      <c r="C24" t="s">
        <v>168</v>
      </c>
      <c r="D24" t="s">
        <v>169</v>
      </c>
      <c r="E24" t="s">
        <v>118</v>
      </c>
      <c r="F24" t="s">
        <v>80</v>
      </c>
      <c r="G24">
        <v>5</v>
      </c>
    </row>
    <row r="25" spans="1:7" x14ac:dyDescent="0.35">
      <c r="A25">
        <v>2019</v>
      </c>
      <c r="B25" t="s">
        <v>20</v>
      </c>
      <c r="C25" t="s">
        <v>168</v>
      </c>
      <c r="D25" t="s">
        <v>169</v>
      </c>
      <c r="E25" t="s">
        <v>119</v>
      </c>
      <c r="F25" t="s">
        <v>80</v>
      </c>
      <c r="G25">
        <v>0</v>
      </c>
    </row>
    <row r="26" spans="1:7" x14ac:dyDescent="0.35">
      <c r="A26">
        <v>2019</v>
      </c>
      <c r="B26" t="s">
        <v>21</v>
      </c>
      <c r="C26" t="s">
        <v>168</v>
      </c>
      <c r="D26" t="s">
        <v>169</v>
      </c>
      <c r="E26" t="s">
        <v>76</v>
      </c>
      <c r="F26" t="s">
        <v>80</v>
      </c>
      <c r="G26">
        <v>4</v>
      </c>
    </row>
    <row r="27" spans="1:7" x14ac:dyDescent="0.35">
      <c r="A27">
        <v>2019</v>
      </c>
      <c r="B27" t="s">
        <v>21</v>
      </c>
      <c r="C27" t="s">
        <v>168</v>
      </c>
      <c r="D27" t="s">
        <v>169</v>
      </c>
      <c r="E27" t="s">
        <v>0</v>
      </c>
      <c r="F27" t="s">
        <v>80</v>
      </c>
      <c r="G27">
        <v>5</v>
      </c>
    </row>
    <row r="28" spans="1:7" x14ac:dyDescent="0.35">
      <c r="A28">
        <v>2019</v>
      </c>
      <c r="B28" t="s">
        <v>21</v>
      </c>
      <c r="C28" t="s">
        <v>168</v>
      </c>
      <c r="D28" t="s">
        <v>169</v>
      </c>
      <c r="E28" t="s">
        <v>118</v>
      </c>
      <c r="F28" t="s">
        <v>80</v>
      </c>
      <c r="G28">
        <v>1</v>
      </c>
    </row>
    <row r="29" spans="1:7" x14ac:dyDescent="0.35">
      <c r="A29">
        <v>2019</v>
      </c>
      <c r="B29" t="s">
        <v>21</v>
      </c>
      <c r="C29" t="s">
        <v>168</v>
      </c>
      <c r="D29" t="s">
        <v>169</v>
      </c>
      <c r="E29" t="s">
        <v>119</v>
      </c>
      <c r="F29" t="s">
        <v>80</v>
      </c>
      <c r="G29">
        <v>0</v>
      </c>
    </row>
    <row r="30" spans="1:7" x14ac:dyDescent="0.35">
      <c r="A30">
        <v>2019</v>
      </c>
      <c r="B30" t="s">
        <v>22</v>
      </c>
      <c r="C30" t="s">
        <v>168</v>
      </c>
      <c r="D30" t="s">
        <v>169</v>
      </c>
      <c r="E30" t="s">
        <v>76</v>
      </c>
      <c r="F30" t="s">
        <v>80</v>
      </c>
      <c r="G30">
        <v>11</v>
      </c>
    </row>
    <row r="31" spans="1:7" x14ac:dyDescent="0.35">
      <c r="A31">
        <v>2019</v>
      </c>
      <c r="B31" t="s">
        <v>22</v>
      </c>
      <c r="C31" t="s">
        <v>168</v>
      </c>
      <c r="D31" t="s">
        <v>169</v>
      </c>
      <c r="E31" t="s">
        <v>0</v>
      </c>
      <c r="F31" t="s">
        <v>80</v>
      </c>
      <c r="G31">
        <v>0</v>
      </c>
    </row>
    <row r="32" spans="1:7" x14ac:dyDescent="0.35">
      <c r="A32">
        <v>2019</v>
      </c>
      <c r="B32" t="s">
        <v>22</v>
      </c>
      <c r="C32" t="s">
        <v>168</v>
      </c>
      <c r="D32" t="s">
        <v>169</v>
      </c>
      <c r="E32" t="s">
        <v>118</v>
      </c>
      <c r="F32" t="s">
        <v>80</v>
      </c>
      <c r="G32">
        <v>5</v>
      </c>
    </row>
    <row r="33" spans="1:7" x14ac:dyDescent="0.35">
      <c r="A33">
        <v>2019</v>
      </c>
      <c r="B33" t="s">
        <v>22</v>
      </c>
      <c r="C33" t="s">
        <v>168</v>
      </c>
      <c r="D33" t="s">
        <v>169</v>
      </c>
      <c r="E33" t="s">
        <v>119</v>
      </c>
      <c r="F33" t="s">
        <v>80</v>
      </c>
      <c r="G33">
        <v>1</v>
      </c>
    </row>
    <row r="34" spans="1:7" x14ac:dyDescent="0.35">
      <c r="A34">
        <v>2019</v>
      </c>
      <c r="B34" t="s">
        <v>23</v>
      </c>
      <c r="C34" t="s">
        <v>168</v>
      </c>
      <c r="D34" t="s">
        <v>169</v>
      </c>
      <c r="E34" t="s">
        <v>76</v>
      </c>
      <c r="F34" t="s">
        <v>80</v>
      </c>
      <c r="G34">
        <v>5</v>
      </c>
    </row>
    <row r="35" spans="1:7" x14ac:dyDescent="0.35">
      <c r="A35">
        <v>2019</v>
      </c>
      <c r="B35" t="s">
        <v>23</v>
      </c>
      <c r="C35" t="s">
        <v>168</v>
      </c>
      <c r="D35" t="s">
        <v>169</v>
      </c>
      <c r="E35" t="s">
        <v>0</v>
      </c>
      <c r="F35" t="s">
        <v>80</v>
      </c>
      <c r="G35">
        <v>0</v>
      </c>
    </row>
    <row r="36" spans="1:7" x14ac:dyDescent="0.35">
      <c r="A36">
        <v>2019</v>
      </c>
      <c r="B36" t="s">
        <v>23</v>
      </c>
      <c r="C36" t="s">
        <v>168</v>
      </c>
      <c r="D36" t="s">
        <v>169</v>
      </c>
      <c r="E36" t="s">
        <v>118</v>
      </c>
      <c r="F36" t="s">
        <v>80</v>
      </c>
      <c r="G36">
        <v>0</v>
      </c>
    </row>
    <row r="37" spans="1:7" x14ac:dyDescent="0.35">
      <c r="A37">
        <v>2019</v>
      </c>
      <c r="B37" t="s">
        <v>23</v>
      </c>
      <c r="C37" t="s">
        <v>168</v>
      </c>
      <c r="D37" t="s">
        <v>169</v>
      </c>
      <c r="E37" t="s">
        <v>119</v>
      </c>
      <c r="F37" t="s">
        <v>80</v>
      </c>
      <c r="G37">
        <v>0</v>
      </c>
    </row>
    <row r="38" spans="1:7" x14ac:dyDescent="0.35">
      <c r="A38">
        <v>2019</v>
      </c>
      <c r="B38" t="s">
        <v>24</v>
      </c>
      <c r="C38" t="s">
        <v>168</v>
      </c>
      <c r="D38" t="s">
        <v>169</v>
      </c>
      <c r="E38" t="s">
        <v>76</v>
      </c>
      <c r="F38" t="s">
        <v>80</v>
      </c>
      <c r="G38">
        <v>6</v>
      </c>
    </row>
    <row r="39" spans="1:7" x14ac:dyDescent="0.35">
      <c r="A39">
        <v>2019</v>
      </c>
      <c r="B39" t="s">
        <v>24</v>
      </c>
      <c r="C39" t="s">
        <v>168</v>
      </c>
      <c r="D39" t="s">
        <v>169</v>
      </c>
      <c r="E39" t="s">
        <v>0</v>
      </c>
      <c r="F39" t="s">
        <v>80</v>
      </c>
      <c r="G39">
        <v>5</v>
      </c>
    </row>
    <row r="40" spans="1:7" x14ac:dyDescent="0.35">
      <c r="A40">
        <v>2019</v>
      </c>
      <c r="B40" t="s">
        <v>24</v>
      </c>
      <c r="C40" t="s">
        <v>168</v>
      </c>
      <c r="D40" t="s">
        <v>169</v>
      </c>
      <c r="E40" t="s">
        <v>118</v>
      </c>
      <c r="F40" t="s">
        <v>80</v>
      </c>
      <c r="G40">
        <v>1</v>
      </c>
    </row>
    <row r="41" spans="1:7" x14ac:dyDescent="0.35">
      <c r="A41">
        <v>2019</v>
      </c>
      <c r="B41" t="s">
        <v>24</v>
      </c>
      <c r="C41" t="s">
        <v>168</v>
      </c>
      <c r="D41" t="s">
        <v>169</v>
      </c>
      <c r="E41" t="s">
        <v>119</v>
      </c>
      <c r="F41" t="s">
        <v>80</v>
      </c>
      <c r="G41">
        <v>0</v>
      </c>
    </row>
    <row r="42" spans="1:7" x14ac:dyDescent="0.35">
      <c r="A42">
        <v>2019</v>
      </c>
      <c r="B42" t="s">
        <v>25</v>
      </c>
      <c r="C42" t="s">
        <v>168</v>
      </c>
      <c r="D42" t="s">
        <v>169</v>
      </c>
      <c r="E42" t="s">
        <v>76</v>
      </c>
      <c r="F42" t="s">
        <v>80</v>
      </c>
      <c r="G42">
        <v>26</v>
      </c>
    </row>
    <row r="43" spans="1:7" x14ac:dyDescent="0.35">
      <c r="A43">
        <v>2019</v>
      </c>
      <c r="B43" t="s">
        <v>25</v>
      </c>
      <c r="C43" t="s">
        <v>168</v>
      </c>
      <c r="D43" t="s">
        <v>169</v>
      </c>
      <c r="E43" t="s">
        <v>0</v>
      </c>
      <c r="F43" t="s">
        <v>80</v>
      </c>
      <c r="G43">
        <v>0</v>
      </c>
    </row>
    <row r="44" spans="1:7" x14ac:dyDescent="0.35">
      <c r="A44">
        <v>2019</v>
      </c>
      <c r="B44" t="s">
        <v>25</v>
      </c>
      <c r="C44" t="s">
        <v>168</v>
      </c>
      <c r="D44" t="s">
        <v>169</v>
      </c>
      <c r="E44" t="s">
        <v>118</v>
      </c>
      <c r="F44" t="s">
        <v>80</v>
      </c>
      <c r="G44">
        <v>5</v>
      </c>
    </row>
    <row r="45" spans="1:7" x14ac:dyDescent="0.35">
      <c r="A45">
        <v>2019</v>
      </c>
      <c r="B45" t="s">
        <v>25</v>
      </c>
      <c r="C45" t="s">
        <v>168</v>
      </c>
      <c r="D45" t="s">
        <v>169</v>
      </c>
      <c r="E45" t="s">
        <v>119</v>
      </c>
      <c r="F45" t="s">
        <v>80</v>
      </c>
      <c r="G45">
        <v>0</v>
      </c>
    </row>
    <row r="46" spans="1:7" x14ac:dyDescent="0.35">
      <c r="A46">
        <v>2019</v>
      </c>
      <c r="B46" t="s">
        <v>27</v>
      </c>
      <c r="C46" t="s">
        <v>168</v>
      </c>
      <c r="D46" t="s">
        <v>169</v>
      </c>
      <c r="E46" t="s">
        <v>76</v>
      </c>
      <c r="F46" t="s">
        <v>80</v>
      </c>
      <c r="G46">
        <v>7</v>
      </c>
    </row>
    <row r="47" spans="1:7" x14ac:dyDescent="0.35">
      <c r="A47">
        <v>2019</v>
      </c>
      <c r="B47" t="s">
        <v>27</v>
      </c>
      <c r="C47" t="s">
        <v>168</v>
      </c>
      <c r="D47" t="s">
        <v>169</v>
      </c>
      <c r="E47" t="s">
        <v>0</v>
      </c>
      <c r="F47" t="s">
        <v>80</v>
      </c>
      <c r="G47">
        <v>0</v>
      </c>
    </row>
    <row r="48" spans="1:7" x14ac:dyDescent="0.35">
      <c r="A48">
        <v>2019</v>
      </c>
      <c r="B48" t="s">
        <v>27</v>
      </c>
      <c r="C48" t="s">
        <v>168</v>
      </c>
      <c r="D48" t="s">
        <v>169</v>
      </c>
      <c r="E48" t="s">
        <v>118</v>
      </c>
      <c r="F48" t="s">
        <v>80</v>
      </c>
      <c r="G48">
        <v>3</v>
      </c>
    </row>
    <row r="49" spans="1:7" x14ac:dyDescent="0.35">
      <c r="A49">
        <v>2019</v>
      </c>
      <c r="B49" t="s">
        <v>27</v>
      </c>
      <c r="C49" t="s">
        <v>168</v>
      </c>
      <c r="D49" t="s">
        <v>169</v>
      </c>
      <c r="E49" t="s">
        <v>119</v>
      </c>
      <c r="F49" t="s">
        <v>80</v>
      </c>
      <c r="G49">
        <v>0</v>
      </c>
    </row>
    <row r="50" spans="1:7" x14ac:dyDescent="0.35">
      <c r="A50">
        <v>2019</v>
      </c>
      <c r="B50" t="s">
        <v>28</v>
      </c>
      <c r="C50" t="s">
        <v>168</v>
      </c>
      <c r="D50" t="s">
        <v>169</v>
      </c>
      <c r="E50" t="s">
        <v>76</v>
      </c>
      <c r="F50" t="s">
        <v>80</v>
      </c>
      <c r="G50">
        <v>7</v>
      </c>
    </row>
    <row r="51" spans="1:7" x14ac:dyDescent="0.35">
      <c r="A51">
        <v>2019</v>
      </c>
      <c r="B51" t="s">
        <v>28</v>
      </c>
      <c r="C51" t="s">
        <v>168</v>
      </c>
      <c r="D51" t="s">
        <v>169</v>
      </c>
      <c r="E51" t="s">
        <v>0</v>
      </c>
      <c r="F51" t="s">
        <v>80</v>
      </c>
      <c r="G51">
        <v>0</v>
      </c>
    </row>
    <row r="52" spans="1:7" x14ac:dyDescent="0.35">
      <c r="A52">
        <v>2019</v>
      </c>
      <c r="B52" t="s">
        <v>28</v>
      </c>
      <c r="C52" t="s">
        <v>168</v>
      </c>
      <c r="D52" t="s">
        <v>169</v>
      </c>
      <c r="E52" t="s">
        <v>118</v>
      </c>
      <c r="F52" t="s">
        <v>80</v>
      </c>
      <c r="G52">
        <v>2</v>
      </c>
    </row>
    <row r="53" spans="1:7" x14ac:dyDescent="0.35">
      <c r="A53">
        <v>2019</v>
      </c>
      <c r="B53" t="s">
        <v>28</v>
      </c>
      <c r="C53" t="s">
        <v>168</v>
      </c>
      <c r="D53" t="s">
        <v>169</v>
      </c>
      <c r="E53" t="s">
        <v>119</v>
      </c>
      <c r="F53" t="s">
        <v>80</v>
      </c>
      <c r="G53">
        <v>2</v>
      </c>
    </row>
    <row r="54" spans="1:7" x14ac:dyDescent="0.35">
      <c r="A54">
        <v>2019</v>
      </c>
      <c r="B54" t="s">
        <v>29</v>
      </c>
      <c r="C54" t="s">
        <v>168</v>
      </c>
      <c r="D54" t="s">
        <v>169</v>
      </c>
      <c r="E54" t="s">
        <v>76</v>
      </c>
      <c r="F54" t="s">
        <v>80</v>
      </c>
      <c r="G54">
        <v>18</v>
      </c>
    </row>
    <row r="55" spans="1:7" x14ac:dyDescent="0.35">
      <c r="A55">
        <v>2019</v>
      </c>
      <c r="B55" t="s">
        <v>29</v>
      </c>
      <c r="C55" t="s">
        <v>168</v>
      </c>
      <c r="D55" t="s">
        <v>169</v>
      </c>
      <c r="E55" t="s">
        <v>0</v>
      </c>
      <c r="F55" t="s">
        <v>80</v>
      </c>
      <c r="G55">
        <v>5</v>
      </c>
    </row>
    <row r="56" spans="1:7" x14ac:dyDescent="0.35">
      <c r="A56">
        <v>2019</v>
      </c>
      <c r="B56" t="s">
        <v>29</v>
      </c>
      <c r="C56" t="s">
        <v>168</v>
      </c>
      <c r="D56" t="s">
        <v>169</v>
      </c>
      <c r="E56" t="s">
        <v>118</v>
      </c>
      <c r="F56" t="s">
        <v>80</v>
      </c>
      <c r="G56">
        <v>5</v>
      </c>
    </row>
    <row r="57" spans="1:7" x14ac:dyDescent="0.35">
      <c r="A57">
        <v>2019</v>
      </c>
      <c r="B57" t="s">
        <v>29</v>
      </c>
      <c r="C57" t="s">
        <v>168</v>
      </c>
      <c r="D57" t="s">
        <v>169</v>
      </c>
      <c r="E57" t="s">
        <v>119</v>
      </c>
      <c r="F57" t="s">
        <v>80</v>
      </c>
      <c r="G57">
        <v>0</v>
      </c>
    </row>
    <row r="58" spans="1:7" x14ac:dyDescent="0.35">
      <c r="A58">
        <v>2019</v>
      </c>
      <c r="B58" t="s">
        <v>30</v>
      </c>
      <c r="C58" t="s">
        <v>168</v>
      </c>
      <c r="D58" t="s">
        <v>169</v>
      </c>
      <c r="E58" t="s">
        <v>76</v>
      </c>
      <c r="F58" t="s">
        <v>80</v>
      </c>
      <c r="G58">
        <v>11</v>
      </c>
    </row>
    <row r="59" spans="1:7" x14ac:dyDescent="0.35">
      <c r="A59">
        <v>2019</v>
      </c>
      <c r="B59" t="s">
        <v>30</v>
      </c>
      <c r="C59" t="s">
        <v>168</v>
      </c>
      <c r="D59" t="s">
        <v>169</v>
      </c>
      <c r="E59" t="s">
        <v>0</v>
      </c>
      <c r="F59" t="s">
        <v>80</v>
      </c>
      <c r="G59">
        <v>0</v>
      </c>
    </row>
    <row r="60" spans="1:7" x14ac:dyDescent="0.35">
      <c r="A60">
        <v>2019</v>
      </c>
      <c r="B60" t="s">
        <v>30</v>
      </c>
      <c r="C60" t="s">
        <v>168</v>
      </c>
      <c r="D60" t="s">
        <v>169</v>
      </c>
      <c r="E60" t="s">
        <v>118</v>
      </c>
      <c r="F60" t="s">
        <v>80</v>
      </c>
      <c r="G60">
        <v>1</v>
      </c>
    </row>
    <row r="61" spans="1:7" x14ac:dyDescent="0.35">
      <c r="A61">
        <v>2019</v>
      </c>
      <c r="B61" t="s">
        <v>30</v>
      </c>
      <c r="C61" t="s">
        <v>168</v>
      </c>
      <c r="D61" t="s">
        <v>169</v>
      </c>
      <c r="E61" t="s">
        <v>119</v>
      </c>
      <c r="F61" t="s">
        <v>80</v>
      </c>
      <c r="G61">
        <v>0</v>
      </c>
    </row>
    <row r="62" spans="1:7" x14ac:dyDescent="0.35">
      <c r="A62">
        <v>2019</v>
      </c>
      <c r="B62" t="s">
        <v>61</v>
      </c>
      <c r="C62" t="s">
        <v>168</v>
      </c>
      <c r="D62" t="s">
        <v>169</v>
      </c>
      <c r="E62" t="s">
        <v>76</v>
      </c>
      <c r="F62" t="s">
        <v>80</v>
      </c>
      <c r="G62">
        <v>0</v>
      </c>
    </row>
    <row r="63" spans="1:7" x14ac:dyDescent="0.35">
      <c r="A63">
        <v>2019</v>
      </c>
      <c r="B63" t="s">
        <v>61</v>
      </c>
      <c r="C63" t="s">
        <v>168</v>
      </c>
      <c r="D63" t="s">
        <v>169</v>
      </c>
      <c r="E63" t="s">
        <v>0</v>
      </c>
      <c r="F63" t="s">
        <v>80</v>
      </c>
      <c r="G63">
        <v>80</v>
      </c>
    </row>
    <row r="64" spans="1:7" x14ac:dyDescent="0.35">
      <c r="A64">
        <v>2019</v>
      </c>
      <c r="B64" t="s">
        <v>61</v>
      </c>
      <c r="C64" t="s">
        <v>168</v>
      </c>
      <c r="D64" t="s">
        <v>169</v>
      </c>
      <c r="E64" t="s">
        <v>118</v>
      </c>
      <c r="F64" t="s">
        <v>80</v>
      </c>
      <c r="G64">
        <v>13</v>
      </c>
    </row>
    <row r="65" spans="1:7" x14ac:dyDescent="0.35">
      <c r="A65">
        <v>2019</v>
      </c>
      <c r="B65" t="s">
        <v>61</v>
      </c>
      <c r="C65" t="s">
        <v>168</v>
      </c>
      <c r="D65" t="s">
        <v>169</v>
      </c>
      <c r="E65" t="s">
        <v>119</v>
      </c>
      <c r="F65" t="s">
        <v>80</v>
      </c>
      <c r="G65">
        <v>2</v>
      </c>
    </row>
    <row r="66" spans="1:7" x14ac:dyDescent="0.35">
      <c r="A66">
        <v>2019</v>
      </c>
      <c r="B66" t="s">
        <v>55</v>
      </c>
      <c r="C66" t="s">
        <v>168</v>
      </c>
      <c r="D66" t="s">
        <v>169</v>
      </c>
      <c r="E66" t="s">
        <v>76</v>
      </c>
      <c r="F66" t="s">
        <v>80</v>
      </c>
      <c r="G66">
        <v>0</v>
      </c>
    </row>
    <row r="67" spans="1:7" x14ac:dyDescent="0.35">
      <c r="A67">
        <v>2019</v>
      </c>
      <c r="B67" t="s">
        <v>55</v>
      </c>
      <c r="C67" t="s">
        <v>168</v>
      </c>
      <c r="D67" t="s">
        <v>169</v>
      </c>
      <c r="E67" t="s">
        <v>0</v>
      </c>
      <c r="F67" t="s">
        <v>80</v>
      </c>
      <c r="G67">
        <v>28</v>
      </c>
    </row>
    <row r="68" spans="1:7" x14ac:dyDescent="0.35">
      <c r="A68">
        <v>2019</v>
      </c>
      <c r="B68" t="s">
        <v>55</v>
      </c>
      <c r="C68" t="s">
        <v>168</v>
      </c>
      <c r="D68" t="s">
        <v>169</v>
      </c>
      <c r="E68" t="s">
        <v>118</v>
      </c>
      <c r="F68" t="s">
        <v>80</v>
      </c>
      <c r="G68">
        <v>10</v>
      </c>
    </row>
    <row r="69" spans="1:7" x14ac:dyDescent="0.35">
      <c r="A69">
        <v>2019</v>
      </c>
      <c r="B69" t="s">
        <v>55</v>
      </c>
      <c r="C69" t="s">
        <v>168</v>
      </c>
      <c r="D69" t="s">
        <v>169</v>
      </c>
      <c r="E69" t="s">
        <v>119</v>
      </c>
      <c r="F69" t="s">
        <v>80</v>
      </c>
      <c r="G69">
        <v>0</v>
      </c>
    </row>
    <row r="70" spans="1:7" x14ac:dyDescent="0.35">
      <c r="A70">
        <v>2019</v>
      </c>
      <c r="B70" t="s">
        <v>31</v>
      </c>
      <c r="C70" t="s">
        <v>168</v>
      </c>
      <c r="D70" t="s">
        <v>169</v>
      </c>
      <c r="E70" t="s">
        <v>76</v>
      </c>
      <c r="F70" t="s">
        <v>80</v>
      </c>
      <c r="G70">
        <v>18</v>
      </c>
    </row>
    <row r="71" spans="1:7" x14ac:dyDescent="0.35">
      <c r="A71">
        <v>2019</v>
      </c>
      <c r="B71" t="s">
        <v>31</v>
      </c>
      <c r="C71" t="s">
        <v>168</v>
      </c>
      <c r="D71" t="s">
        <v>169</v>
      </c>
      <c r="E71" t="s">
        <v>0</v>
      </c>
      <c r="F71" t="s">
        <v>80</v>
      </c>
      <c r="G71">
        <v>5</v>
      </c>
    </row>
    <row r="72" spans="1:7" x14ac:dyDescent="0.35">
      <c r="A72">
        <v>2019</v>
      </c>
      <c r="B72" t="s">
        <v>31</v>
      </c>
      <c r="C72" t="s">
        <v>168</v>
      </c>
      <c r="D72" t="s">
        <v>169</v>
      </c>
      <c r="E72" t="s">
        <v>118</v>
      </c>
      <c r="F72" t="s">
        <v>80</v>
      </c>
      <c r="G72">
        <v>2</v>
      </c>
    </row>
    <row r="73" spans="1:7" x14ac:dyDescent="0.35">
      <c r="A73">
        <v>2019</v>
      </c>
      <c r="B73" t="s">
        <v>31</v>
      </c>
      <c r="C73" t="s">
        <v>168</v>
      </c>
      <c r="D73" t="s">
        <v>169</v>
      </c>
      <c r="E73" t="s">
        <v>119</v>
      </c>
      <c r="F73" t="s">
        <v>80</v>
      </c>
      <c r="G73">
        <v>0</v>
      </c>
    </row>
    <row r="74" spans="1:7" x14ac:dyDescent="0.35">
      <c r="A74">
        <v>2019</v>
      </c>
      <c r="B74" t="s">
        <v>32</v>
      </c>
      <c r="C74" t="s">
        <v>168</v>
      </c>
      <c r="D74" t="s">
        <v>169</v>
      </c>
      <c r="E74" t="s">
        <v>76</v>
      </c>
      <c r="F74" t="s">
        <v>80</v>
      </c>
      <c r="G74">
        <v>7</v>
      </c>
    </row>
    <row r="75" spans="1:7" x14ac:dyDescent="0.35">
      <c r="A75">
        <v>2019</v>
      </c>
      <c r="B75" t="s">
        <v>32</v>
      </c>
      <c r="C75" t="s">
        <v>168</v>
      </c>
      <c r="D75" t="s">
        <v>169</v>
      </c>
      <c r="E75" t="s">
        <v>0</v>
      </c>
      <c r="F75" t="s">
        <v>80</v>
      </c>
      <c r="G75">
        <v>1</v>
      </c>
    </row>
    <row r="76" spans="1:7" x14ac:dyDescent="0.35">
      <c r="A76">
        <v>2019</v>
      </c>
      <c r="B76" t="s">
        <v>32</v>
      </c>
      <c r="C76" t="s">
        <v>168</v>
      </c>
      <c r="D76" t="s">
        <v>169</v>
      </c>
      <c r="E76" t="s">
        <v>118</v>
      </c>
      <c r="F76" t="s">
        <v>80</v>
      </c>
      <c r="G76">
        <v>3</v>
      </c>
    </row>
    <row r="77" spans="1:7" x14ac:dyDescent="0.35">
      <c r="A77">
        <v>2019</v>
      </c>
      <c r="B77" t="s">
        <v>32</v>
      </c>
      <c r="C77" t="s">
        <v>168</v>
      </c>
      <c r="D77" t="s">
        <v>169</v>
      </c>
      <c r="E77" t="s">
        <v>119</v>
      </c>
      <c r="F77" t="s">
        <v>80</v>
      </c>
      <c r="G77">
        <v>0</v>
      </c>
    </row>
    <row r="78" spans="1:7" x14ac:dyDescent="0.35">
      <c r="A78">
        <v>2019</v>
      </c>
      <c r="B78" t="s">
        <v>33</v>
      </c>
      <c r="C78" t="s">
        <v>168</v>
      </c>
      <c r="D78" t="s">
        <v>169</v>
      </c>
      <c r="E78" t="s">
        <v>76</v>
      </c>
      <c r="F78" t="s">
        <v>80</v>
      </c>
      <c r="G78">
        <v>3</v>
      </c>
    </row>
    <row r="79" spans="1:7" x14ac:dyDescent="0.35">
      <c r="A79">
        <v>2019</v>
      </c>
      <c r="B79" t="s">
        <v>33</v>
      </c>
      <c r="C79" t="s">
        <v>168</v>
      </c>
      <c r="D79" t="s">
        <v>169</v>
      </c>
      <c r="E79" t="s">
        <v>0</v>
      </c>
      <c r="F79" t="s">
        <v>80</v>
      </c>
      <c r="G79">
        <v>6</v>
      </c>
    </row>
    <row r="80" spans="1:7" x14ac:dyDescent="0.35">
      <c r="A80">
        <v>2019</v>
      </c>
      <c r="B80" t="s">
        <v>33</v>
      </c>
      <c r="C80" t="s">
        <v>168</v>
      </c>
      <c r="D80" t="s">
        <v>169</v>
      </c>
      <c r="E80" t="s">
        <v>118</v>
      </c>
      <c r="F80" t="s">
        <v>80</v>
      </c>
      <c r="G80">
        <v>0</v>
      </c>
    </row>
    <row r="81" spans="1:7" x14ac:dyDescent="0.35">
      <c r="A81">
        <v>2019</v>
      </c>
      <c r="B81" t="s">
        <v>33</v>
      </c>
      <c r="C81" t="s">
        <v>168</v>
      </c>
      <c r="D81" t="s">
        <v>169</v>
      </c>
      <c r="E81" t="s">
        <v>119</v>
      </c>
      <c r="F81" t="s">
        <v>80</v>
      </c>
      <c r="G81">
        <v>0</v>
      </c>
    </row>
    <row r="82" spans="1:7" x14ac:dyDescent="0.35">
      <c r="A82">
        <v>2019</v>
      </c>
      <c r="B82" t="s">
        <v>34</v>
      </c>
      <c r="C82" t="s">
        <v>168</v>
      </c>
      <c r="D82" t="s">
        <v>169</v>
      </c>
      <c r="E82" t="s">
        <v>76</v>
      </c>
      <c r="F82" t="s">
        <v>80</v>
      </c>
      <c r="G82">
        <v>10</v>
      </c>
    </row>
    <row r="83" spans="1:7" x14ac:dyDescent="0.35">
      <c r="A83">
        <v>2019</v>
      </c>
      <c r="B83" t="s">
        <v>34</v>
      </c>
      <c r="C83" t="s">
        <v>168</v>
      </c>
      <c r="D83" t="s">
        <v>169</v>
      </c>
      <c r="E83" t="s">
        <v>0</v>
      </c>
      <c r="F83" t="s">
        <v>80</v>
      </c>
      <c r="G83">
        <v>4</v>
      </c>
    </row>
    <row r="84" spans="1:7" x14ac:dyDescent="0.35">
      <c r="A84">
        <v>2019</v>
      </c>
      <c r="B84" t="s">
        <v>34</v>
      </c>
      <c r="C84" t="s">
        <v>168</v>
      </c>
      <c r="D84" t="s">
        <v>169</v>
      </c>
      <c r="E84" t="s">
        <v>118</v>
      </c>
      <c r="F84" t="s">
        <v>80</v>
      </c>
      <c r="G84">
        <v>3</v>
      </c>
    </row>
    <row r="85" spans="1:7" x14ac:dyDescent="0.35">
      <c r="A85">
        <v>2019</v>
      </c>
      <c r="B85" t="s">
        <v>34</v>
      </c>
      <c r="C85" t="s">
        <v>168</v>
      </c>
      <c r="D85" t="s">
        <v>169</v>
      </c>
      <c r="E85" t="s">
        <v>119</v>
      </c>
      <c r="F85" t="s">
        <v>80</v>
      </c>
      <c r="G85">
        <v>0</v>
      </c>
    </row>
    <row r="86" spans="1:7" x14ac:dyDescent="0.35">
      <c r="A86">
        <v>2019</v>
      </c>
      <c r="B86" t="s">
        <v>35</v>
      </c>
      <c r="C86" t="s">
        <v>168</v>
      </c>
      <c r="D86" t="s">
        <v>169</v>
      </c>
      <c r="E86" t="s">
        <v>76</v>
      </c>
      <c r="F86" t="s">
        <v>80</v>
      </c>
      <c r="G86">
        <v>0</v>
      </c>
    </row>
    <row r="87" spans="1:7" x14ac:dyDescent="0.35">
      <c r="A87">
        <v>2019</v>
      </c>
      <c r="B87" t="s">
        <v>35</v>
      </c>
      <c r="C87" t="s">
        <v>168</v>
      </c>
      <c r="D87" t="s">
        <v>169</v>
      </c>
      <c r="E87" t="s">
        <v>0</v>
      </c>
      <c r="F87" t="s">
        <v>80</v>
      </c>
      <c r="G87">
        <v>0</v>
      </c>
    </row>
    <row r="88" spans="1:7" x14ac:dyDescent="0.35">
      <c r="A88">
        <v>2019</v>
      </c>
      <c r="B88" t="s">
        <v>35</v>
      </c>
      <c r="C88" t="s">
        <v>168</v>
      </c>
      <c r="D88" t="s">
        <v>169</v>
      </c>
      <c r="E88" t="s">
        <v>118</v>
      </c>
      <c r="F88" t="s">
        <v>80</v>
      </c>
      <c r="G88">
        <v>0</v>
      </c>
    </row>
    <row r="89" spans="1:7" x14ac:dyDescent="0.35">
      <c r="A89">
        <v>2019</v>
      </c>
      <c r="B89" t="s">
        <v>35</v>
      </c>
      <c r="C89" t="s">
        <v>168</v>
      </c>
      <c r="D89" t="s">
        <v>169</v>
      </c>
      <c r="E89" t="s">
        <v>119</v>
      </c>
      <c r="F89" t="s">
        <v>80</v>
      </c>
      <c r="G89">
        <v>0</v>
      </c>
    </row>
    <row r="90" spans="1:7" x14ac:dyDescent="0.35">
      <c r="A90">
        <v>2019</v>
      </c>
      <c r="B90" t="s">
        <v>53</v>
      </c>
      <c r="C90" t="s">
        <v>168</v>
      </c>
      <c r="D90" t="s">
        <v>169</v>
      </c>
      <c r="E90" t="s">
        <v>76</v>
      </c>
      <c r="F90" t="s">
        <v>80</v>
      </c>
      <c r="G90">
        <v>0</v>
      </c>
    </row>
    <row r="91" spans="1:7" x14ac:dyDescent="0.35">
      <c r="A91">
        <v>2019</v>
      </c>
      <c r="B91" t="s">
        <v>53</v>
      </c>
      <c r="C91" t="s">
        <v>168</v>
      </c>
      <c r="D91" t="s">
        <v>169</v>
      </c>
      <c r="E91" t="s">
        <v>0</v>
      </c>
      <c r="F91" t="s">
        <v>80</v>
      </c>
      <c r="G91">
        <v>0</v>
      </c>
    </row>
    <row r="92" spans="1:7" x14ac:dyDescent="0.35">
      <c r="A92">
        <v>2019</v>
      </c>
      <c r="B92" t="s">
        <v>53</v>
      </c>
      <c r="C92" t="s">
        <v>168</v>
      </c>
      <c r="D92" t="s">
        <v>169</v>
      </c>
      <c r="E92" t="s">
        <v>118</v>
      </c>
      <c r="F92" t="s">
        <v>80</v>
      </c>
      <c r="G92">
        <v>0</v>
      </c>
    </row>
    <row r="93" spans="1:7" x14ac:dyDescent="0.35">
      <c r="A93">
        <v>2019</v>
      </c>
      <c r="B93" t="s">
        <v>53</v>
      </c>
      <c r="C93" t="s">
        <v>168</v>
      </c>
      <c r="D93" t="s">
        <v>169</v>
      </c>
      <c r="E93" t="s">
        <v>119</v>
      </c>
      <c r="F93" t="s">
        <v>80</v>
      </c>
      <c r="G93">
        <v>0</v>
      </c>
    </row>
    <row r="94" spans="1:7" x14ac:dyDescent="0.35">
      <c r="A94">
        <v>2019</v>
      </c>
      <c r="B94" t="s">
        <v>36</v>
      </c>
      <c r="C94" t="s">
        <v>168</v>
      </c>
      <c r="D94" t="s">
        <v>169</v>
      </c>
      <c r="E94" t="s">
        <v>76</v>
      </c>
      <c r="F94" t="s">
        <v>80</v>
      </c>
      <c r="G94">
        <v>19</v>
      </c>
    </row>
    <row r="95" spans="1:7" x14ac:dyDescent="0.35">
      <c r="A95">
        <v>2019</v>
      </c>
      <c r="B95" t="s">
        <v>36</v>
      </c>
      <c r="C95" t="s">
        <v>168</v>
      </c>
      <c r="D95" t="s">
        <v>169</v>
      </c>
      <c r="E95" t="s">
        <v>0</v>
      </c>
      <c r="F95" t="s">
        <v>80</v>
      </c>
      <c r="G95">
        <v>3</v>
      </c>
    </row>
    <row r="96" spans="1:7" x14ac:dyDescent="0.35">
      <c r="A96">
        <v>2019</v>
      </c>
      <c r="B96" t="s">
        <v>36</v>
      </c>
      <c r="C96" t="s">
        <v>168</v>
      </c>
      <c r="D96" t="s">
        <v>169</v>
      </c>
      <c r="E96" t="s">
        <v>118</v>
      </c>
      <c r="F96" t="s">
        <v>80</v>
      </c>
      <c r="G96">
        <v>2</v>
      </c>
    </row>
    <row r="97" spans="1:7" x14ac:dyDescent="0.35">
      <c r="A97">
        <v>2019</v>
      </c>
      <c r="B97" t="s">
        <v>36</v>
      </c>
      <c r="C97" t="s">
        <v>168</v>
      </c>
      <c r="D97" t="s">
        <v>169</v>
      </c>
      <c r="E97" t="s">
        <v>119</v>
      </c>
      <c r="F97" t="s">
        <v>80</v>
      </c>
      <c r="G97">
        <v>0</v>
      </c>
    </row>
    <row r="98" spans="1:7" x14ac:dyDescent="0.35">
      <c r="A98">
        <v>2019</v>
      </c>
      <c r="B98" t="s">
        <v>37</v>
      </c>
      <c r="C98" t="s">
        <v>168</v>
      </c>
      <c r="D98" t="s">
        <v>169</v>
      </c>
      <c r="E98" t="s">
        <v>76</v>
      </c>
      <c r="F98" t="s">
        <v>80</v>
      </c>
      <c r="G98">
        <v>19</v>
      </c>
    </row>
    <row r="99" spans="1:7" x14ac:dyDescent="0.35">
      <c r="A99">
        <v>2019</v>
      </c>
      <c r="B99" t="s">
        <v>37</v>
      </c>
      <c r="C99" t="s">
        <v>168</v>
      </c>
      <c r="D99" t="s">
        <v>169</v>
      </c>
      <c r="E99" t="s">
        <v>0</v>
      </c>
      <c r="F99" t="s">
        <v>80</v>
      </c>
      <c r="G99">
        <v>6</v>
      </c>
    </row>
    <row r="100" spans="1:7" x14ac:dyDescent="0.35">
      <c r="A100">
        <v>2019</v>
      </c>
      <c r="B100" t="s">
        <v>37</v>
      </c>
      <c r="C100" t="s">
        <v>168</v>
      </c>
      <c r="D100" t="s">
        <v>169</v>
      </c>
      <c r="E100" t="s">
        <v>118</v>
      </c>
      <c r="F100" t="s">
        <v>80</v>
      </c>
      <c r="G100">
        <v>4</v>
      </c>
    </row>
    <row r="101" spans="1:7" x14ac:dyDescent="0.35">
      <c r="A101">
        <v>2019</v>
      </c>
      <c r="B101" t="s">
        <v>37</v>
      </c>
      <c r="C101" t="s">
        <v>168</v>
      </c>
      <c r="D101" t="s">
        <v>169</v>
      </c>
      <c r="E101" t="s">
        <v>119</v>
      </c>
      <c r="F101" t="s">
        <v>80</v>
      </c>
      <c r="G101">
        <v>0</v>
      </c>
    </row>
    <row r="102" spans="1:7" x14ac:dyDescent="0.35">
      <c r="A102">
        <v>2019</v>
      </c>
      <c r="B102" t="s">
        <v>38</v>
      </c>
      <c r="C102" t="s">
        <v>168</v>
      </c>
      <c r="D102" t="s">
        <v>169</v>
      </c>
      <c r="E102" t="s">
        <v>76</v>
      </c>
      <c r="F102" t="s">
        <v>80</v>
      </c>
      <c r="G102">
        <v>7</v>
      </c>
    </row>
    <row r="103" spans="1:7" x14ac:dyDescent="0.35">
      <c r="A103">
        <v>2019</v>
      </c>
      <c r="B103" t="s">
        <v>38</v>
      </c>
      <c r="C103" t="s">
        <v>168</v>
      </c>
      <c r="D103" t="s">
        <v>169</v>
      </c>
      <c r="E103" t="s">
        <v>0</v>
      </c>
      <c r="F103" t="s">
        <v>80</v>
      </c>
      <c r="G103">
        <v>2</v>
      </c>
    </row>
    <row r="104" spans="1:7" x14ac:dyDescent="0.35">
      <c r="A104">
        <v>2019</v>
      </c>
      <c r="B104" t="s">
        <v>38</v>
      </c>
      <c r="C104" t="s">
        <v>168</v>
      </c>
      <c r="D104" t="s">
        <v>169</v>
      </c>
      <c r="E104" t="s">
        <v>118</v>
      </c>
      <c r="F104" t="s">
        <v>80</v>
      </c>
      <c r="G104">
        <v>0</v>
      </c>
    </row>
    <row r="105" spans="1:7" x14ac:dyDescent="0.35">
      <c r="A105">
        <v>2019</v>
      </c>
      <c r="B105" t="s">
        <v>38</v>
      </c>
      <c r="C105" t="s">
        <v>168</v>
      </c>
      <c r="D105" t="s">
        <v>169</v>
      </c>
      <c r="E105" t="s">
        <v>119</v>
      </c>
      <c r="F105" t="s">
        <v>80</v>
      </c>
      <c r="G105">
        <v>0</v>
      </c>
    </row>
    <row r="106" spans="1:7" x14ac:dyDescent="0.35">
      <c r="A106">
        <v>2019</v>
      </c>
      <c r="B106" t="s">
        <v>39</v>
      </c>
      <c r="C106" t="s">
        <v>168</v>
      </c>
      <c r="D106" t="s">
        <v>169</v>
      </c>
      <c r="E106" t="s">
        <v>76</v>
      </c>
      <c r="F106" t="s">
        <v>80</v>
      </c>
      <c r="G106">
        <v>17</v>
      </c>
    </row>
    <row r="107" spans="1:7" x14ac:dyDescent="0.35">
      <c r="A107">
        <v>2019</v>
      </c>
      <c r="B107" t="s">
        <v>39</v>
      </c>
      <c r="C107" t="s">
        <v>168</v>
      </c>
      <c r="D107" t="s">
        <v>169</v>
      </c>
      <c r="E107" t="s">
        <v>0</v>
      </c>
      <c r="F107" t="s">
        <v>80</v>
      </c>
      <c r="G107">
        <v>1</v>
      </c>
    </row>
    <row r="108" spans="1:7" x14ac:dyDescent="0.35">
      <c r="A108">
        <v>2019</v>
      </c>
      <c r="B108" t="s">
        <v>39</v>
      </c>
      <c r="C108" t="s">
        <v>168</v>
      </c>
      <c r="D108" t="s">
        <v>169</v>
      </c>
      <c r="E108" t="s">
        <v>118</v>
      </c>
      <c r="F108" t="s">
        <v>80</v>
      </c>
      <c r="G108">
        <v>3</v>
      </c>
    </row>
    <row r="109" spans="1:7" x14ac:dyDescent="0.35">
      <c r="A109">
        <v>2019</v>
      </c>
      <c r="B109" t="s">
        <v>39</v>
      </c>
      <c r="C109" t="s">
        <v>168</v>
      </c>
      <c r="D109" t="s">
        <v>169</v>
      </c>
      <c r="E109" t="s">
        <v>119</v>
      </c>
      <c r="F109" t="s">
        <v>80</v>
      </c>
      <c r="G109">
        <v>0</v>
      </c>
    </row>
    <row r="110" spans="1:7" x14ac:dyDescent="0.35">
      <c r="A110">
        <v>2019</v>
      </c>
      <c r="B110" t="s">
        <v>56</v>
      </c>
      <c r="C110" t="s">
        <v>168</v>
      </c>
      <c r="D110" t="s">
        <v>169</v>
      </c>
      <c r="E110" t="s">
        <v>76</v>
      </c>
      <c r="F110" t="s">
        <v>80</v>
      </c>
      <c r="G110">
        <v>2</v>
      </c>
    </row>
    <row r="111" spans="1:7" x14ac:dyDescent="0.35">
      <c r="A111">
        <v>2019</v>
      </c>
      <c r="B111" t="s">
        <v>56</v>
      </c>
      <c r="C111" t="s">
        <v>168</v>
      </c>
      <c r="D111" t="s">
        <v>169</v>
      </c>
      <c r="E111" t="s">
        <v>0</v>
      </c>
      <c r="F111" t="s">
        <v>80</v>
      </c>
      <c r="G111">
        <v>5</v>
      </c>
    </row>
    <row r="112" spans="1:7" x14ac:dyDescent="0.35">
      <c r="A112">
        <v>2019</v>
      </c>
      <c r="B112" t="s">
        <v>56</v>
      </c>
      <c r="C112" t="s">
        <v>168</v>
      </c>
      <c r="D112" t="s">
        <v>169</v>
      </c>
      <c r="E112" t="s">
        <v>118</v>
      </c>
      <c r="F112" t="s">
        <v>80</v>
      </c>
      <c r="G112">
        <v>18</v>
      </c>
    </row>
    <row r="113" spans="1:7" x14ac:dyDescent="0.35">
      <c r="A113">
        <v>2019</v>
      </c>
      <c r="B113" t="s">
        <v>56</v>
      </c>
      <c r="C113" t="s">
        <v>168</v>
      </c>
      <c r="D113" t="s">
        <v>169</v>
      </c>
      <c r="E113" t="s">
        <v>119</v>
      </c>
      <c r="F113" t="s">
        <v>80</v>
      </c>
      <c r="G113">
        <v>1</v>
      </c>
    </row>
    <row r="114" spans="1:7" x14ac:dyDescent="0.35">
      <c r="A114">
        <v>2019</v>
      </c>
      <c r="B114" t="s">
        <v>40</v>
      </c>
      <c r="C114" t="s">
        <v>168</v>
      </c>
      <c r="D114" t="s">
        <v>169</v>
      </c>
      <c r="E114" t="s">
        <v>76</v>
      </c>
      <c r="F114" t="s">
        <v>80</v>
      </c>
      <c r="G114">
        <v>7</v>
      </c>
    </row>
    <row r="115" spans="1:7" x14ac:dyDescent="0.35">
      <c r="A115">
        <v>2019</v>
      </c>
      <c r="B115" t="s">
        <v>40</v>
      </c>
      <c r="C115" t="s">
        <v>168</v>
      </c>
      <c r="D115" t="s">
        <v>169</v>
      </c>
      <c r="E115" t="s">
        <v>0</v>
      </c>
      <c r="F115" t="s">
        <v>80</v>
      </c>
      <c r="G115">
        <v>5</v>
      </c>
    </row>
    <row r="116" spans="1:7" x14ac:dyDescent="0.35">
      <c r="A116">
        <v>2019</v>
      </c>
      <c r="B116" t="s">
        <v>40</v>
      </c>
      <c r="C116" t="s">
        <v>168</v>
      </c>
      <c r="D116" t="s">
        <v>169</v>
      </c>
      <c r="E116" t="s">
        <v>118</v>
      </c>
      <c r="F116" t="s">
        <v>80</v>
      </c>
      <c r="G116">
        <v>2</v>
      </c>
    </row>
    <row r="117" spans="1:7" x14ac:dyDescent="0.35">
      <c r="A117">
        <v>2019</v>
      </c>
      <c r="B117" t="s">
        <v>40</v>
      </c>
      <c r="C117" t="s">
        <v>168</v>
      </c>
      <c r="D117" t="s">
        <v>169</v>
      </c>
      <c r="E117" t="s">
        <v>119</v>
      </c>
      <c r="F117" t="s">
        <v>80</v>
      </c>
      <c r="G117">
        <v>0</v>
      </c>
    </row>
    <row r="118" spans="1:7" x14ac:dyDescent="0.35">
      <c r="A118">
        <v>2019</v>
      </c>
      <c r="B118" t="s">
        <v>42</v>
      </c>
      <c r="C118" t="s">
        <v>168</v>
      </c>
      <c r="D118" t="s">
        <v>169</v>
      </c>
      <c r="E118" t="s">
        <v>76</v>
      </c>
      <c r="F118" t="s">
        <v>80</v>
      </c>
      <c r="G118">
        <v>11</v>
      </c>
    </row>
    <row r="119" spans="1:7" x14ac:dyDescent="0.35">
      <c r="A119">
        <v>2019</v>
      </c>
      <c r="B119" t="s">
        <v>42</v>
      </c>
      <c r="C119" t="s">
        <v>168</v>
      </c>
      <c r="D119" t="s">
        <v>169</v>
      </c>
      <c r="E119" t="s">
        <v>0</v>
      </c>
      <c r="F119" t="s">
        <v>80</v>
      </c>
      <c r="G119">
        <v>2</v>
      </c>
    </row>
    <row r="120" spans="1:7" x14ac:dyDescent="0.35">
      <c r="A120">
        <v>2019</v>
      </c>
      <c r="B120" t="s">
        <v>42</v>
      </c>
      <c r="C120" t="s">
        <v>168</v>
      </c>
      <c r="D120" t="s">
        <v>169</v>
      </c>
      <c r="E120" t="s">
        <v>118</v>
      </c>
      <c r="F120" t="s">
        <v>80</v>
      </c>
      <c r="G120">
        <v>0</v>
      </c>
    </row>
    <row r="121" spans="1:7" x14ac:dyDescent="0.35">
      <c r="A121">
        <v>2019</v>
      </c>
      <c r="B121" t="s">
        <v>42</v>
      </c>
      <c r="C121" t="s">
        <v>168</v>
      </c>
      <c r="D121" t="s">
        <v>169</v>
      </c>
      <c r="E121" t="s">
        <v>119</v>
      </c>
      <c r="F121" t="s">
        <v>80</v>
      </c>
      <c r="G121">
        <v>1</v>
      </c>
    </row>
    <row r="122" spans="1:7" x14ac:dyDescent="0.35">
      <c r="A122">
        <v>2019</v>
      </c>
      <c r="B122" t="s">
        <v>43</v>
      </c>
      <c r="C122" t="s">
        <v>168</v>
      </c>
      <c r="D122" t="s">
        <v>169</v>
      </c>
      <c r="E122" t="s">
        <v>76</v>
      </c>
      <c r="F122" t="s">
        <v>80</v>
      </c>
      <c r="G122">
        <v>14</v>
      </c>
    </row>
    <row r="123" spans="1:7" x14ac:dyDescent="0.35">
      <c r="A123">
        <v>2019</v>
      </c>
      <c r="B123" t="s">
        <v>43</v>
      </c>
      <c r="C123" t="s">
        <v>168</v>
      </c>
      <c r="D123" t="s">
        <v>169</v>
      </c>
      <c r="E123" t="s">
        <v>0</v>
      </c>
      <c r="F123" t="s">
        <v>80</v>
      </c>
      <c r="G123">
        <v>1</v>
      </c>
    </row>
    <row r="124" spans="1:7" x14ac:dyDescent="0.35">
      <c r="A124">
        <v>2019</v>
      </c>
      <c r="B124" t="s">
        <v>43</v>
      </c>
      <c r="C124" t="s">
        <v>168</v>
      </c>
      <c r="D124" t="s">
        <v>169</v>
      </c>
      <c r="E124" t="s">
        <v>118</v>
      </c>
      <c r="F124" t="s">
        <v>80</v>
      </c>
      <c r="G124">
        <v>0</v>
      </c>
    </row>
    <row r="125" spans="1:7" x14ac:dyDescent="0.35">
      <c r="A125">
        <v>2019</v>
      </c>
      <c r="B125" t="s">
        <v>43</v>
      </c>
      <c r="C125" t="s">
        <v>168</v>
      </c>
      <c r="D125" t="s">
        <v>169</v>
      </c>
      <c r="E125" t="s">
        <v>119</v>
      </c>
      <c r="F125" t="s">
        <v>80</v>
      </c>
      <c r="G125">
        <v>0</v>
      </c>
    </row>
    <row r="126" spans="1:7" x14ac:dyDescent="0.35">
      <c r="A126">
        <v>2019</v>
      </c>
      <c r="B126" t="s">
        <v>44</v>
      </c>
      <c r="C126" t="s">
        <v>168</v>
      </c>
      <c r="D126" t="s">
        <v>169</v>
      </c>
      <c r="E126" t="s">
        <v>76</v>
      </c>
      <c r="F126" t="s">
        <v>80</v>
      </c>
      <c r="G126">
        <v>9</v>
      </c>
    </row>
    <row r="127" spans="1:7" x14ac:dyDescent="0.35">
      <c r="A127">
        <v>2019</v>
      </c>
      <c r="B127" t="s">
        <v>44</v>
      </c>
      <c r="C127" t="s">
        <v>168</v>
      </c>
      <c r="D127" t="s">
        <v>169</v>
      </c>
      <c r="E127" t="s">
        <v>0</v>
      </c>
      <c r="F127" t="s">
        <v>80</v>
      </c>
      <c r="G127">
        <v>0</v>
      </c>
    </row>
    <row r="128" spans="1:7" x14ac:dyDescent="0.35">
      <c r="A128">
        <v>2019</v>
      </c>
      <c r="B128" t="s">
        <v>44</v>
      </c>
      <c r="C128" t="s">
        <v>168</v>
      </c>
      <c r="D128" t="s">
        <v>169</v>
      </c>
      <c r="E128" t="s">
        <v>118</v>
      </c>
      <c r="F128" t="s">
        <v>80</v>
      </c>
      <c r="G128">
        <v>1</v>
      </c>
    </row>
    <row r="129" spans="1:7" x14ac:dyDescent="0.35">
      <c r="A129">
        <v>2019</v>
      </c>
      <c r="B129" t="s">
        <v>44</v>
      </c>
      <c r="C129" t="s">
        <v>168</v>
      </c>
      <c r="D129" t="s">
        <v>169</v>
      </c>
      <c r="E129" t="s">
        <v>119</v>
      </c>
      <c r="F129" t="s">
        <v>80</v>
      </c>
      <c r="G129">
        <v>0</v>
      </c>
    </row>
    <row r="130" spans="1:7" x14ac:dyDescent="0.35">
      <c r="A130">
        <v>2019</v>
      </c>
      <c r="B130" t="s">
        <v>45</v>
      </c>
      <c r="C130" t="s">
        <v>168</v>
      </c>
      <c r="D130" t="s">
        <v>169</v>
      </c>
      <c r="E130" t="s">
        <v>76</v>
      </c>
      <c r="F130" t="s">
        <v>80</v>
      </c>
      <c r="G130">
        <v>8</v>
      </c>
    </row>
    <row r="131" spans="1:7" x14ac:dyDescent="0.35">
      <c r="A131">
        <v>2019</v>
      </c>
      <c r="B131" t="s">
        <v>45</v>
      </c>
      <c r="C131" t="s">
        <v>168</v>
      </c>
      <c r="D131" t="s">
        <v>169</v>
      </c>
      <c r="E131" t="s">
        <v>0</v>
      </c>
      <c r="F131" t="s">
        <v>80</v>
      </c>
      <c r="G131">
        <v>1</v>
      </c>
    </row>
    <row r="132" spans="1:7" x14ac:dyDescent="0.35">
      <c r="A132">
        <v>2019</v>
      </c>
      <c r="B132" t="s">
        <v>45</v>
      </c>
      <c r="C132" t="s">
        <v>168</v>
      </c>
      <c r="D132" t="s">
        <v>169</v>
      </c>
      <c r="E132" t="s">
        <v>118</v>
      </c>
      <c r="F132" t="s">
        <v>80</v>
      </c>
      <c r="G132">
        <v>1</v>
      </c>
    </row>
    <row r="133" spans="1:7" x14ac:dyDescent="0.35">
      <c r="A133">
        <v>2019</v>
      </c>
      <c r="B133" t="s">
        <v>45</v>
      </c>
      <c r="C133" t="s">
        <v>168</v>
      </c>
      <c r="D133" t="s">
        <v>169</v>
      </c>
      <c r="E133" t="s">
        <v>119</v>
      </c>
      <c r="F133" t="s">
        <v>80</v>
      </c>
      <c r="G133">
        <v>0</v>
      </c>
    </row>
    <row r="134" spans="1:7" x14ac:dyDescent="0.35">
      <c r="A134">
        <v>2019</v>
      </c>
      <c r="B134" t="s">
        <v>46</v>
      </c>
      <c r="C134" t="s">
        <v>168</v>
      </c>
      <c r="D134" t="s">
        <v>169</v>
      </c>
      <c r="E134" t="s">
        <v>76</v>
      </c>
      <c r="F134" t="s">
        <v>80</v>
      </c>
      <c r="G134">
        <v>8</v>
      </c>
    </row>
    <row r="135" spans="1:7" x14ac:dyDescent="0.35">
      <c r="A135">
        <v>2019</v>
      </c>
      <c r="B135" t="s">
        <v>46</v>
      </c>
      <c r="C135" t="s">
        <v>168</v>
      </c>
      <c r="D135" t="s">
        <v>169</v>
      </c>
      <c r="E135" t="s">
        <v>0</v>
      </c>
      <c r="F135" t="s">
        <v>80</v>
      </c>
      <c r="G135">
        <v>0</v>
      </c>
    </row>
    <row r="136" spans="1:7" x14ac:dyDescent="0.35">
      <c r="A136">
        <v>2019</v>
      </c>
      <c r="B136" t="s">
        <v>46</v>
      </c>
      <c r="C136" t="s">
        <v>168</v>
      </c>
      <c r="D136" t="s">
        <v>169</v>
      </c>
      <c r="E136" t="s">
        <v>118</v>
      </c>
      <c r="F136" t="s">
        <v>80</v>
      </c>
      <c r="G136">
        <v>0</v>
      </c>
    </row>
    <row r="137" spans="1:7" x14ac:dyDescent="0.35">
      <c r="A137">
        <v>2019</v>
      </c>
      <c r="B137" t="s">
        <v>46</v>
      </c>
      <c r="C137" t="s">
        <v>168</v>
      </c>
      <c r="D137" t="s">
        <v>169</v>
      </c>
      <c r="E137" t="s">
        <v>119</v>
      </c>
      <c r="F137" t="s">
        <v>80</v>
      </c>
      <c r="G137">
        <v>0</v>
      </c>
    </row>
    <row r="138" spans="1:7" x14ac:dyDescent="0.35">
      <c r="A138">
        <v>2019</v>
      </c>
      <c r="B138" t="s">
        <v>47</v>
      </c>
      <c r="C138" t="s">
        <v>168</v>
      </c>
      <c r="D138" t="s">
        <v>169</v>
      </c>
      <c r="E138" t="s">
        <v>76</v>
      </c>
      <c r="F138" t="s">
        <v>80</v>
      </c>
      <c r="G138">
        <v>8</v>
      </c>
    </row>
    <row r="139" spans="1:7" x14ac:dyDescent="0.35">
      <c r="A139">
        <v>2019</v>
      </c>
      <c r="B139" t="s">
        <v>47</v>
      </c>
      <c r="C139" t="s">
        <v>168</v>
      </c>
      <c r="D139" t="s">
        <v>169</v>
      </c>
      <c r="E139" t="s">
        <v>0</v>
      </c>
      <c r="F139" t="s">
        <v>80</v>
      </c>
      <c r="G139">
        <v>2</v>
      </c>
    </row>
    <row r="140" spans="1:7" x14ac:dyDescent="0.35">
      <c r="A140">
        <v>2019</v>
      </c>
      <c r="B140" t="s">
        <v>47</v>
      </c>
      <c r="C140" t="s">
        <v>168</v>
      </c>
      <c r="D140" t="s">
        <v>169</v>
      </c>
      <c r="E140" t="s">
        <v>118</v>
      </c>
      <c r="F140" t="s">
        <v>80</v>
      </c>
      <c r="G140">
        <v>2</v>
      </c>
    </row>
    <row r="141" spans="1:7" x14ac:dyDescent="0.35">
      <c r="A141">
        <v>2019</v>
      </c>
      <c r="B141" t="s">
        <v>47</v>
      </c>
      <c r="C141" t="s">
        <v>168</v>
      </c>
      <c r="D141" t="s">
        <v>169</v>
      </c>
      <c r="E141" t="s">
        <v>119</v>
      </c>
      <c r="F141" t="s">
        <v>80</v>
      </c>
      <c r="G141">
        <v>0</v>
      </c>
    </row>
    <row r="142" spans="1:7" x14ac:dyDescent="0.35">
      <c r="A142">
        <v>2019</v>
      </c>
      <c r="B142" t="s">
        <v>57</v>
      </c>
      <c r="C142" t="s">
        <v>168</v>
      </c>
      <c r="D142" t="s">
        <v>169</v>
      </c>
      <c r="E142" t="s">
        <v>76</v>
      </c>
      <c r="F142" t="s">
        <v>80</v>
      </c>
      <c r="G142">
        <v>0</v>
      </c>
    </row>
    <row r="143" spans="1:7" x14ac:dyDescent="0.35">
      <c r="A143">
        <v>2019</v>
      </c>
      <c r="B143" t="s">
        <v>57</v>
      </c>
      <c r="C143" t="s">
        <v>168</v>
      </c>
      <c r="D143" t="s">
        <v>169</v>
      </c>
      <c r="E143" t="s">
        <v>0</v>
      </c>
      <c r="F143" t="s">
        <v>80</v>
      </c>
      <c r="G143">
        <v>5</v>
      </c>
    </row>
    <row r="144" spans="1:7" x14ac:dyDescent="0.35">
      <c r="A144">
        <v>2019</v>
      </c>
      <c r="B144" t="s">
        <v>57</v>
      </c>
      <c r="C144" t="s">
        <v>168</v>
      </c>
      <c r="D144" t="s">
        <v>169</v>
      </c>
      <c r="E144" t="s">
        <v>118</v>
      </c>
      <c r="F144" t="s">
        <v>80</v>
      </c>
      <c r="G144">
        <v>1</v>
      </c>
    </row>
    <row r="145" spans="1:7" x14ac:dyDescent="0.35">
      <c r="A145">
        <v>2019</v>
      </c>
      <c r="B145" t="s">
        <v>57</v>
      </c>
      <c r="C145" t="s">
        <v>168</v>
      </c>
      <c r="D145" t="s">
        <v>169</v>
      </c>
      <c r="E145" t="s">
        <v>119</v>
      </c>
      <c r="F145" t="s">
        <v>80</v>
      </c>
      <c r="G145">
        <v>0</v>
      </c>
    </row>
    <row r="146" spans="1:7" x14ac:dyDescent="0.35">
      <c r="A146">
        <v>2019</v>
      </c>
      <c r="B146" t="s">
        <v>48</v>
      </c>
      <c r="C146" t="s">
        <v>168</v>
      </c>
      <c r="D146" t="s">
        <v>169</v>
      </c>
      <c r="E146" t="s">
        <v>76</v>
      </c>
      <c r="F146" t="s">
        <v>80</v>
      </c>
      <c r="G146">
        <v>12</v>
      </c>
    </row>
    <row r="147" spans="1:7" x14ac:dyDescent="0.35">
      <c r="A147">
        <v>2019</v>
      </c>
      <c r="B147" t="s">
        <v>48</v>
      </c>
      <c r="C147" t="s">
        <v>168</v>
      </c>
      <c r="D147" t="s">
        <v>169</v>
      </c>
      <c r="E147" t="s">
        <v>0</v>
      </c>
      <c r="F147" t="s">
        <v>80</v>
      </c>
      <c r="G147">
        <v>1</v>
      </c>
    </row>
    <row r="148" spans="1:7" x14ac:dyDescent="0.35">
      <c r="A148">
        <v>2019</v>
      </c>
      <c r="B148" t="s">
        <v>48</v>
      </c>
      <c r="C148" t="s">
        <v>168</v>
      </c>
      <c r="D148" t="s">
        <v>169</v>
      </c>
      <c r="E148" t="s">
        <v>118</v>
      </c>
      <c r="F148" t="s">
        <v>80</v>
      </c>
      <c r="G148">
        <v>4</v>
      </c>
    </row>
    <row r="149" spans="1:7" x14ac:dyDescent="0.35">
      <c r="A149">
        <v>2019</v>
      </c>
      <c r="B149" t="s">
        <v>48</v>
      </c>
      <c r="C149" t="s">
        <v>168</v>
      </c>
      <c r="D149" t="s">
        <v>169</v>
      </c>
      <c r="E149" t="s">
        <v>119</v>
      </c>
      <c r="F149" t="s">
        <v>80</v>
      </c>
      <c r="G149">
        <v>0</v>
      </c>
    </row>
    <row r="150" spans="1:7" x14ac:dyDescent="0.35">
      <c r="A150">
        <v>2019</v>
      </c>
      <c r="B150" t="s">
        <v>49</v>
      </c>
      <c r="C150" t="s">
        <v>168</v>
      </c>
      <c r="D150" t="s">
        <v>169</v>
      </c>
      <c r="E150" t="s">
        <v>76</v>
      </c>
      <c r="F150" t="s">
        <v>80</v>
      </c>
      <c r="G150">
        <v>8</v>
      </c>
    </row>
    <row r="151" spans="1:7" x14ac:dyDescent="0.35">
      <c r="A151">
        <v>2019</v>
      </c>
      <c r="B151" t="s">
        <v>49</v>
      </c>
      <c r="C151" t="s">
        <v>168</v>
      </c>
      <c r="D151" t="s">
        <v>169</v>
      </c>
      <c r="E151" t="s">
        <v>0</v>
      </c>
      <c r="F151" t="s">
        <v>80</v>
      </c>
      <c r="G151">
        <v>1</v>
      </c>
    </row>
    <row r="152" spans="1:7" x14ac:dyDescent="0.35">
      <c r="A152">
        <v>2019</v>
      </c>
      <c r="B152" t="s">
        <v>49</v>
      </c>
      <c r="C152" t="s">
        <v>168</v>
      </c>
      <c r="D152" t="s">
        <v>169</v>
      </c>
      <c r="E152" t="s">
        <v>118</v>
      </c>
      <c r="F152" t="s">
        <v>80</v>
      </c>
      <c r="G152">
        <v>2</v>
      </c>
    </row>
    <row r="153" spans="1:7" x14ac:dyDescent="0.35">
      <c r="A153">
        <v>2019</v>
      </c>
      <c r="B153" t="s">
        <v>49</v>
      </c>
      <c r="C153" t="s">
        <v>168</v>
      </c>
      <c r="D153" t="s">
        <v>169</v>
      </c>
      <c r="E153" t="s">
        <v>119</v>
      </c>
      <c r="F153" t="s">
        <v>80</v>
      </c>
      <c r="G153">
        <v>0</v>
      </c>
    </row>
    <row r="154" spans="1:7" x14ac:dyDescent="0.35">
      <c r="A154">
        <v>2019</v>
      </c>
      <c r="B154" t="s">
        <v>50</v>
      </c>
      <c r="C154" t="s">
        <v>168</v>
      </c>
      <c r="D154" t="s">
        <v>169</v>
      </c>
      <c r="E154" t="s">
        <v>76</v>
      </c>
      <c r="F154" t="s">
        <v>80</v>
      </c>
      <c r="G154">
        <v>0</v>
      </c>
    </row>
    <row r="155" spans="1:7" x14ac:dyDescent="0.35">
      <c r="A155">
        <v>2019</v>
      </c>
      <c r="B155" t="s">
        <v>50</v>
      </c>
      <c r="C155" t="s">
        <v>168</v>
      </c>
      <c r="D155" t="s">
        <v>169</v>
      </c>
      <c r="E155" t="s">
        <v>0</v>
      </c>
      <c r="F155" t="s">
        <v>80</v>
      </c>
      <c r="G155">
        <v>5</v>
      </c>
    </row>
    <row r="156" spans="1:7" x14ac:dyDescent="0.35">
      <c r="A156">
        <v>2019</v>
      </c>
      <c r="B156" t="s">
        <v>50</v>
      </c>
      <c r="C156" t="s">
        <v>168</v>
      </c>
      <c r="D156" t="s">
        <v>169</v>
      </c>
      <c r="E156" t="s">
        <v>118</v>
      </c>
      <c r="F156" t="s">
        <v>80</v>
      </c>
      <c r="G156">
        <v>0</v>
      </c>
    </row>
    <row r="157" spans="1:7" x14ac:dyDescent="0.35">
      <c r="A157">
        <v>2019</v>
      </c>
      <c r="B157" t="s">
        <v>50</v>
      </c>
      <c r="C157" t="s">
        <v>168</v>
      </c>
      <c r="D157" t="s">
        <v>169</v>
      </c>
      <c r="E157" t="s">
        <v>119</v>
      </c>
      <c r="F157" t="s">
        <v>80</v>
      </c>
      <c r="G157">
        <v>0</v>
      </c>
    </row>
    <row r="158" spans="1:7" x14ac:dyDescent="0.35">
      <c r="A158">
        <v>2019</v>
      </c>
      <c r="B158" t="s">
        <v>58</v>
      </c>
      <c r="C158" t="s">
        <v>168</v>
      </c>
      <c r="D158" t="s">
        <v>169</v>
      </c>
      <c r="E158" t="s">
        <v>76</v>
      </c>
      <c r="F158" t="s">
        <v>80</v>
      </c>
      <c r="G158">
        <v>0</v>
      </c>
    </row>
    <row r="159" spans="1:7" x14ac:dyDescent="0.35">
      <c r="A159">
        <v>2019</v>
      </c>
      <c r="B159" t="s">
        <v>58</v>
      </c>
      <c r="C159" t="s">
        <v>168</v>
      </c>
      <c r="D159" t="s">
        <v>169</v>
      </c>
      <c r="E159" t="s">
        <v>0</v>
      </c>
      <c r="F159" t="s">
        <v>80</v>
      </c>
      <c r="G159">
        <v>4</v>
      </c>
    </row>
    <row r="160" spans="1:7" x14ac:dyDescent="0.35">
      <c r="A160">
        <v>2019</v>
      </c>
      <c r="B160" t="s">
        <v>58</v>
      </c>
      <c r="C160" t="s">
        <v>168</v>
      </c>
      <c r="D160" t="s">
        <v>169</v>
      </c>
      <c r="E160" t="s">
        <v>118</v>
      </c>
      <c r="F160" t="s">
        <v>80</v>
      </c>
      <c r="G160">
        <v>3</v>
      </c>
    </row>
    <row r="161" spans="1:7" x14ac:dyDescent="0.35">
      <c r="A161">
        <v>2019</v>
      </c>
      <c r="B161" t="s">
        <v>58</v>
      </c>
      <c r="C161" t="s">
        <v>168</v>
      </c>
      <c r="D161" t="s">
        <v>169</v>
      </c>
      <c r="E161" t="s">
        <v>119</v>
      </c>
      <c r="F161" t="s">
        <v>80</v>
      </c>
      <c r="G161">
        <v>0</v>
      </c>
    </row>
    <row r="162" spans="1:7" x14ac:dyDescent="0.35">
      <c r="A162">
        <v>2019</v>
      </c>
      <c r="B162" t="s">
        <v>51</v>
      </c>
      <c r="C162" t="s">
        <v>168</v>
      </c>
      <c r="D162" t="s">
        <v>169</v>
      </c>
      <c r="E162" t="s">
        <v>76</v>
      </c>
      <c r="F162" t="s">
        <v>80</v>
      </c>
      <c r="G162">
        <v>2</v>
      </c>
    </row>
    <row r="163" spans="1:7" x14ac:dyDescent="0.35">
      <c r="A163">
        <v>2019</v>
      </c>
      <c r="B163" t="s">
        <v>51</v>
      </c>
      <c r="C163" t="s">
        <v>168</v>
      </c>
      <c r="D163" t="s">
        <v>169</v>
      </c>
      <c r="E163" t="s">
        <v>0</v>
      </c>
      <c r="F163" t="s">
        <v>80</v>
      </c>
      <c r="G163">
        <v>0</v>
      </c>
    </row>
    <row r="164" spans="1:7" x14ac:dyDescent="0.35">
      <c r="A164">
        <v>2019</v>
      </c>
      <c r="B164" t="s">
        <v>51</v>
      </c>
      <c r="C164" t="s">
        <v>168</v>
      </c>
      <c r="D164" t="s">
        <v>169</v>
      </c>
      <c r="E164" t="s">
        <v>118</v>
      </c>
      <c r="F164" t="s">
        <v>80</v>
      </c>
      <c r="G164">
        <v>2</v>
      </c>
    </row>
    <row r="165" spans="1:7" x14ac:dyDescent="0.35">
      <c r="A165">
        <v>2019</v>
      </c>
      <c r="B165" t="s">
        <v>51</v>
      </c>
      <c r="C165" t="s">
        <v>168</v>
      </c>
      <c r="D165" t="s">
        <v>169</v>
      </c>
      <c r="E165" t="s">
        <v>119</v>
      </c>
      <c r="F165" t="s">
        <v>80</v>
      </c>
      <c r="G165">
        <v>0</v>
      </c>
    </row>
    <row r="166" spans="1:7" x14ac:dyDescent="0.35">
      <c r="A166">
        <v>2019</v>
      </c>
      <c r="B166" t="s">
        <v>59</v>
      </c>
      <c r="C166" t="s">
        <v>168</v>
      </c>
      <c r="D166" t="s">
        <v>169</v>
      </c>
      <c r="E166" t="s">
        <v>76</v>
      </c>
      <c r="F166" t="s">
        <v>80</v>
      </c>
      <c r="G166">
        <v>0</v>
      </c>
    </row>
    <row r="167" spans="1:7" x14ac:dyDescent="0.35">
      <c r="A167">
        <v>2019</v>
      </c>
      <c r="B167" t="s">
        <v>59</v>
      </c>
      <c r="C167" t="s">
        <v>168</v>
      </c>
      <c r="D167" t="s">
        <v>169</v>
      </c>
      <c r="E167" t="s">
        <v>0</v>
      </c>
      <c r="F167" t="s">
        <v>80</v>
      </c>
      <c r="G167">
        <v>11</v>
      </c>
    </row>
    <row r="168" spans="1:7" x14ac:dyDescent="0.35">
      <c r="A168">
        <v>2019</v>
      </c>
      <c r="B168" t="s">
        <v>59</v>
      </c>
      <c r="C168" t="s">
        <v>168</v>
      </c>
      <c r="D168" t="s">
        <v>169</v>
      </c>
      <c r="E168" t="s">
        <v>118</v>
      </c>
      <c r="F168" t="s">
        <v>80</v>
      </c>
      <c r="G168">
        <v>1</v>
      </c>
    </row>
    <row r="169" spans="1:7" x14ac:dyDescent="0.35">
      <c r="A169">
        <v>2019</v>
      </c>
      <c r="B169" t="s">
        <v>59</v>
      </c>
      <c r="C169" t="s">
        <v>168</v>
      </c>
      <c r="D169" t="s">
        <v>169</v>
      </c>
      <c r="E169" t="s">
        <v>119</v>
      </c>
      <c r="F169" t="s">
        <v>80</v>
      </c>
      <c r="G169">
        <v>0</v>
      </c>
    </row>
    <row r="170" spans="1:7" x14ac:dyDescent="0.35">
      <c r="A170">
        <v>2019</v>
      </c>
      <c r="B170" t="s">
        <v>52</v>
      </c>
      <c r="C170" t="s">
        <v>168</v>
      </c>
      <c r="D170" t="s">
        <v>169</v>
      </c>
      <c r="E170" t="s">
        <v>76</v>
      </c>
      <c r="F170" t="s">
        <v>80</v>
      </c>
      <c r="G170">
        <v>12</v>
      </c>
    </row>
    <row r="171" spans="1:7" x14ac:dyDescent="0.35">
      <c r="A171">
        <v>2019</v>
      </c>
      <c r="B171" t="s">
        <v>52</v>
      </c>
      <c r="C171" t="s">
        <v>168</v>
      </c>
      <c r="D171" t="s">
        <v>169</v>
      </c>
      <c r="E171" t="s">
        <v>0</v>
      </c>
      <c r="F171" t="s">
        <v>80</v>
      </c>
      <c r="G171">
        <v>2</v>
      </c>
    </row>
    <row r="172" spans="1:7" x14ac:dyDescent="0.35">
      <c r="A172">
        <v>2019</v>
      </c>
      <c r="B172" t="s">
        <v>52</v>
      </c>
      <c r="C172" t="s">
        <v>168</v>
      </c>
      <c r="D172" t="s">
        <v>169</v>
      </c>
      <c r="E172" t="s">
        <v>118</v>
      </c>
      <c r="F172" t="s">
        <v>80</v>
      </c>
      <c r="G172">
        <v>0</v>
      </c>
    </row>
    <row r="173" spans="1:7" x14ac:dyDescent="0.35">
      <c r="A173">
        <v>2019</v>
      </c>
      <c r="B173" t="s">
        <v>52</v>
      </c>
      <c r="C173" t="s">
        <v>168</v>
      </c>
      <c r="D173" t="s">
        <v>169</v>
      </c>
      <c r="E173" t="s">
        <v>119</v>
      </c>
      <c r="F173" t="s">
        <v>80</v>
      </c>
      <c r="G173">
        <v>0</v>
      </c>
    </row>
    <row r="174" spans="1:7" x14ac:dyDescent="0.35">
      <c r="A174">
        <v>2019</v>
      </c>
      <c r="B174" t="s">
        <v>60</v>
      </c>
      <c r="C174" t="s">
        <v>168</v>
      </c>
      <c r="D174" t="s">
        <v>169</v>
      </c>
      <c r="E174" t="s">
        <v>76</v>
      </c>
      <c r="F174" t="s">
        <v>80</v>
      </c>
      <c r="G174">
        <v>5</v>
      </c>
    </row>
    <row r="175" spans="1:7" x14ac:dyDescent="0.35">
      <c r="A175">
        <v>2019</v>
      </c>
      <c r="B175" t="s">
        <v>60</v>
      </c>
      <c r="C175" t="s">
        <v>168</v>
      </c>
      <c r="D175" t="s">
        <v>169</v>
      </c>
      <c r="E175" t="s">
        <v>0</v>
      </c>
      <c r="F175" t="s">
        <v>80</v>
      </c>
      <c r="G175">
        <v>9</v>
      </c>
    </row>
    <row r="176" spans="1:7" x14ac:dyDescent="0.35">
      <c r="A176">
        <v>2019</v>
      </c>
      <c r="B176" t="s">
        <v>60</v>
      </c>
      <c r="C176" t="s">
        <v>168</v>
      </c>
      <c r="D176" t="s">
        <v>169</v>
      </c>
      <c r="E176" t="s">
        <v>118</v>
      </c>
      <c r="F176" t="s">
        <v>80</v>
      </c>
      <c r="G176">
        <v>4</v>
      </c>
    </row>
    <row r="177" spans="1:7" x14ac:dyDescent="0.35">
      <c r="A177">
        <v>2019</v>
      </c>
      <c r="B177" t="s">
        <v>60</v>
      </c>
      <c r="C177" t="s">
        <v>168</v>
      </c>
      <c r="D177" t="s">
        <v>169</v>
      </c>
      <c r="E177" t="s">
        <v>119</v>
      </c>
      <c r="F177" t="s">
        <v>80</v>
      </c>
      <c r="G177">
        <v>0</v>
      </c>
    </row>
    <row r="178" spans="1:7" x14ac:dyDescent="0.35">
      <c r="A178">
        <v>2019</v>
      </c>
      <c r="B178" t="s">
        <v>26</v>
      </c>
      <c r="C178" t="s">
        <v>168</v>
      </c>
      <c r="D178" t="s">
        <v>169</v>
      </c>
      <c r="E178" t="s">
        <v>76</v>
      </c>
      <c r="F178" t="s">
        <v>80</v>
      </c>
      <c r="G178">
        <v>18</v>
      </c>
    </row>
    <row r="179" spans="1:7" x14ac:dyDescent="0.35">
      <c r="A179">
        <v>2019</v>
      </c>
      <c r="B179" t="s">
        <v>26</v>
      </c>
      <c r="C179" t="s">
        <v>168</v>
      </c>
      <c r="D179" t="s">
        <v>169</v>
      </c>
      <c r="E179" t="s">
        <v>0</v>
      </c>
      <c r="F179" t="s">
        <v>80</v>
      </c>
      <c r="G179">
        <v>5</v>
      </c>
    </row>
    <row r="180" spans="1:7" x14ac:dyDescent="0.35">
      <c r="A180">
        <v>2019</v>
      </c>
      <c r="B180" t="s">
        <v>26</v>
      </c>
      <c r="C180" t="s">
        <v>168</v>
      </c>
      <c r="D180" t="s">
        <v>169</v>
      </c>
      <c r="E180" t="s">
        <v>118</v>
      </c>
      <c r="F180" t="s">
        <v>80</v>
      </c>
      <c r="G180">
        <v>5</v>
      </c>
    </row>
    <row r="181" spans="1:7" x14ac:dyDescent="0.35">
      <c r="A181">
        <v>2019</v>
      </c>
      <c r="B181" t="s">
        <v>26</v>
      </c>
      <c r="C181" t="s">
        <v>168</v>
      </c>
      <c r="D181" t="s">
        <v>169</v>
      </c>
      <c r="E181" t="s">
        <v>119</v>
      </c>
      <c r="F181" t="s">
        <v>80</v>
      </c>
      <c r="G181">
        <v>0</v>
      </c>
    </row>
    <row r="182" spans="1:7" x14ac:dyDescent="0.35">
      <c r="A182">
        <v>2019</v>
      </c>
      <c r="B182" t="s">
        <v>41</v>
      </c>
      <c r="C182" t="s">
        <v>168</v>
      </c>
      <c r="D182" t="s">
        <v>169</v>
      </c>
      <c r="E182" t="s">
        <v>76</v>
      </c>
      <c r="F182" t="s">
        <v>80</v>
      </c>
      <c r="G182">
        <v>0</v>
      </c>
    </row>
    <row r="183" spans="1:7" x14ac:dyDescent="0.35">
      <c r="A183">
        <v>2019</v>
      </c>
      <c r="B183" t="s">
        <v>41</v>
      </c>
      <c r="C183" t="s">
        <v>168</v>
      </c>
      <c r="D183" t="s">
        <v>169</v>
      </c>
      <c r="E183" t="s">
        <v>0</v>
      </c>
      <c r="F183" t="s">
        <v>80</v>
      </c>
      <c r="G183">
        <v>0</v>
      </c>
    </row>
    <row r="184" spans="1:7" x14ac:dyDescent="0.35">
      <c r="A184">
        <v>2019</v>
      </c>
      <c r="B184" t="s">
        <v>41</v>
      </c>
      <c r="C184" t="s">
        <v>168</v>
      </c>
      <c r="D184" t="s">
        <v>169</v>
      </c>
      <c r="E184" t="s">
        <v>118</v>
      </c>
      <c r="F184" t="s">
        <v>80</v>
      </c>
      <c r="G184">
        <v>0</v>
      </c>
    </row>
    <row r="185" spans="1:7" x14ac:dyDescent="0.35">
      <c r="A185">
        <v>2019</v>
      </c>
      <c r="B185" t="s">
        <v>41</v>
      </c>
      <c r="C185" t="s">
        <v>168</v>
      </c>
      <c r="D185" t="s">
        <v>169</v>
      </c>
      <c r="E185" t="s">
        <v>119</v>
      </c>
      <c r="F185" t="s">
        <v>80</v>
      </c>
      <c r="G185">
        <v>2</v>
      </c>
    </row>
    <row r="186" spans="1:7" x14ac:dyDescent="0.35">
      <c r="A186">
        <v>2019</v>
      </c>
      <c r="B186" t="s">
        <v>15</v>
      </c>
      <c r="C186" t="s">
        <v>168</v>
      </c>
      <c r="D186" t="s">
        <v>169</v>
      </c>
      <c r="E186" t="s">
        <v>76</v>
      </c>
      <c r="F186" t="s">
        <v>81</v>
      </c>
      <c r="G186">
        <v>8</v>
      </c>
    </row>
    <row r="187" spans="1:7" x14ac:dyDescent="0.35">
      <c r="A187">
        <v>2019</v>
      </c>
      <c r="B187" t="s">
        <v>15</v>
      </c>
      <c r="C187" t="s">
        <v>168</v>
      </c>
      <c r="D187" t="s">
        <v>169</v>
      </c>
      <c r="E187" t="s">
        <v>0</v>
      </c>
      <c r="F187" t="s">
        <v>81</v>
      </c>
      <c r="G187">
        <v>11</v>
      </c>
    </row>
    <row r="188" spans="1:7" x14ac:dyDescent="0.35">
      <c r="A188">
        <v>2019</v>
      </c>
      <c r="B188" t="s">
        <v>15</v>
      </c>
      <c r="C188" t="s">
        <v>168</v>
      </c>
      <c r="D188" t="s">
        <v>169</v>
      </c>
      <c r="E188" t="s">
        <v>118</v>
      </c>
      <c r="F188" t="s">
        <v>81</v>
      </c>
      <c r="G188">
        <v>8</v>
      </c>
    </row>
    <row r="189" spans="1:7" x14ac:dyDescent="0.35">
      <c r="A189">
        <v>2019</v>
      </c>
      <c r="B189" t="s">
        <v>15</v>
      </c>
      <c r="C189" t="s">
        <v>168</v>
      </c>
      <c r="D189" t="s">
        <v>169</v>
      </c>
      <c r="E189" t="s">
        <v>119</v>
      </c>
      <c r="F189" t="s">
        <v>81</v>
      </c>
      <c r="G189">
        <v>1</v>
      </c>
    </row>
    <row r="190" spans="1:7" x14ac:dyDescent="0.35">
      <c r="A190">
        <v>2019</v>
      </c>
      <c r="B190" t="s">
        <v>16</v>
      </c>
      <c r="C190" t="s">
        <v>168</v>
      </c>
      <c r="D190" t="s">
        <v>169</v>
      </c>
      <c r="E190" t="s">
        <v>76</v>
      </c>
      <c r="F190" t="s">
        <v>81</v>
      </c>
      <c r="G190">
        <v>12</v>
      </c>
    </row>
    <row r="191" spans="1:7" x14ac:dyDescent="0.35">
      <c r="A191">
        <v>2019</v>
      </c>
      <c r="B191" t="s">
        <v>16</v>
      </c>
      <c r="C191" t="s">
        <v>168</v>
      </c>
      <c r="D191" t="s">
        <v>169</v>
      </c>
      <c r="E191" t="s">
        <v>0</v>
      </c>
      <c r="F191" t="s">
        <v>81</v>
      </c>
      <c r="G191">
        <v>9</v>
      </c>
    </row>
    <row r="192" spans="1:7" x14ac:dyDescent="0.35">
      <c r="A192">
        <v>2019</v>
      </c>
      <c r="B192" t="s">
        <v>16</v>
      </c>
      <c r="C192" t="s">
        <v>168</v>
      </c>
      <c r="D192" t="s">
        <v>169</v>
      </c>
      <c r="E192" t="s">
        <v>118</v>
      </c>
      <c r="F192" t="s">
        <v>81</v>
      </c>
      <c r="G192">
        <v>8</v>
      </c>
    </row>
    <row r="193" spans="1:7" x14ac:dyDescent="0.35">
      <c r="A193">
        <v>2019</v>
      </c>
      <c r="B193" t="s">
        <v>16</v>
      </c>
      <c r="C193" t="s">
        <v>168</v>
      </c>
      <c r="D193" t="s">
        <v>169</v>
      </c>
      <c r="E193" t="s">
        <v>119</v>
      </c>
      <c r="F193" t="s">
        <v>81</v>
      </c>
      <c r="G193">
        <v>1</v>
      </c>
    </row>
    <row r="194" spans="1:7" x14ac:dyDescent="0.35">
      <c r="A194">
        <v>2019</v>
      </c>
      <c r="B194" t="s">
        <v>17</v>
      </c>
      <c r="C194" t="s">
        <v>168</v>
      </c>
      <c r="D194" t="s">
        <v>169</v>
      </c>
      <c r="E194" t="s">
        <v>76</v>
      </c>
      <c r="F194" t="s">
        <v>81</v>
      </c>
      <c r="G194">
        <v>8</v>
      </c>
    </row>
    <row r="195" spans="1:7" x14ac:dyDescent="0.35">
      <c r="A195">
        <v>2019</v>
      </c>
      <c r="B195" t="s">
        <v>17</v>
      </c>
      <c r="C195" t="s">
        <v>168</v>
      </c>
      <c r="D195" t="s">
        <v>169</v>
      </c>
      <c r="E195" t="s">
        <v>0</v>
      </c>
      <c r="F195" t="s">
        <v>81</v>
      </c>
      <c r="G195">
        <v>10</v>
      </c>
    </row>
    <row r="196" spans="1:7" x14ac:dyDescent="0.35">
      <c r="A196">
        <v>2019</v>
      </c>
      <c r="B196" t="s">
        <v>17</v>
      </c>
      <c r="C196" t="s">
        <v>168</v>
      </c>
      <c r="D196" t="s">
        <v>169</v>
      </c>
      <c r="E196" t="s">
        <v>118</v>
      </c>
      <c r="F196" t="s">
        <v>81</v>
      </c>
      <c r="G196">
        <v>13</v>
      </c>
    </row>
    <row r="197" spans="1:7" x14ac:dyDescent="0.35">
      <c r="A197">
        <v>2019</v>
      </c>
      <c r="B197" t="s">
        <v>17</v>
      </c>
      <c r="C197" t="s">
        <v>168</v>
      </c>
      <c r="D197" t="s">
        <v>169</v>
      </c>
      <c r="E197" t="s">
        <v>119</v>
      </c>
      <c r="F197" t="s">
        <v>81</v>
      </c>
      <c r="G197">
        <v>2</v>
      </c>
    </row>
    <row r="198" spans="1:7" x14ac:dyDescent="0.35">
      <c r="A198">
        <v>2019</v>
      </c>
      <c r="B198" t="s">
        <v>18</v>
      </c>
      <c r="C198" t="s">
        <v>168</v>
      </c>
      <c r="D198" t="s">
        <v>169</v>
      </c>
      <c r="E198" t="s">
        <v>76</v>
      </c>
      <c r="F198" t="s">
        <v>81</v>
      </c>
      <c r="G198">
        <v>9</v>
      </c>
    </row>
    <row r="199" spans="1:7" x14ac:dyDescent="0.35">
      <c r="A199">
        <v>2019</v>
      </c>
      <c r="B199" t="s">
        <v>18</v>
      </c>
      <c r="C199" t="s">
        <v>168</v>
      </c>
      <c r="D199" t="s">
        <v>169</v>
      </c>
      <c r="E199" t="s">
        <v>0</v>
      </c>
      <c r="F199" t="s">
        <v>81</v>
      </c>
      <c r="G199">
        <v>14</v>
      </c>
    </row>
    <row r="200" spans="1:7" x14ac:dyDescent="0.35">
      <c r="A200">
        <v>2019</v>
      </c>
      <c r="B200" t="s">
        <v>18</v>
      </c>
      <c r="C200" t="s">
        <v>168</v>
      </c>
      <c r="D200" t="s">
        <v>169</v>
      </c>
      <c r="E200" t="s">
        <v>118</v>
      </c>
      <c r="F200" t="s">
        <v>81</v>
      </c>
      <c r="G200">
        <v>0</v>
      </c>
    </row>
    <row r="201" spans="1:7" x14ac:dyDescent="0.35">
      <c r="A201">
        <v>2019</v>
      </c>
      <c r="B201" t="s">
        <v>18</v>
      </c>
      <c r="C201" t="s">
        <v>168</v>
      </c>
      <c r="D201" t="s">
        <v>169</v>
      </c>
      <c r="E201" t="s">
        <v>119</v>
      </c>
      <c r="F201" t="s">
        <v>81</v>
      </c>
      <c r="G201">
        <v>0</v>
      </c>
    </row>
    <row r="202" spans="1:7" x14ac:dyDescent="0.35">
      <c r="A202">
        <v>2019</v>
      </c>
      <c r="B202" t="s">
        <v>19</v>
      </c>
      <c r="C202" t="s">
        <v>168</v>
      </c>
      <c r="D202" t="s">
        <v>169</v>
      </c>
      <c r="E202" t="s">
        <v>76</v>
      </c>
      <c r="F202" t="s">
        <v>81</v>
      </c>
      <c r="G202">
        <v>17</v>
      </c>
    </row>
    <row r="203" spans="1:7" x14ac:dyDescent="0.35">
      <c r="A203">
        <v>2019</v>
      </c>
      <c r="B203" t="s">
        <v>19</v>
      </c>
      <c r="C203" t="s">
        <v>168</v>
      </c>
      <c r="D203" t="s">
        <v>169</v>
      </c>
      <c r="E203" t="s">
        <v>0</v>
      </c>
      <c r="F203" t="s">
        <v>81</v>
      </c>
      <c r="G203">
        <v>12</v>
      </c>
    </row>
    <row r="204" spans="1:7" x14ac:dyDescent="0.35">
      <c r="A204">
        <v>2019</v>
      </c>
      <c r="B204" t="s">
        <v>19</v>
      </c>
      <c r="C204" t="s">
        <v>168</v>
      </c>
      <c r="D204" t="s">
        <v>169</v>
      </c>
      <c r="E204" t="s">
        <v>118</v>
      </c>
      <c r="F204" t="s">
        <v>81</v>
      </c>
      <c r="G204">
        <v>15</v>
      </c>
    </row>
    <row r="205" spans="1:7" x14ac:dyDescent="0.35">
      <c r="A205">
        <v>2019</v>
      </c>
      <c r="B205" t="s">
        <v>19</v>
      </c>
      <c r="C205" t="s">
        <v>168</v>
      </c>
      <c r="D205" t="s">
        <v>169</v>
      </c>
      <c r="E205" t="s">
        <v>119</v>
      </c>
      <c r="F205" t="s">
        <v>81</v>
      </c>
      <c r="G205">
        <v>6</v>
      </c>
    </row>
    <row r="206" spans="1:7" x14ac:dyDescent="0.35">
      <c r="A206">
        <v>2019</v>
      </c>
      <c r="B206" t="s">
        <v>20</v>
      </c>
      <c r="C206" t="s">
        <v>168</v>
      </c>
      <c r="D206" t="s">
        <v>169</v>
      </c>
      <c r="E206" t="s">
        <v>76</v>
      </c>
      <c r="F206" t="s">
        <v>81</v>
      </c>
      <c r="G206">
        <v>12</v>
      </c>
    </row>
    <row r="207" spans="1:7" x14ac:dyDescent="0.35">
      <c r="A207">
        <v>2019</v>
      </c>
      <c r="B207" t="s">
        <v>20</v>
      </c>
      <c r="C207" t="s">
        <v>168</v>
      </c>
      <c r="D207" t="s">
        <v>169</v>
      </c>
      <c r="E207" t="s">
        <v>0</v>
      </c>
      <c r="F207" t="s">
        <v>81</v>
      </c>
      <c r="G207">
        <v>28</v>
      </c>
    </row>
    <row r="208" spans="1:7" x14ac:dyDescent="0.35">
      <c r="A208">
        <v>2019</v>
      </c>
      <c r="B208" t="s">
        <v>20</v>
      </c>
      <c r="C208" t="s">
        <v>168</v>
      </c>
      <c r="D208" t="s">
        <v>169</v>
      </c>
      <c r="E208" t="s">
        <v>118</v>
      </c>
      <c r="F208" t="s">
        <v>81</v>
      </c>
      <c r="G208">
        <v>3</v>
      </c>
    </row>
    <row r="209" spans="1:7" x14ac:dyDescent="0.35">
      <c r="A209">
        <v>2019</v>
      </c>
      <c r="B209" t="s">
        <v>20</v>
      </c>
      <c r="C209" t="s">
        <v>168</v>
      </c>
      <c r="D209" t="s">
        <v>169</v>
      </c>
      <c r="E209" t="s">
        <v>119</v>
      </c>
      <c r="F209" t="s">
        <v>81</v>
      </c>
      <c r="G209">
        <v>0</v>
      </c>
    </row>
    <row r="210" spans="1:7" x14ac:dyDescent="0.35">
      <c r="A210">
        <v>2019</v>
      </c>
      <c r="B210" t="s">
        <v>21</v>
      </c>
      <c r="C210" t="s">
        <v>168</v>
      </c>
      <c r="D210" t="s">
        <v>169</v>
      </c>
      <c r="E210" t="s">
        <v>76</v>
      </c>
      <c r="F210" t="s">
        <v>81</v>
      </c>
      <c r="G210">
        <v>8</v>
      </c>
    </row>
    <row r="211" spans="1:7" x14ac:dyDescent="0.35">
      <c r="A211">
        <v>2019</v>
      </c>
      <c r="B211" t="s">
        <v>21</v>
      </c>
      <c r="C211" t="s">
        <v>168</v>
      </c>
      <c r="D211" t="s">
        <v>169</v>
      </c>
      <c r="E211" t="s">
        <v>0</v>
      </c>
      <c r="F211" t="s">
        <v>81</v>
      </c>
      <c r="G211">
        <v>22</v>
      </c>
    </row>
    <row r="212" spans="1:7" x14ac:dyDescent="0.35">
      <c r="A212">
        <v>2019</v>
      </c>
      <c r="B212" t="s">
        <v>21</v>
      </c>
      <c r="C212" t="s">
        <v>168</v>
      </c>
      <c r="D212" t="s">
        <v>169</v>
      </c>
      <c r="E212" t="s">
        <v>118</v>
      </c>
      <c r="F212" t="s">
        <v>81</v>
      </c>
      <c r="G212">
        <v>2</v>
      </c>
    </row>
    <row r="213" spans="1:7" x14ac:dyDescent="0.35">
      <c r="A213">
        <v>2019</v>
      </c>
      <c r="B213" t="s">
        <v>21</v>
      </c>
      <c r="C213" t="s">
        <v>168</v>
      </c>
      <c r="D213" t="s">
        <v>169</v>
      </c>
      <c r="E213" t="s">
        <v>119</v>
      </c>
      <c r="F213" t="s">
        <v>81</v>
      </c>
      <c r="G213">
        <v>0</v>
      </c>
    </row>
    <row r="214" spans="1:7" x14ac:dyDescent="0.35">
      <c r="A214">
        <v>2019</v>
      </c>
      <c r="B214" t="s">
        <v>22</v>
      </c>
      <c r="C214" t="s">
        <v>168</v>
      </c>
      <c r="D214" t="s">
        <v>169</v>
      </c>
      <c r="E214" t="s">
        <v>76</v>
      </c>
      <c r="F214" t="s">
        <v>81</v>
      </c>
      <c r="G214">
        <v>18</v>
      </c>
    </row>
    <row r="215" spans="1:7" x14ac:dyDescent="0.35">
      <c r="A215">
        <v>2019</v>
      </c>
      <c r="B215" t="s">
        <v>22</v>
      </c>
      <c r="C215" t="s">
        <v>168</v>
      </c>
      <c r="D215" t="s">
        <v>169</v>
      </c>
      <c r="E215" t="s">
        <v>0</v>
      </c>
      <c r="F215" t="s">
        <v>81</v>
      </c>
      <c r="G215">
        <v>5</v>
      </c>
    </row>
    <row r="216" spans="1:7" x14ac:dyDescent="0.35">
      <c r="A216">
        <v>2019</v>
      </c>
      <c r="B216" t="s">
        <v>22</v>
      </c>
      <c r="C216" t="s">
        <v>168</v>
      </c>
      <c r="D216" t="s">
        <v>169</v>
      </c>
      <c r="E216" t="s">
        <v>118</v>
      </c>
      <c r="F216" t="s">
        <v>81</v>
      </c>
      <c r="G216">
        <v>10</v>
      </c>
    </row>
    <row r="217" spans="1:7" x14ac:dyDescent="0.35">
      <c r="A217">
        <v>2019</v>
      </c>
      <c r="B217" t="s">
        <v>22</v>
      </c>
      <c r="C217" t="s">
        <v>168</v>
      </c>
      <c r="D217" t="s">
        <v>169</v>
      </c>
      <c r="E217" t="s">
        <v>119</v>
      </c>
      <c r="F217" t="s">
        <v>81</v>
      </c>
      <c r="G217">
        <v>0</v>
      </c>
    </row>
    <row r="218" spans="1:7" x14ac:dyDescent="0.35">
      <c r="A218">
        <v>2019</v>
      </c>
      <c r="B218" t="s">
        <v>23</v>
      </c>
      <c r="C218" t="s">
        <v>168</v>
      </c>
      <c r="D218" t="s">
        <v>169</v>
      </c>
      <c r="E218" t="s">
        <v>76</v>
      </c>
      <c r="F218" t="s">
        <v>81</v>
      </c>
      <c r="G218">
        <v>5</v>
      </c>
    </row>
    <row r="219" spans="1:7" x14ac:dyDescent="0.35">
      <c r="A219">
        <v>2019</v>
      </c>
      <c r="B219" t="s">
        <v>23</v>
      </c>
      <c r="C219" t="s">
        <v>168</v>
      </c>
      <c r="D219" t="s">
        <v>169</v>
      </c>
      <c r="E219" t="s">
        <v>0</v>
      </c>
      <c r="F219" t="s">
        <v>81</v>
      </c>
      <c r="G219">
        <v>5</v>
      </c>
    </row>
    <row r="220" spans="1:7" x14ac:dyDescent="0.35">
      <c r="A220">
        <v>2019</v>
      </c>
      <c r="B220" t="s">
        <v>23</v>
      </c>
      <c r="C220" t="s">
        <v>168</v>
      </c>
      <c r="D220" t="s">
        <v>169</v>
      </c>
      <c r="E220" t="s">
        <v>118</v>
      </c>
      <c r="F220" t="s">
        <v>81</v>
      </c>
      <c r="G220">
        <v>2</v>
      </c>
    </row>
    <row r="221" spans="1:7" x14ac:dyDescent="0.35">
      <c r="A221">
        <v>2019</v>
      </c>
      <c r="B221" t="s">
        <v>23</v>
      </c>
      <c r="C221" t="s">
        <v>168</v>
      </c>
      <c r="D221" t="s">
        <v>169</v>
      </c>
      <c r="E221" t="s">
        <v>119</v>
      </c>
      <c r="F221" t="s">
        <v>81</v>
      </c>
      <c r="G221">
        <v>0</v>
      </c>
    </row>
    <row r="222" spans="1:7" x14ac:dyDescent="0.35">
      <c r="A222">
        <v>2019</v>
      </c>
      <c r="B222" t="s">
        <v>24</v>
      </c>
      <c r="C222" t="s">
        <v>168</v>
      </c>
      <c r="D222" t="s">
        <v>169</v>
      </c>
      <c r="E222" t="s">
        <v>76</v>
      </c>
      <c r="F222" t="s">
        <v>81</v>
      </c>
      <c r="G222">
        <v>17</v>
      </c>
    </row>
    <row r="223" spans="1:7" x14ac:dyDescent="0.35">
      <c r="A223">
        <v>2019</v>
      </c>
      <c r="B223" t="s">
        <v>24</v>
      </c>
      <c r="C223" t="s">
        <v>168</v>
      </c>
      <c r="D223" t="s">
        <v>169</v>
      </c>
      <c r="E223" t="s">
        <v>0</v>
      </c>
      <c r="F223" t="s">
        <v>81</v>
      </c>
      <c r="G223">
        <v>24</v>
      </c>
    </row>
    <row r="224" spans="1:7" x14ac:dyDescent="0.35">
      <c r="A224">
        <v>2019</v>
      </c>
      <c r="B224" t="s">
        <v>24</v>
      </c>
      <c r="C224" t="s">
        <v>168</v>
      </c>
      <c r="D224" t="s">
        <v>169</v>
      </c>
      <c r="E224" t="s">
        <v>118</v>
      </c>
      <c r="F224" t="s">
        <v>81</v>
      </c>
      <c r="G224">
        <v>8</v>
      </c>
    </row>
    <row r="225" spans="1:7" x14ac:dyDescent="0.35">
      <c r="A225">
        <v>2019</v>
      </c>
      <c r="B225" t="s">
        <v>24</v>
      </c>
      <c r="C225" t="s">
        <v>168</v>
      </c>
      <c r="D225" t="s">
        <v>169</v>
      </c>
      <c r="E225" t="s">
        <v>119</v>
      </c>
      <c r="F225" t="s">
        <v>81</v>
      </c>
      <c r="G225">
        <v>0</v>
      </c>
    </row>
    <row r="226" spans="1:7" x14ac:dyDescent="0.35">
      <c r="A226">
        <v>2019</v>
      </c>
      <c r="B226" t="s">
        <v>25</v>
      </c>
      <c r="C226" t="s">
        <v>168</v>
      </c>
      <c r="D226" t="s">
        <v>169</v>
      </c>
      <c r="E226" t="s">
        <v>76</v>
      </c>
      <c r="F226" t="s">
        <v>81</v>
      </c>
      <c r="G226">
        <v>57</v>
      </c>
    </row>
    <row r="227" spans="1:7" x14ac:dyDescent="0.35">
      <c r="A227">
        <v>2019</v>
      </c>
      <c r="B227" t="s">
        <v>25</v>
      </c>
      <c r="C227" t="s">
        <v>168</v>
      </c>
      <c r="D227" t="s">
        <v>169</v>
      </c>
      <c r="E227" t="s">
        <v>0</v>
      </c>
      <c r="F227" t="s">
        <v>81</v>
      </c>
      <c r="G227">
        <v>2</v>
      </c>
    </row>
    <row r="228" spans="1:7" x14ac:dyDescent="0.35">
      <c r="A228">
        <v>2019</v>
      </c>
      <c r="B228" t="s">
        <v>25</v>
      </c>
      <c r="C228" t="s">
        <v>168</v>
      </c>
      <c r="D228" t="s">
        <v>169</v>
      </c>
      <c r="E228" t="s">
        <v>118</v>
      </c>
      <c r="F228" t="s">
        <v>81</v>
      </c>
      <c r="G228">
        <v>6</v>
      </c>
    </row>
    <row r="229" spans="1:7" x14ac:dyDescent="0.35">
      <c r="A229">
        <v>2019</v>
      </c>
      <c r="B229" t="s">
        <v>25</v>
      </c>
      <c r="C229" t="s">
        <v>168</v>
      </c>
      <c r="D229" t="s">
        <v>169</v>
      </c>
      <c r="E229" t="s">
        <v>119</v>
      </c>
      <c r="F229" t="s">
        <v>81</v>
      </c>
      <c r="G229">
        <v>0</v>
      </c>
    </row>
    <row r="230" spans="1:7" x14ac:dyDescent="0.35">
      <c r="A230">
        <v>2019</v>
      </c>
      <c r="B230" t="s">
        <v>27</v>
      </c>
      <c r="C230" t="s">
        <v>168</v>
      </c>
      <c r="D230" t="s">
        <v>169</v>
      </c>
      <c r="E230" t="s">
        <v>76</v>
      </c>
      <c r="F230" t="s">
        <v>81</v>
      </c>
      <c r="G230">
        <v>11</v>
      </c>
    </row>
    <row r="231" spans="1:7" x14ac:dyDescent="0.35">
      <c r="A231">
        <v>2019</v>
      </c>
      <c r="B231" t="s">
        <v>27</v>
      </c>
      <c r="C231" t="s">
        <v>168</v>
      </c>
      <c r="D231" t="s">
        <v>169</v>
      </c>
      <c r="E231" t="s">
        <v>0</v>
      </c>
      <c r="F231" t="s">
        <v>81</v>
      </c>
      <c r="G231">
        <v>0</v>
      </c>
    </row>
    <row r="232" spans="1:7" x14ac:dyDescent="0.35">
      <c r="A232">
        <v>2019</v>
      </c>
      <c r="B232" t="s">
        <v>27</v>
      </c>
      <c r="C232" t="s">
        <v>168</v>
      </c>
      <c r="D232" t="s">
        <v>169</v>
      </c>
      <c r="E232" t="s">
        <v>118</v>
      </c>
      <c r="F232" t="s">
        <v>81</v>
      </c>
      <c r="G232">
        <v>5</v>
      </c>
    </row>
    <row r="233" spans="1:7" x14ac:dyDescent="0.35">
      <c r="A233">
        <v>2019</v>
      </c>
      <c r="B233" t="s">
        <v>27</v>
      </c>
      <c r="C233" t="s">
        <v>168</v>
      </c>
      <c r="D233" t="s">
        <v>169</v>
      </c>
      <c r="E233" t="s">
        <v>119</v>
      </c>
      <c r="F233" t="s">
        <v>81</v>
      </c>
      <c r="G233">
        <v>0</v>
      </c>
    </row>
    <row r="234" spans="1:7" x14ac:dyDescent="0.35">
      <c r="A234">
        <v>2019</v>
      </c>
      <c r="B234" t="s">
        <v>28</v>
      </c>
      <c r="C234" t="s">
        <v>168</v>
      </c>
      <c r="D234" t="s">
        <v>169</v>
      </c>
      <c r="E234" t="s">
        <v>76</v>
      </c>
      <c r="F234" t="s">
        <v>81</v>
      </c>
      <c r="G234">
        <v>12</v>
      </c>
    </row>
    <row r="235" spans="1:7" x14ac:dyDescent="0.35">
      <c r="A235">
        <v>2019</v>
      </c>
      <c r="B235" t="s">
        <v>28</v>
      </c>
      <c r="C235" t="s">
        <v>168</v>
      </c>
      <c r="D235" t="s">
        <v>169</v>
      </c>
      <c r="E235" t="s">
        <v>0</v>
      </c>
      <c r="F235" t="s">
        <v>81</v>
      </c>
      <c r="G235">
        <v>1</v>
      </c>
    </row>
    <row r="236" spans="1:7" x14ac:dyDescent="0.35">
      <c r="A236">
        <v>2019</v>
      </c>
      <c r="B236" t="s">
        <v>28</v>
      </c>
      <c r="C236" t="s">
        <v>168</v>
      </c>
      <c r="D236" t="s">
        <v>169</v>
      </c>
      <c r="E236" t="s">
        <v>118</v>
      </c>
      <c r="F236" t="s">
        <v>81</v>
      </c>
      <c r="G236">
        <v>5</v>
      </c>
    </row>
    <row r="237" spans="1:7" x14ac:dyDescent="0.35">
      <c r="A237">
        <v>2019</v>
      </c>
      <c r="B237" t="s">
        <v>28</v>
      </c>
      <c r="C237" t="s">
        <v>168</v>
      </c>
      <c r="D237" t="s">
        <v>169</v>
      </c>
      <c r="E237" t="s">
        <v>119</v>
      </c>
      <c r="F237" t="s">
        <v>81</v>
      </c>
      <c r="G237">
        <v>0</v>
      </c>
    </row>
    <row r="238" spans="1:7" x14ac:dyDescent="0.35">
      <c r="A238">
        <v>2019</v>
      </c>
      <c r="B238" t="s">
        <v>29</v>
      </c>
      <c r="C238" t="s">
        <v>168</v>
      </c>
      <c r="D238" t="s">
        <v>169</v>
      </c>
      <c r="E238" t="s">
        <v>76</v>
      </c>
      <c r="F238" t="s">
        <v>81</v>
      </c>
      <c r="G238">
        <v>29</v>
      </c>
    </row>
    <row r="239" spans="1:7" x14ac:dyDescent="0.35">
      <c r="A239">
        <v>2019</v>
      </c>
      <c r="B239" t="s">
        <v>29</v>
      </c>
      <c r="C239" t="s">
        <v>168</v>
      </c>
      <c r="D239" t="s">
        <v>169</v>
      </c>
      <c r="E239" t="s">
        <v>0</v>
      </c>
      <c r="F239" t="s">
        <v>81</v>
      </c>
      <c r="G239">
        <v>36</v>
      </c>
    </row>
    <row r="240" spans="1:7" x14ac:dyDescent="0.35">
      <c r="A240">
        <v>2019</v>
      </c>
      <c r="B240" t="s">
        <v>29</v>
      </c>
      <c r="C240" t="s">
        <v>168</v>
      </c>
      <c r="D240" t="s">
        <v>169</v>
      </c>
      <c r="E240" t="s">
        <v>118</v>
      </c>
      <c r="F240" t="s">
        <v>81</v>
      </c>
      <c r="G240">
        <v>9</v>
      </c>
    </row>
    <row r="241" spans="1:7" x14ac:dyDescent="0.35">
      <c r="A241">
        <v>2019</v>
      </c>
      <c r="B241" t="s">
        <v>29</v>
      </c>
      <c r="C241" t="s">
        <v>168</v>
      </c>
      <c r="D241" t="s">
        <v>169</v>
      </c>
      <c r="E241" t="s">
        <v>119</v>
      </c>
      <c r="F241" t="s">
        <v>81</v>
      </c>
      <c r="G241">
        <v>1</v>
      </c>
    </row>
    <row r="242" spans="1:7" x14ac:dyDescent="0.35">
      <c r="A242">
        <v>2019</v>
      </c>
      <c r="B242" t="s">
        <v>30</v>
      </c>
      <c r="C242" t="s">
        <v>168</v>
      </c>
      <c r="D242" t="s">
        <v>169</v>
      </c>
      <c r="E242" t="s">
        <v>76</v>
      </c>
      <c r="F242" t="s">
        <v>81</v>
      </c>
      <c r="G242">
        <v>19</v>
      </c>
    </row>
    <row r="243" spans="1:7" x14ac:dyDescent="0.35">
      <c r="A243">
        <v>2019</v>
      </c>
      <c r="B243" t="s">
        <v>30</v>
      </c>
      <c r="C243" t="s">
        <v>168</v>
      </c>
      <c r="D243" t="s">
        <v>169</v>
      </c>
      <c r="E243" t="s">
        <v>0</v>
      </c>
      <c r="F243" t="s">
        <v>81</v>
      </c>
      <c r="G243">
        <v>2</v>
      </c>
    </row>
    <row r="244" spans="1:7" x14ac:dyDescent="0.35">
      <c r="A244">
        <v>2019</v>
      </c>
      <c r="B244" t="s">
        <v>30</v>
      </c>
      <c r="C244" t="s">
        <v>168</v>
      </c>
      <c r="D244" t="s">
        <v>169</v>
      </c>
      <c r="E244" t="s">
        <v>118</v>
      </c>
      <c r="F244" t="s">
        <v>81</v>
      </c>
      <c r="G244">
        <v>0</v>
      </c>
    </row>
    <row r="245" spans="1:7" x14ac:dyDescent="0.35">
      <c r="A245">
        <v>2019</v>
      </c>
      <c r="B245" t="s">
        <v>30</v>
      </c>
      <c r="C245" t="s">
        <v>168</v>
      </c>
      <c r="D245" t="s">
        <v>169</v>
      </c>
      <c r="E245" t="s">
        <v>119</v>
      </c>
      <c r="F245" t="s">
        <v>81</v>
      </c>
      <c r="G245">
        <v>0</v>
      </c>
    </row>
    <row r="246" spans="1:7" x14ac:dyDescent="0.35">
      <c r="A246">
        <v>2019</v>
      </c>
      <c r="B246" t="s">
        <v>61</v>
      </c>
      <c r="C246" t="s">
        <v>168</v>
      </c>
      <c r="D246" t="s">
        <v>169</v>
      </c>
      <c r="E246" t="s">
        <v>76</v>
      </c>
      <c r="F246" t="s">
        <v>81</v>
      </c>
      <c r="G246">
        <v>0</v>
      </c>
    </row>
    <row r="247" spans="1:7" x14ac:dyDescent="0.35">
      <c r="A247">
        <v>2019</v>
      </c>
      <c r="B247" t="s">
        <v>61</v>
      </c>
      <c r="C247" t="s">
        <v>168</v>
      </c>
      <c r="D247" t="s">
        <v>169</v>
      </c>
      <c r="E247" t="s">
        <v>0</v>
      </c>
      <c r="F247" t="s">
        <v>81</v>
      </c>
      <c r="G247">
        <v>283</v>
      </c>
    </row>
    <row r="248" spans="1:7" x14ac:dyDescent="0.35">
      <c r="A248">
        <v>2019</v>
      </c>
      <c r="B248" t="s">
        <v>61</v>
      </c>
      <c r="C248" t="s">
        <v>168</v>
      </c>
      <c r="D248" t="s">
        <v>169</v>
      </c>
      <c r="E248" t="s">
        <v>118</v>
      </c>
      <c r="F248" t="s">
        <v>81</v>
      </c>
      <c r="G248">
        <v>39</v>
      </c>
    </row>
    <row r="249" spans="1:7" x14ac:dyDescent="0.35">
      <c r="A249">
        <v>2019</v>
      </c>
      <c r="B249" t="s">
        <v>61</v>
      </c>
      <c r="C249" t="s">
        <v>168</v>
      </c>
      <c r="D249" t="s">
        <v>169</v>
      </c>
      <c r="E249" t="s">
        <v>119</v>
      </c>
      <c r="F249" t="s">
        <v>81</v>
      </c>
      <c r="G249">
        <v>1</v>
      </c>
    </row>
    <row r="250" spans="1:7" x14ac:dyDescent="0.35">
      <c r="A250">
        <v>2019</v>
      </c>
      <c r="B250" t="s">
        <v>55</v>
      </c>
      <c r="C250" t="s">
        <v>168</v>
      </c>
      <c r="D250" t="s">
        <v>169</v>
      </c>
      <c r="E250" t="s">
        <v>76</v>
      </c>
      <c r="F250" t="s">
        <v>81</v>
      </c>
      <c r="G250">
        <v>0</v>
      </c>
    </row>
    <row r="251" spans="1:7" x14ac:dyDescent="0.35">
      <c r="A251">
        <v>2019</v>
      </c>
      <c r="B251" t="s">
        <v>55</v>
      </c>
      <c r="C251" t="s">
        <v>168</v>
      </c>
      <c r="D251" t="s">
        <v>169</v>
      </c>
      <c r="E251" t="s">
        <v>0</v>
      </c>
      <c r="F251" t="s">
        <v>81</v>
      </c>
      <c r="G251">
        <v>82</v>
      </c>
    </row>
    <row r="252" spans="1:7" x14ac:dyDescent="0.35">
      <c r="A252">
        <v>2019</v>
      </c>
      <c r="B252" t="s">
        <v>55</v>
      </c>
      <c r="C252" t="s">
        <v>168</v>
      </c>
      <c r="D252" t="s">
        <v>169</v>
      </c>
      <c r="E252" t="s">
        <v>118</v>
      </c>
      <c r="F252" t="s">
        <v>81</v>
      </c>
      <c r="G252">
        <v>17</v>
      </c>
    </row>
    <row r="253" spans="1:7" x14ac:dyDescent="0.35">
      <c r="A253">
        <v>2019</v>
      </c>
      <c r="B253" t="s">
        <v>55</v>
      </c>
      <c r="C253" t="s">
        <v>168</v>
      </c>
      <c r="D253" t="s">
        <v>169</v>
      </c>
      <c r="E253" t="s">
        <v>119</v>
      </c>
      <c r="F253" t="s">
        <v>81</v>
      </c>
      <c r="G253">
        <v>0</v>
      </c>
    </row>
    <row r="254" spans="1:7" x14ac:dyDescent="0.35">
      <c r="A254">
        <v>2019</v>
      </c>
      <c r="B254" t="s">
        <v>31</v>
      </c>
      <c r="C254" t="s">
        <v>168</v>
      </c>
      <c r="D254" t="s">
        <v>169</v>
      </c>
      <c r="E254" t="s">
        <v>76</v>
      </c>
      <c r="F254" t="s">
        <v>81</v>
      </c>
      <c r="G254">
        <v>39</v>
      </c>
    </row>
    <row r="255" spans="1:7" x14ac:dyDescent="0.35">
      <c r="A255">
        <v>2019</v>
      </c>
      <c r="B255" t="s">
        <v>31</v>
      </c>
      <c r="C255" t="s">
        <v>168</v>
      </c>
      <c r="D255" t="s">
        <v>169</v>
      </c>
      <c r="E255" t="s">
        <v>0</v>
      </c>
      <c r="F255" t="s">
        <v>81</v>
      </c>
      <c r="G255">
        <v>19</v>
      </c>
    </row>
    <row r="256" spans="1:7" x14ac:dyDescent="0.35">
      <c r="A256">
        <v>2019</v>
      </c>
      <c r="B256" t="s">
        <v>31</v>
      </c>
      <c r="C256" t="s">
        <v>168</v>
      </c>
      <c r="D256" t="s">
        <v>169</v>
      </c>
      <c r="E256" t="s">
        <v>118</v>
      </c>
      <c r="F256" t="s">
        <v>81</v>
      </c>
      <c r="G256">
        <v>13</v>
      </c>
    </row>
    <row r="257" spans="1:7" x14ac:dyDescent="0.35">
      <c r="A257">
        <v>2019</v>
      </c>
      <c r="B257" t="s">
        <v>31</v>
      </c>
      <c r="C257" t="s">
        <v>168</v>
      </c>
      <c r="D257" t="s">
        <v>169</v>
      </c>
      <c r="E257" t="s">
        <v>119</v>
      </c>
      <c r="F257" t="s">
        <v>81</v>
      </c>
      <c r="G257">
        <v>3</v>
      </c>
    </row>
    <row r="258" spans="1:7" x14ac:dyDescent="0.35">
      <c r="A258">
        <v>2019</v>
      </c>
      <c r="B258" t="s">
        <v>32</v>
      </c>
      <c r="C258" t="s">
        <v>168</v>
      </c>
      <c r="D258" t="s">
        <v>169</v>
      </c>
      <c r="E258" t="s">
        <v>76</v>
      </c>
      <c r="F258" t="s">
        <v>81</v>
      </c>
      <c r="G258">
        <v>33</v>
      </c>
    </row>
    <row r="259" spans="1:7" x14ac:dyDescent="0.35">
      <c r="A259">
        <v>2019</v>
      </c>
      <c r="B259" t="s">
        <v>32</v>
      </c>
      <c r="C259" t="s">
        <v>168</v>
      </c>
      <c r="D259" t="s">
        <v>169</v>
      </c>
      <c r="E259" t="s">
        <v>0</v>
      </c>
      <c r="F259" t="s">
        <v>81</v>
      </c>
      <c r="G259">
        <v>17</v>
      </c>
    </row>
    <row r="260" spans="1:7" x14ac:dyDescent="0.35">
      <c r="A260">
        <v>2019</v>
      </c>
      <c r="B260" t="s">
        <v>32</v>
      </c>
      <c r="C260" t="s">
        <v>168</v>
      </c>
      <c r="D260" t="s">
        <v>169</v>
      </c>
      <c r="E260" t="s">
        <v>118</v>
      </c>
      <c r="F260" t="s">
        <v>81</v>
      </c>
      <c r="G260">
        <v>4</v>
      </c>
    </row>
    <row r="261" spans="1:7" x14ac:dyDescent="0.35">
      <c r="A261">
        <v>2019</v>
      </c>
      <c r="B261" t="s">
        <v>32</v>
      </c>
      <c r="C261" t="s">
        <v>168</v>
      </c>
      <c r="D261" t="s">
        <v>169</v>
      </c>
      <c r="E261" t="s">
        <v>119</v>
      </c>
      <c r="F261" t="s">
        <v>81</v>
      </c>
      <c r="G261">
        <v>2</v>
      </c>
    </row>
    <row r="262" spans="1:7" x14ac:dyDescent="0.35">
      <c r="A262">
        <v>2019</v>
      </c>
      <c r="B262" t="s">
        <v>33</v>
      </c>
      <c r="C262" t="s">
        <v>168</v>
      </c>
      <c r="D262" t="s">
        <v>169</v>
      </c>
      <c r="E262" t="s">
        <v>76</v>
      </c>
      <c r="F262" t="s">
        <v>81</v>
      </c>
      <c r="G262">
        <v>10</v>
      </c>
    </row>
    <row r="263" spans="1:7" x14ac:dyDescent="0.35">
      <c r="A263">
        <v>2019</v>
      </c>
      <c r="B263" t="s">
        <v>33</v>
      </c>
      <c r="C263" t="s">
        <v>168</v>
      </c>
      <c r="D263" t="s">
        <v>169</v>
      </c>
      <c r="E263" t="s">
        <v>0</v>
      </c>
      <c r="F263" t="s">
        <v>81</v>
      </c>
      <c r="G263">
        <v>12</v>
      </c>
    </row>
    <row r="264" spans="1:7" x14ac:dyDescent="0.35">
      <c r="A264">
        <v>2019</v>
      </c>
      <c r="B264" t="s">
        <v>33</v>
      </c>
      <c r="C264" t="s">
        <v>168</v>
      </c>
      <c r="D264" t="s">
        <v>169</v>
      </c>
      <c r="E264" t="s">
        <v>118</v>
      </c>
      <c r="F264" t="s">
        <v>81</v>
      </c>
      <c r="G264">
        <v>0</v>
      </c>
    </row>
    <row r="265" spans="1:7" x14ac:dyDescent="0.35">
      <c r="A265">
        <v>2019</v>
      </c>
      <c r="B265" t="s">
        <v>33</v>
      </c>
      <c r="C265" t="s">
        <v>168</v>
      </c>
      <c r="D265" t="s">
        <v>169</v>
      </c>
      <c r="E265" t="s">
        <v>119</v>
      </c>
      <c r="F265" t="s">
        <v>81</v>
      </c>
      <c r="G265">
        <v>0</v>
      </c>
    </row>
    <row r="266" spans="1:7" x14ac:dyDescent="0.35">
      <c r="A266">
        <v>2019</v>
      </c>
      <c r="B266" t="s">
        <v>34</v>
      </c>
      <c r="C266" t="s">
        <v>168</v>
      </c>
      <c r="D266" t="s">
        <v>169</v>
      </c>
      <c r="E266" t="s">
        <v>76</v>
      </c>
      <c r="F266" t="s">
        <v>81</v>
      </c>
      <c r="G266">
        <v>16</v>
      </c>
    </row>
    <row r="267" spans="1:7" x14ac:dyDescent="0.35">
      <c r="A267">
        <v>2019</v>
      </c>
      <c r="B267" t="s">
        <v>34</v>
      </c>
      <c r="C267" t="s">
        <v>168</v>
      </c>
      <c r="D267" t="s">
        <v>169</v>
      </c>
      <c r="E267" t="s">
        <v>0</v>
      </c>
      <c r="F267" t="s">
        <v>81</v>
      </c>
      <c r="G267">
        <v>15</v>
      </c>
    </row>
    <row r="268" spans="1:7" x14ac:dyDescent="0.35">
      <c r="A268">
        <v>2019</v>
      </c>
      <c r="B268" t="s">
        <v>34</v>
      </c>
      <c r="C268" t="s">
        <v>168</v>
      </c>
      <c r="D268" t="s">
        <v>169</v>
      </c>
      <c r="E268" t="s">
        <v>118</v>
      </c>
      <c r="F268" t="s">
        <v>81</v>
      </c>
      <c r="G268">
        <v>7</v>
      </c>
    </row>
    <row r="269" spans="1:7" x14ac:dyDescent="0.35">
      <c r="A269">
        <v>2019</v>
      </c>
      <c r="B269" t="s">
        <v>34</v>
      </c>
      <c r="C269" t="s">
        <v>168</v>
      </c>
      <c r="D269" t="s">
        <v>169</v>
      </c>
      <c r="E269" t="s">
        <v>119</v>
      </c>
      <c r="F269" t="s">
        <v>81</v>
      </c>
      <c r="G269">
        <v>1</v>
      </c>
    </row>
    <row r="270" spans="1:7" x14ac:dyDescent="0.35">
      <c r="A270">
        <v>2019</v>
      </c>
      <c r="B270" t="s">
        <v>35</v>
      </c>
      <c r="C270" t="s">
        <v>168</v>
      </c>
      <c r="D270" t="s">
        <v>169</v>
      </c>
      <c r="E270" t="s">
        <v>76</v>
      </c>
      <c r="F270" t="s">
        <v>81</v>
      </c>
      <c r="G270">
        <v>5</v>
      </c>
    </row>
    <row r="271" spans="1:7" x14ac:dyDescent="0.35">
      <c r="A271">
        <v>2019</v>
      </c>
      <c r="B271" t="s">
        <v>35</v>
      </c>
      <c r="C271" t="s">
        <v>168</v>
      </c>
      <c r="D271" t="s">
        <v>169</v>
      </c>
      <c r="E271" t="s">
        <v>0</v>
      </c>
      <c r="F271" t="s">
        <v>81</v>
      </c>
      <c r="G271">
        <v>0</v>
      </c>
    </row>
    <row r="272" spans="1:7" x14ac:dyDescent="0.35">
      <c r="A272">
        <v>2019</v>
      </c>
      <c r="B272" t="s">
        <v>35</v>
      </c>
      <c r="C272" t="s">
        <v>168</v>
      </c>
      <c r="D272" t="s">
        <v>169</v>
      </c>
      <c r="E272" t="s">
        <v>118</v>
      </c>
      <c r="F272" t="s">
        <v>81</v>
      </c>
      <c r="G272">
        <v>0</v>
      </c>
    </row>
    <row r="273" spans="1:7" x14ac:dyDescent="0.35">
      <c r="A273">
        <v>2019</v>
      </c>
      <c r="B273" t="s">
        <v>35</v>
      </c>
      <c r="C273" t="s">
        <v>168</v>
      </c>
      <c r="D273" t="s">
        <v>169</v>
      </c>
      <c r="E273" t="s">
        <v>119</v>
      </c>
      <c r="F273" t="s">
        <v>81</v>
      </c>
      <c r="G273">
        <v>0</v>
      </c>
    </row>
    <row r="274" spans="1:7" x14ac:dyDescent="0.35">
      <c r="A274">
        <v>2019</v>
      </c>
      <c r="B274" t="s">
        <v>53</v>
      </c>
      <c r="C274" t="s">
        <v>168</v>
      </c>
      <c r="D274" t="s">
        <v>169</v>
      </c>
      <c r="E274" t="s">
        <v>76</v>
      </c>
      <c r="F274" t="s">
        <v>81</v>
      </c>
      <c r="G274">
        <v>2</v>
      </c>
    </row>
    <row r="275" spans="1:7" x14ac:dyDescent="0.35">
      <c r="A275">
        <v>2019</v>
      </c>
      <c r="B275" t="s">
        <v>53</v>
      </c>
      <c r="C275" t="s">
        <v>168</v>
      </c>
      <c r="D275" t="s">
        <v>169</v>
      </c>
      <c r="E275" t="s">
        <v>0</v>
      </c>
      <c r="F275" t="s">
        <v>81</v>
      </c>
      <c r="G275">
        <v>0</v>
      </c>
    </row>
    <row r="276" spans="1:7" x14ac:dyDescent="0.35">
      <c r="A276">
        <v>2019</v>
      </c>
      <c r="B276" t="s">
        <v>53</v>
      </c>
      <c r="C276" t="s">
        <v>168</v>
      </c>
      <c r="D276" t="s">
        <v>169</v>
      </c>
      <c r="E276" t="s">
        <v>118</v>
      </c>
      <c r="F276" t="s">
        <v>81</v>
      </c>
      <c r="G276">
        <v>0</v>
      </c>
    </row>
    <row r="277" spans="1:7" x14ac:dyDescent="0.35">
      <c r="A277">
        <v>2019</v>
      </c>
      <c r="B277" t="s">
        <v>53</v>
      </c>
      <c r="C277" t="s">
        <v>168</v>
      </c>
      <c r="D277" t="s">
        <v>169</v>
      </c>
      <c r="E277" t="s">
        <v>119</v>
      </c>
      <c r="F277" t="s">
        <v>81</v>
      </c>
      <c r="G277">
        <v>0</v>
      </c>
    </row>
    <row r="278" spans="1:7" x14ac:dyDescent="0.35">
      <c r="A278">
        <v>2019</v>
      </c>
      <c r="B278" t="s">
        <v>36</v>
      </c>
      <c r="C278" t="s">
        <v>168</v>
      </c>
      <c r="D278" t="s">
        <v>169</v>
      </c>
      <c r="E278" t="s">
        <v>76</v>
      </c>
      <c r="F278" t="s">
        <v>81</v>
      </c>
      <c r="G278">
        <v>50</v>
      </c>
    </row>
    <row r="279" spans="1:7" x14ac:dyDescent="0.35">
      <c r="A279">
        <v>2019</v>
      </c>
      <c r="B279" t="s">
        <v>36</v>
      </c>
      <c r="C279" t="s">
        <v>168</v>
      </c>
      <c r="D279" t="s">
        <v>169</v>
      </c>
      <c r="E279" t="s">
        <v>0</v>
      </c>
      <c r="F279" t="s">
        <v>81</v>
      </c>
      <c r="G279">
        <v>20</v>
      </c>
    </row>
    <row r="280" spans="1:7" x14ac:dyDescent="0.35">
      <c r="A280">
        <v>2019</v>
      </c>
      <c r="B280" t="s">
        <v>36</v>
      </c>
      <c r="C280" t="s">
        <v>168</v>
      </c>
      <c r="D280" t="s">
        <v>169</v>
      </c>
      <c r="E280" t="s">
        <v>118</v>
      </c>
      <c r="F280" t="s">
        <v>81</v>
      </c>
      <c r="G280">
        <v>10</v>
      </c>
    </row>
    <row r="281" spans="1:7" x14ac:dyDescent="0.35">
      <c r="A281">
        <v>2019</v>
      </c>
      <c r="B281" t="s">
        <v>36</v>
      </c>
      <c r="C281" t="s">
        <v>168</v>
      </c>
      <c r="D281" t="s">
        <v>169</v>
      </c>
      <c r="E281" t="s">
        <v>119</v>
      </c>
      <c r="F281" t="s">
        <v>81</v>
      </c>
      <c r="G281">
        <v>0</v>
      </c>
    </row>
    <row r="282" spans="1:7" x14ac:dyDescent="0.35">
      <c r="A282">
        <v>2019</v>
      </c>
      <c r="B282" t="s">
        <v>37</v>
      </c>
      <c r="C282" t="s">
        <v>168</v>
      </c>
      <c r="D282" t="s">
        <v>169</v>
      </c>
      <c r="E282" t="s">
        <v>76</v>
      </c>
      <c r="F282" t="s">
        <v>81</v>
      </c>
      <c r="G282">
        <v>32</v>
      </c>
    </row>
    <row r="283" spans="1:7" x14ac:dyDescent="0.35">
      <c r="A283">
        <v>2019</v>
      </c>
      <c r="B283" t="s">
        <v>37</v>
      </c>
      <c r="C283" t="s">
        <v>168</v>
      </c>
      <c r="D283" t="s">
        <v>169</v>
      </c>
      <c r="E283" t="s">
        <v>0</v>
      </c>
      <c r="F283" t="s">
        <v>81</v>
      </c>
      <c r="G283">
        <v>29</v>
      </c>
    </row>
    <row r="284" spans="1:7" x14ac:dyDescent="0.35">
      <c r="A284">
        <v>2019</v>
      </c>
      <c r="B284" t="s">
        <v>37</v>
      </c>
      <c r="C284" t="s">
        <v>168</v>
      </c>
      <c r="D284" t="s">
        <v>169</v>
      </c>
      <c r="E284" t="s">
        <v>118</v>
      </c>
      <c r="F284" t="s">
        <v>81</v>
      </c>
      <c r="G284">
        <v>6</v>
      </c>
    </row>
    <row r="285" spans="1:7" x14ac:dyDescent="0.35">
      <c r="A285">
        <v>2019</v>
      </c>
      <c r="B285" t="s">
        <v>37</v>
      </c>
      <c r="C285" t="s">
        <v>168</v>
      </c>
      <c r="D285" t="s">
        <v>169</v>
      </c>
      <c r="E285" t="s">
        <v>119</v>
      </c>
      <c r="F285" t="s">
        <v>81</v>
      </c>
      <c r="G285">
        <v>0</v>
      </c>
    </row>
    <row r="286" spans="1:7" x14ac:dyDescent="0.35">
      <c r="A286">
        <v>2019</v>
      </c>
      <c r="B286" t="s">
        <v>38</v>
      </c>
      <c r="C286" t="s">
        <v>168</v>
      </c>
      <c r="D286" t="s">
        <v>169</v>
      </c>
      <c r="E286" t="s">
        <v>76</v>
      </c>
      <c r="F286" t="s">
        <v>81</v>
      </c>
      <c r="G286">
        <v>10</v>
      </c>
    </row>
    <row r="287" spans="1:7" x14ac:dyDescent="0.35">
      <c r="A287">
        <v>2019</v>
      </c>
      <c r="B287" t="s">
        <v>38</v>
      </c>
      <c r="C287" t="s">
        <v>168</v>
      </c>
      <c r="D287" t="s">
        <v>169</v>
      </c>
      <c r="E287" t="s">
        <v>0</v>
      </c>
      <c r="F287" t="s">
        <v>81</v>
      </c>
      <c r="G287">
        <v>0</v>
      </c>
    </row>
    <row r="288" spans="1:7" x14ac:dyDescent="0.35">
      <c r="A288">
        <v>2019</v>
      </c>
      <c r="B288" t="s">
        <v>38</v>
      </c>
      <c r="C288" t="s">
        <v>168</v>
      </c>
      <c r="D288" t="s">
        <v>169</v>
      </c>
      <c r="E288" t="s">
        <v>118</v>
      </c>
      <c r="F288" t="s">
        <v>81</v>
      </c>
      <c r="G288">
        <v>5</v>
      </c>
    </row>
    <row r="289" spans="1:7" x14ac:dyDescent="0.35">
      <c r="A289">
        <v>2019</v>
      </c>
      <c r="B289" t="s">
        <v>38</v>
      </c>
      <c r="C289" t="s">
        <v>168</v>
      </c>
      <c r="D289" t="s">
        <v>169</v>
      </c>
      <c r="E289" t="s">
        <v>119</v>
      </c>
      <c r="F289" t="s">
        <v>81</v>
      </c>
      <c r="G289">
        <v>0</v>
      </c>
    </row>
    <row r="290" spans="1:7" x14ac:dyDescent="0.35">
      <c r="A290">
        <v>2019</v>
      </c>
      <c r="B290" t="s">
        <v>39</v>
      </c>
      <c r="C290" t="s">
        <v>168</v>
      </c>
      <c r="D290" t="s">
        <v>169</v>
      </c>
      <c r="E290" t="s">
        <v>76</v>
      </c>
      <c r="F290" t="s">
        <v>81</v>
      </c>
      <c r="G290">
        <v>21</v>
      </c>
    </row>
    <row r="291" spans="1:7" x14ac:dyDescent="0.35">
      <c r="A291">
        <v>2019</v>
      </c>
      <c r="B291" t="s">
        <v>39</v>
      </c>
      <c r="C291" t="s">
        <v>168</v>
      </c>
      <c r="D291" t="s">
        <v>169</v>
      </c>
      <c r="E291" t="s">
        <v>0</v>
      </c>
      <c r="F291" t="s">
        <v>81</v>
      </c>
      <c r="G291">
        <v>12</v>
      </c>
    </row>
    <row r="292" spans="1:7" x14ac:dyDescent="0.35">
      <c r="A292">
        <v>2019</v>
      </c>
      <c r="B292" t="s">
        <v>39</v>
      </c>
      <c r="C292" t="s">
        <v>168</v>
      </c>
      <c r="D292" t="s">
        <v>169</v>
      </c>
      <c r="E292" t="s">
        <v>118</v>
      </c>
      <c r="F292" t="s">
        <v>81</v>
      </c>
      <c r="G292">
        <v>2</v>
      </c>
    </row>
    <row r="293" spans="1:7" x14ac:dyDescent="0.35">
      <c r="A293">
        <v>2019</v>
      </c>
      <c r="B293" t="s">
        <v>39</v>
      </c>
      <c r="C293" t="s">
        <v>168</v>
      </c>
      <c r="D293" t="s">
        <v>169</v>
      </c>
      <c r="E293" t="s">
        <v>119</v>
      </c>
      <c r="F293" t="s">
        <v>81</v>
      </c>
      <c r="G293">
        <v>4</v>
      </c>
    </row>
    <row r="294" spans="1:7" x14ac:dyDescent="0.35">
      <c r="A294">
        <v>2019</v>
      </c>
      <c r="B294" t="s">
        <v>56</v>
      </c>
      <c r="C294" t="s">
        <v>168</v>
      </c>
      <c r="D294" t="s">
        <v>169</v>
      </c>
      <c r="E294" t="s">
        <v>76</v>
      </c>
      <c r="F294" t="s">
        <v>81</v>
      </c>
      <c r="G294">
        <v>14</v>
      </c>
    </row>
    <row r="295" spans="1:7" x14ac:dyDescent="0.35">
      <c r="A295">
        <v>2019</v>
      </c>
      <c r="B295" t="s">
        <v>56</v>
      </c>
      <c r="C295" t="s">
        <v>168</v>
      </c>
      <c r="D295" t="s">
        <v>169</v>
      </c>
      <c r="E295" t="s">
        <v>0</v>
      </c>
      <c r="F295" t="s">
        <v>81</v>
      </c>
      <c r="G295">
        <v>31</v>
      </c>
    </row>
    <row r="296" spans="1:7" x14ac:dyDescent="0.35">
      <c r="A296">
        <v>2019</v>
      </c>
      <c r="B296" t="s">
        <v>56</v>
      </c>
      <c r="C296" t="s">
        <v>168</v>
      </c>
      <c r="D296" t="s">
        <v>169</v>
      </c>
      <c r="E296" t="s">
        <v>118</v>
      </c>
      <c r="F296" t="s">
        <v>81</v>
      </c>
      <c r="G296">
        <v>11</v>
      </c>
    </row>
    <row r="297" spans="1:7" x14ac:dyDescent="0.35">
      <c r="A297">
        <v>2019</v>
      </c>
      <c r="B297" t="s">
        <v>56</v>
      </c>
      <c r="C297" t="s">
        <v>168</v>
      </c>
      <c r="D297" t="s">
        <v>169</v>
      </c>
      <c r="E297" t="s">
        <v>119</v>
      </c>
      <c r="F297" t="s">
        <v>81</v>
      </c>
      <c r="G297">
        <v>1</v>
      </c>
    </row>
    <row r="298" spans="1:7" x14ac:dyDescent="0.35">
      <c r="A298">
        <v>2019</v>
      </c>
      <c r="B298" t="s">
        <v>40</v>
      </c>
      <c r="C298" t="s">
        <v>168</v>
      </c>
      <c r="D298" t="s">
        <v>169</v>
      </c>
      <c r="E298" t="s">
        <v>76</v>
      </c>
      <c r="F298" t="s">
        <v>81</v>
      </c>
      <c r="G298">
        <v>17</v>
      </c>
    </row>
    <row r="299" spans="1:7" x14ac:dyDescent="0.35">
      <c r="A299">
        <v>2019</v>
      </c>
      <c r="B299" t="s">
        <v>40</v>
      </c>
      <c r="C299" t="s">
        <v>168</v>
      </c>
      <c r="D299" t="s">
        <v>169</v>
      </c>
      <c r="E299" t="s">
        <v>0</v>
      </c>
      <c r="F299" t="s">
        <v>81</v>
      </c>
      <c r="G299">
        <v>12</v>
      </c>
    </row>
    <row r="300" spans="1:7" x14ac:dyDescent="0.35">
      <c r="A300">
        <v>2019</v>
      </c>
      <c r="B300" t="s">
        <v>40</v>
      </c>
      <c r="C300" t="s">
        <v>168</v>
      </c>
      <c r="D300" t="s">
        <v>169</v>
      </c>
      <c r="E300" t="s">
        <v>118</v>
      </c>
      <c r="F300" t="s">
        <v>81</v>
      </c>
      <c r="G300">
        <v>2</v>
      </c>
    </row>
    <row r="301" spans="1:7" x14ac:dyDescent="0.35">
      <c r="A301">
        <v>2019</v>
      </c>
      <c r="B301" t="s">
        <v>40</v>
      </c>
      <c r="C301" t="s">
        <v>168</v>
      </c>
      <c r="D301" t="s">
        <v>169</v>
      </c>
      <c r="E301" t="s">
        <v>119</v>
      </c>
      <c r="F301" t="s">
        <v>81</v>
      </c>
      <c r="G301">
        <v>2</v>
      </c>
    </row>
    <row r="302" spans="1:7" x14ac:dyDescent="0.35">
      <c r="A302">
        <v>2019</v>
      </c>
      <c r="B302" t="s">
        <v>42</v>
      </c>
      <c r="C302" t="s">
        <v>168</v>
      </c>
      <c r="D302" t="s">
        <v>169</v>
      </c>
      <c r="E302" t="s">
        <v>76</v>
      </c>
      <c r="F302" t="s">
        <v>81</v>
      </c>
      <c r="G302">
        <v>15</v>
      </c>
    </row>
    <row r="303" spans="1:7" x14ac:dyDescent="0.35">
      <c r="A303">
        <v>2019</v>
      </c>
      <c r="B303" t="s">
        <v>42</v>
      </c>
      <c r="C303" t="s">
        <v>168</v>
      </c>
      <c r="D303" t="s">
        <v>169</v>
      </c>
      <c r="E303" t="s">
        <v>0</v>
      </c>
      <c r="F303" t="s">
        <v>81</v>
      </c>
      <c r="G303">
        <v>15</v>
      </c>
    </row>
    <row r="304" spans="1:7" x14ac:dyDescent="0.35">
      <c r="A304">
        <v>2019</v>
      </c>
      <c r="B304" t="s">
        <v>42</v>
      </c>
      <c r="C304" t="s">
        <v>168</v>
      </c>
      <c r="D304" t="s">
        <v>169</v>
      </c>
      <c r="E304" t="s">
        <v>118</v>
      </c>
      <c r="F304" t="s">
        <v>81</v>
      </c>
      <c r="G304">
        <v>6</v>
      </c>
    </row>
    <row r="305" spans="1:7" x14ac:dyDescent="0.35">
      <c r="A305">
        <v>2019</v>
      </c>
      <c r="B305" t="s">
        <v>42</v>
      </c>
      <c r="C305" t="s">
        <v>168</v>
      </c>
      <c r="D305" t="s">
        <v>169</v>
      </c>
      <c r="E305" t="s">
        <v>119</v>
      </c>
      <c r="F305" t="s">
        <v>81</v>
      </c>
      <c r="G305">
        <v>3</v>
      </c>
    </row>
    <row r="306" spans="1:7" x14ac:dyDescent="0.35">
      <c r="A306">
        <v>2019</v>
      </c>
      <c r="B306" t="s">
        <v>43</v>
      </c>
      <c r="C306" t="s">
        <v>168</v>
      </c>
      <c r="D306" t="s">
        <v>169</v>
      </c>
      <c r="E306" t="s">
        <v>76</v>
      </c>
      <c r="F306" t="s">
        <v>81</v>
      </c>
      <c r="G306">
        <v>26</v>
      </c>
    </row>
    <row r="307" spans="1:7" x14ac:dyDescent="0.35">
      <c r="A307">
        <v>2019</v>
      </c>
      <c r="B307" t="s">
        <v>43</v>
      </c>
      <c r="C307" t="s">
        <v>168</v>
      </c>
      <c r="D307" t="s">
        <v>169</v>
      </c>
      <c r="E307" t="s">
        <v>0</v>
      </c>
      <c r="F307" t="s">
        <v>81</v>
      </c>
      <c r="G307">
        <v>7</v>
      </c>
    </row>
    <row r="308" spans="1:7" x14ac:dyDescent="0.35">
      <c r="A308">
        <v>2019</v>
      </c>
      <c r="B308" t="s">
        <v>43</v>
      </c>
      <c r="C308" t="s">
        <v>168</v>
      </c>
      <c r="D308" t="s">
        <v>169</v>
      </c>
      <c r="E308" t="s">
        <v>118</v>
      </c>
      <c r="F308" t="s">
        <v>81</v>
      </c>
      <c r="G308">
        <v>2</v>
      </c>
    </row>
    <row r="309" spans="1:7" x14ac:dyDescent="0.35">
      <c r="A309">
        <v>2019</v>
      </c>
      <c r="B309" t="s">
        <v>43</v>
      </c>
      <c r="C309" t="s">
        <v>168</v>
      </c>
      <c r="D309" t="s">
        <v>169</v>
      </c>
      <c r="E309" t="s">
        <v>119</v>
      </c>
      <c r="F309" t="s">
        <v>81</v>
      </c>
      <c r="G309">
        <v>2</v>
      </c>
    </row>
    <row r="310" spans="1:7" x14ac:dyDescent="0.35">
      <c r="A310">
        <v>2019</v>
      </c>
      <c r="B310" t="s">
        <v>44</v>
      </c>
      <c r="C310" t="s">
        <v>168</v>
      </c>
      <c r="D310" t="s">
        <v>169</v>
      </c>
      <c r="E310" t="s">
        <v>76</v>
      </c>
      <c r="F310" t="s">
        <v>81</v>
      </c>
      <c r="G310">
        <v>5</v>
      </c>
    </row>
    <row r="311" spans="1:7" x14ac:dyDescent="0.35">
      <c r="A311">
        <v>2019</v>
      </c>
      <c r="B311" t="s">
        <v>44</v>
      </c>
      <c r="C311" t="s">
        <v>168</v>
      </c>
      <c r="D311" t="s">
        <v>169</v>
      </c>
      <c r="E311" t="s">
        <v>0</v>
      </c>
      <c r="F311" t="s">
        <v>81</v>
      </c>
      <c r="G311">
        <v>3</v>
      </c>
    </row>
    <row r="312" spans="1:7" x14ac:dyDescent="0.35">
      <c r="A312">
        <v>2019</v>
      </c>
      <c r="B312" t="s">
        <v>44</v>
      </c>
      <c r="C312" t="s">
        <v>168</v>
      </c>
      <c r="D312" t="s">
        <v>169</v>
      </c>
      <c r="E312" t="s">
        <v>118</v>
      </c>
      <c r="F312" t="s">
        <v>81</v>
      </c>
      <c r="G312">
        <v>0</v>
      </c>
    </row>
    <row r="313" spans="1:7" x14ac:dyDescent="0.35">
      <c r="A313">
        <v>2019</v>
      </c>
      <c r="B313" t="s">
        <v>44</v>
      </c>
      <c r="C313" t="s">
        <v>168</v>
      </c>
      <c r="D313" t="s">
        <v>169</v>
      </c>
      <c r="E313" t="s">
        <v>119</v>
      </c>
      <c r="F313" t="s">
        <v>81</v>
      </c>
      <c r="G313">
        <v>0</v>
      </c>
    </row>
    <row r="314" spans="1:7" x14ac:dyDescent="0.35">
      <c r="A314">
        <v>2019</v>
      </c>
      <c r="B314" t="s">
        <v>45</v>
      </c>
      <c r="C314" t="s">
        <v>168</v>
      </c>
      <c r="D314" t="s">
        <v>169</v>
      </c>
      <c r="E314" t="s">
        <v>76</v>
      </c>
      <c r="F314" t="s">
        <v>81</v>
      </c>
      <c r="G314">
        <v>8</v>
      </c>
    </row>
    <row r="315" spans="1:7" x14ac:dyDescent="0.35">
      <c r="A315">
        <v>2019</v>
      </c>
      <c r="B315" t="s">
        <v>45</v>
      </c>
      <c r="C315" t="s">
        <v>168</v>
      </c>
      <c r="D315" t="s">
        <v>169</v>
      </c>
      <c r="E315" t="s">
        <v>0</v>
      </c>
      <c r="F315" t="s">
        <v>81</v>
      </c>
      <c r="G315">
        <v>20</v>
      </c>
    </row>
    <row r="316" spans="1:7" x14ac:dyDescent="0.35">
      <c r="A316">
        <v>2019</v>
      </c>
      <c r="B316" t="s">
        <v>45</v>
      </c>
      <c r="C316" t="s">
        <v>168</v>
      </c>
      <c r="D316" t="s">
        <v>169</v>
      </c>
      <c r="E316" t="s">
        <v>118</v>
      </c>
      <c r="F316" t="s">
        <v>81</v>
      </c>
      <c r="G316">
        <v>3</v>
      </c>
    </row>
    <row r="317" spans="1:7" x14ac:dyDescent="0.35">
      <c r="A317">
        <v>2019</v>
      </c>
      <c r="B317" t="s">
        <v>45</v>
      </c>
      <c r="C317" t="s">
        <v>168</v>
      </c>
      <c r="D317" t="s">
        <v>169</v>
      </c>
      <c r="E317" t="s">
        <v>119</v>
      </c>
      <c r="F317" t="s">
        <v>81</v>
      </c>
      <c r="G317">
        <v>0</v>
      </c>
    </row>
    <row r="318" spans="1:7" x14ac:dyDescent="0.35">
      <c r="A318">
        <v>2019</v>
      </c>
      <c r="B318" t="s">
        <v>46</v>
      </c>
      <c r="C318" t="s">
        <v>168</v>
      </c>
      <c r="D318" t="s">
        <v>169</v>
      </c>
      <c r="E318" t="s">
        <v>76</v>
      </c>
      <c r="F318" t="s">
        <v>81</v>
      </c>
      <c r="G318">
        <v>29</v>
      </c>
    </row>
    <row r="319" spans="1:7" x14ac:dyDescent="0.35">
      <c r="A319">
        <v>2019</v>
      </c>
      <c r="B319" t="s">
        <v>46</v>
      </c>
      <c r="C319" t="s">
        <v>168</v>
      </c>
      <c r="D319" t="s">
        <v>169</v>
      </c>
      <c r="E319" t="s">
        <v>0</v>
      </c>
      <c r="F319" t="s">
        <v>81</v>
      </c>
      <c r="G319">
        <v>6</v>
      </c>
    </row>
    <row r="320" spans="1:7" x14ac:dyDescent="0.35">
      <c r="A320">
        <v>2019</v>
      </c>
      <c r="B320" t="s">
        <v>46</v>
      </c>
      <c r="C320" t="s">
        <v>168</v>
      </c>
      <c r="D320" t="s">
        <v>169</v>
      </c>
      <c r="E320" t="s">
        <v>118</v>
      </c>
      <c r="F320" t="s">
        <v>81</v>
      </c>
      <c r="G320">
        <v>3</v>
      </c>
    </row>
    <row r="321" spans="1:7" x14ac:dyDescent="0.35">
      <c r="A321">
        <v>2019</v>
      </c>
      <c r="B321" t="s">
        <v>46</v>
      </c>
      <c r="C321" t="s">
        <v>168</v>
      </c>
      <c r="D321" t="s">
        <v>169</v>
      </c>
      <c r="E321" t="s">
        <v>119</v>
      </c>
      <c r="F321" t="s">
        <v>81</v>
      </c>
      <c r="G321">
        <v>0</v>
      </c>
    </row>
    <row r="322" spans="1:7" x14ac:dyDescent="0.35">
      <c r="A322">
        <v>2019</v>
      </c>
      <c r="B322" t="s">
        <v>47</v>
      </c>
      <c r="C322" t="s">
        <v>168</v>
      </c>
      <c r="D322" t="s">
        <v>169</v>
      </c>
      <c r="E322" t="s">
        <v>76</v>
      </c>
      <c r="F322" t="s">
        <v>81</v>
      </c>
      <c r="G322">
        <v>13</v>
      </c>
    </row>
    <row r="323" spans="1:7" x14ac:dyDescent="0.35">
      <c r="A323">
        <v>2019</v>
      </c>
      <c r="B323" t="s">
        <v>47</v>
      </c>
      <c r="C323" t="s">
        <v>168</v>
      </c>
      <c r="D323" t="s">
        <v>169</v>
      </c>
      <c r="E323" t="s">
        <v>0</v>
      </c>
      <c r="F323" t="s">
        <v>81</v>
      </c>
      <c r="G323">
        <v>5</v>
      </c>
    </row>
    <row r="324" spans="1:7" x14ac:dyDescent="0.35">
      <c r="A324">
        <v>2019</v>
      </c>
      <c r="B324" t="s">
        <v>47</v>
      </c>
      <c r="C324" t="s">
        <v>168</v>
      </c>
      <c r="D324" t="s">
        <v>169</v>
      </c>
      <c r="E324" t="s">
        <v>118</v>
      </c>
      <c r="F324" t="s">
        <v>81</v>
      </c>
      <c r="G324">
        <v>0</v>
      </c>
    </row>
    <row r="325" spans="1:7" x14ac:dyDescent="0.35">
      <c r="A325">
        <v>2019</v>
      </c>
      <c r="B325" t="s">
        <v>47</v>
      </c>
      <c r="C325" t="s">
        <v>168</v>
      </c>
      <c r="D325" t="s">
        <v>169</v>
      </c>
      <c r="E325" t="s">
        <v>119</v>
      </c>
      <c r="F325" t="s">
        <v>81</v>
      </c>
      <c r="G325">
        <v>2</v>
      </c>
    </row>
    <row r="326" spans="1:7" x14ac:dyDescent="0.35">
      <c r="A326">
        <v>2019</v>
      </c>
      <c r="B326" t="s">
        <v>57</v>
      </c>
      <c r="C326" t="s">
        <v>168</v>
      </c>
      <c r="D326" t="s">
        <v>169</v>
      </c>
      <c r="E326" t="s">
        <v>76</v>
      </c>
      <c r="F326" t="s">
        <v>81</v>
      </c>
      <c r="G326">
        <v>0</v>
      </c>
    </row>
    <row r="327" spans="1:7" x14ac:dyDescent="0.35">
      <c r="A327">
        <v>2019</v>
      </c>
      <c r="B327" t="s">
        <v>57</v>
      </c>
      <c r="C327" t="s">
        <v>168</v>
      </c>
      <c r="D327" t="s">
        <v>169</v>
      </c>
      <c r="E327" t="s">
        <v>0</v>
      </c>
      <c r="F327" t="s">
        <v>81</v>
      </c>
      <c r="G327">
        <v>15</v>
      </c>
    </row>
    <row r="328" spans="1:7" x14ac:dyDescent="0.35">
      <c r="A328">
        <v>2019</v>
      </c>
      <c r="B328" t="s">
        <v>57</v>
      </c>
      <c r="C328" t="s">
        <v>168</v>
      </c>
      <c r="D328" t="s">
        <v>169</v>
      </c>
      <c r="E328" t="s">
        <v>118</v>
      </c>
      <c r="F328" t="s">
        <v>81</v>
      </c>
      <c r="G328">
        <v>8</v>
      </c>
    </row>
    <row r="329" spans="1:7" x14ac:dyDescent="0.35">
      <c r="A329">
        <v>2019</v>
      </c>
      <c r="B329" t="s">
        <v>57</v>
      </c>
      <c r="C329" t="s">
        <v>168</v>
      </c>
      <c r="D329" t="s">
        <v>169</v>
      </c>
      <c r="E329" t="s">
        <v>119</v>
      </c>
      <c r="F329" t="s">
        <v>81</v>
      </c>
      <c r="G329">
        <v>0</v>
      </c>
    </row>
    <row r="330" spans="1:7" x14ac:dyDescent="0.35">
      <c r="A330">
        <v>2019</v>
      </c>
      <c r="B330" t="s">
        <v>48</v>
      </c>
      <c r="C330" t="s">
        <v>168</v>
      </c>
      <c r="D330" t="s">
        <v>169</v>
      </c>
      <c r="E330" t="s">
        <v>76</v>
      </c>
      <c r="F330" t="s">
        <v>81</v>
      </c>
      <c r="G330">
        <v>17</v>
      </c>
    </row>
    <row r="331" spans="1:7" x14ac:dyDescent="0.35">
      <c r="A331">
        <v>2019</v>
      </c>
      <c r="B331" t="s">
        <v>48</v>
      </c>
      <c r="C331" t="s">
        <v>168</v>
      </c>
      <c r="D331" t="s">
        <v>169</v>
      </c>
      <c r="E331" t="s">
        <v>0</v>
      </c>
      <c r="F331" t="s">
        <v>81</v>
      </c>
      <c r="G331">
        <v>7</v>
      </c>
    </row>
    <row r="332" spans="1:7" x14ac:dyDescent="0.35">
      <c r="A332">
        <v>2019</v>
      </c>
      <c r="B332" t="s">
        <v>48</v>
      </c>
      <c r="C332" t="s">
        <v>168</v>
      </c>
      <c r="D332" t="s">
        <v>169</v>
      </c>
      <c r="E332" t="s">
        <v>118</v>
      </c>
      <c r="F332" t="s">
        <v>81</v>
      </c>
      <c r="G332">
        <v>6</v>
      </c>
    </row>
    <row r="333" spans="1:7" x14ac:dyDescent="0.35">
      <c r="A333">
        <v>2019</v>
      </c>
      <c r="B333" t="s">
        <v>48</v>
      </c>
      <c r="C333" t="s">
        <v>168</v>
      </c>
      <c r="D333" t="s">
        <v>169</v>
      </c>
      <c r="E333" t="s">
        <v>119</v>
      </c>
      <c r="F333" t="s">
        <v>81</v>
      </c>
      <c r="G333">
        <v>0</v>
      </c>
    </row>
    <row r="334" spans="1:7" x14ac:dyDescent="0.35">
      <c r="A334">
        <v>2019</v>
      </c>
      <c r="B334" t="s">
        <v>49</v>
      </c>
      <c r="C334" t="s">
        <v>168</v>
      </c>
      <c r="D334" t="s">
        <v>169</v>
      </c>
      <c r="E334" t="s">
        <v>76</v>
      </c>
      <c r="F334" t="s">
        <v>81</v>
      </c>
      <c r="G334">
        <v>22</v>
      </c>
    </row>
    <row r="335" spans="1:7" x14ac:dyDescent="0.35">
      <c r="A335">
        <v>2019</v>
      </c>
      <c r="B335" t="s">
        <v>49</v>
      </c>
      <c r="C335" t="s">
        <v>168</v>
      </c>
      <c r="D335" t="s">
        <v>169</v>
      </c>
      <c r="E335" t="s">
        <v>0</v>
      </c>
      <c r="F335" t="s">
        <v>81</v>
      </c>
      <c r="G335">
        <v>7</v>
      </c>
    </row>
    <row r="336" spans="1:7" x14ac:dyDescent="0.35">
      <c r="A336">
        <v>2019</v>
      </c>
      <c r="B336" t="s">
        <v>49</v>
      </c>
      <c r="C336" t="s">
        <v>168</v>
      </c>
      <c r="D336" t="s">
        <v>169</v>
      </c>
      <c r="E336" t="s">
        <v>118</v>
      </c>
      <c r="F336" t="s">
        <v>81</v>
      </c>
      <c r="G336">
        <v>0</v>
      </c>
    </row>
    <row r="337" spans="1:7" x14ac:dyDescent="0.35">
      <c r="A337">
        <v>2019</v>
      </c>
      <c r="B337" t="s">
        <v>49</v>
      </c>
      <c r="C337" t="s">
        <v>168</v>
      </c>
      <c r="D337" t="s">
        <v>169</v>
      </c>
      <c r="E337" t="s">
        <v>119</v>
      </c>
      <c r="F337" t="s">
        <v>81</v>
      </c>
      <c r="G337">
        <v>0</v>
      </c>
    </row>
    <row r="338" spans="1:7" x14ac:dyDescent="0.35">
      <c r="A338">
        <v>2019</v>
      </c>
      <c r="B338" t="s">
        <v>50</v>
      </c>
      <c r="C338" t="s">
        <v>168</v>
      </c>
      <c r="D338" t="s">
        <v>169</v>
      </c>
      <c r="E338" t="s">
        <v>76</v>
      </c>
      <c r="F338" t="s">
        <v>81</v>
      </c>
      <c r="G338">
        <v>7</v>
      </c>
    </row>
    <row r="339" spans="1:7" x14ac:dyDescent="0.35">
      <c r="A339">
        <v>2019</v>
      </c>
      <c r="B339" t="s">
        <v>50</v>
      </c>
      <c r="C339" t="s">
        <v>168</v>
      </c>
      <c r="D339" t="s">
        <v>169</v>
      </c>
      <c r="E339" t="s">
        <v>0</v>
      </c>
      <c r="F339" t="s">
        <v>81</v>
      </c>
      <c r="G339">
        <v>17</v>
      </c>
    </row>
    <row r="340" spans="1:7" x14ac:dyDescent="0.35">
      <c r="A340">
        <v>2019</v>
      </c>
      <c r="B340" t="s">
        <v>50</v>
      </c>
      <c r="C340" t="s">
        <v>168</v>
      </c>
      <c r="D340" t="s">
        <v>169</v>
      </c>
      <c r="E340" t="s">
        <v>118</v>
      </c>
      <c r="F340" t="s">
        <v>81</v>
      </c>
      <c r="G340">
        <v>0</v>
      </c>
    </row>
    <row r="341" spans="1:7" x14ac:dyDescent="0.35">
      <c r="A341">
        <v>2019</v>
      </c>
      <c r="B341" t="s">
        <v>50</v>
      </c>
      <c r="C341" t="s">
        <v>168</v>
      </c>
      <c r="D341" t="s">
        <v>169</v>
      </c>
      <c r="E341" t="s">
        <v>119</v>
      </c>
      <c r="F341" t="s">
        <v>81</v>
      </c>
      <c r="G341">
        <v>3</v>
      </c>
    </row>
    <row r="342" spans="1:7" x14ac:dyDescent="0.35">
      <c r="A342">
        <v>2019</v>
      </c>
      <c r="B342" t="s">
        <v>58</v>
      </c>
      <c r="C342" t="s">
        <v>168</v>
      </c>
      <c r="D342" t="s">
        <v>169</v>
      </c>
      <c r="E342" t="s">
        <v>76</v>
      </c>
      <c r="F342" t="s">
        <v>81</v>
      </c>
      <c r="G342">
        <v>0</v>
      </c>
    </row>
    <row r="343" spans="1:7" x14ac:dyDescent="0.35">
      <c r="A343">
        <v>2019</v>
      </c>
      <c r="B343" t="s">
        <v>58</v>
      </c>
      <c r="C343" t="s">
        <v>168</v>
      </c>
      <c r="D343" t="s">
        <v>169</v>
      </c>
      <c r="E343" t="s">
        <v>0</v>
      </c>
      <c r="F343" t="s">
        <v>81</v>
      </c>
      <c r="G343">
        <v>13</v>
      </c>
    </row>
    <row r="344" spans="1:7" x14ac:dyDescent="0.35">
      <c r="A344">
        <v>2019</v>
      </c>
      <c r="B344" t="s">
        <v>58</v>
      </c>
      <c r="C344" t="s">
        <v>168</v>
      </c>
      <c r="D344" t="s">
        <v>169</v>
      </c>
      <c r="E344" t="s">
        <v>118</v>
      </c>
      <c r="F344" t="s">
        <v>81</v>
      </c>
      <c r="G344">
        <v>8</v>
      </c>
    </row>
    <row r="345" spans="1:7" x14ac:dyDescent="0.35">
      <c r="A345">
        <v>2019</v>
      </c>
      <c r="B345" t="s">
        <v>58</v>
      </c>
      <c r="C345" t="s">
        <v>168</v>
      </c>
      <c r="D345" t="s">
        <v>169</v>
      </c>
      <c r="E345" t="s">
        <v>119</v>
      </c>
      <c r="F345" t="s">
        <v>81</v>
      </c>
      <c r="G345">
        <v>1</v>
      </c>
    </row>
    <row r="346" spans="1:7" x14ac:dyDescent="0.35">
      <c r="A346">
        <v>2019</v>
      </c>
      <c r="B346" t="s">
        <v>51</v>
      </c>
      <c r="C346" t="s">
        <v>168</v>
      </c>
      <c r="D346" t="s">
        <v>169</v>
      </c>
      <c r="E346" t="s">
        <v>76</v>
      </c>
      <c r="F346" t="s">
        <v>81</v>
      </c>
      <c r="G346">
        <v>11</v>
      </c>
    </row>
    <row r="347" spans="1:7" x14ac:dyDescent="0.35">
      <c r="A347">
        <v>2019</v>
      </c>
      <c r="B347" t="s">
        <v>51</v>
      </c>
      <c r="C347" t="s">
        <v>168</v>
      </c>
      <c r="D347" t="s">
        <v>169</v>
      </c>
      <c r="E347" t="s">
        <v>0</v>
      </c>
      <c r="F347" t="s">
        <v>81</v>
      </c>
      <c r="G347">
        <v>4</v>
      </c>
    </row>
    <row r="348" spans="1:7" x14ac:dyDescent="0.35">
      <c r="A348">
        <v>2019</v>
      </c>
      <c r="B348" t="s">
        <v>51</v>
      </c>
      <c r="C348" t="s">
        <v>168</v>
      </c>
      <c r="D348" t="s">
        <v>169</v>
      </c>
      <c r="E348" t="s">
        <v>118</v>
      </c>
      <c r="F348" t="s">
        <v>81</v>
      </c>
      <c r="G348">
        <v>1</v>
      </c>
    </row>
    <row r="349" spans="1:7" x14ac:dyDescent="0.35">
      <c r="A349">
        <v>2019</v>
      </c>
      <c r="B349" t="s">
        <v>51</v>
      </c>
      <c r="C349" t="s">
        <v>168</v>
      </c>
      <c r="D349" t="s">
        <v>169</v>
      </c>
      <c r="E349" t="s">
        <v>119</v>
      </c>
      <c r="F349" t="s">
        <v>81</v>
      </c>
      <c r="G349">
        <v>0</v>
      </c>
    </row>
    <row r="350" spans="1:7" x14ac:dyDescent="0.35">
      <c r="A350">
        <v>2019</v>
      </c>
      <c r="B350" t="s">
        <v>59</v>
      </c>
      <c r="C350" t="s">
        <v>168</v>
      </c>
      <c r="D350" t="s">
        <v>169</v>
      </c>
      <c r="E350" t="s">
        <v>76</v>
      </c>
      <c r="F350" t="s">
        <v>81</v>
      </c>
      <c r="G350">
        <v>0</v>
      </c>
    </row>
    <row r="351" spans="1:7" x14ac:dyDescent="0.35">
      <c r="A351">
        <v>2019</v>
      </c>
      <c r="B351" t="s">
        <v>59</v>
      </c>
      <c r="C351" t="s">
        <v>168</v>
      </c>
      <c r="D351" t="s">
        <v>169</v>
      </c>
      <c r="E351" t="s">
        <v>0</v>
      </c>
      <c r="F351" t="s">
        <v>81</v>
      </c>
      <c r="G351">
        <v>59</v>
      </c>
    </row>
    <row r="352" spans="1:7" x14ac:dyDescent="0.35">
      <c r="A352">
        <v>2019</v>
      </c>
      <c r="B352" t="s">
        <v>59</v>
      </c>
      <c r="C352" t="s">
        <v>168</v>
      </c>
      <c r="D352" t="s">
        <v>169</v>
      </c>
      <c r="E352" t="s">
        <v>118</v>
      </c>
      <c r="F352" t="s">
        <v>81</v>
      </c>
      <c r="G352">
        <v>5</v>
      </c>
    </row>
    <row r="353" spans="1:7" x14ac:dyDescent="0.35">
      <c r="A353">
        <v>2019</v>
      </c>
      <c r="B353" t="s">
        <v>59</v>
      </c>
      <c r="C353" t="s">
        <v>168</v>
      </c>
      <c r="D353" t="s">
        <v>169</v>
      </c>
      <c r="E353" t="s">
        <v>119</v>
      </c>
      <c r="F353" t="s">
        <v>81</v>
      </c>
      <c r="G353">
        <v>0</v>
      </c>
    </row>
    <row r="354" spans="1:7" x14ac:dyDescent="0.35">
      <c r="A354">
        <v>2019</v>
      </c>
      <c r="B354" t="s">
        <v>52</v>
      </c>
      <c r="C354" t="s">
        <v>168</v>
      </c>
      <c r="D354" t="s">
        <v>169</v>
      </c>
      <c r="E354" t="s">
        <v>76</v>
      </c>
      <c r="F354" t="s">
        <v>81</v>
      </c>
      <c r="G354">
        <v>20</v>
      </c>
    </row>
    <row r="355" spans="1:7" x14ac:dyDescent="0.35">
      <c r="A355">
        <v>2019</v>
      </c>
      <c r="B355" t="s">
        <v>52</v>
      </c>
      <c r="C355" t="s">
        <v>168</v>
      </c>
      <c r="D355" t="s">
        <v>169</v>
      </c>
      <c r="E355" t="s">
        <v>0</v>
      </c>
      <c r="F355" t="s">
        <v>81</v>
      </c>
      <c r="G355">
        <v>11</v>
      </c>
    </row>
    <row r="356" spans="1:7" x14ac:dyDescent="0.35">
      <c r="A356">
        <v>2019</v>
      </c>
      <c r="B356" t="s">
        <v>52</v>
      </c>
      <c r="C356" t="s">
        <v>168</v>
      </c>
      <c r="D356" t="s">
        <v>169</v>
      </c>
      <c r="E356" t="s">
        <v>118</v>
      </c>
      <c r="F356" t="s">
        <v>81</v>
      </c>
      <c r="G356">
        <v>2</v>
      </c>
    </row>
    <row r="357" spans="1:7" x14ac:dyDescent="0.35">
      <c r="A357">
        <v>2019</v>
      </c>
      <c r="B357" t="s">
        <v>52</v>
      </c>
      <c r="C357" t="s">
        <v>168</v>
      </c>
      <c r="D357" t="s">
        <v>169</v>
      </c>
      <c r="E357" t="s">
        <v>119</v>
      </c>
      <c r="F357" t="s">
        <v>81</v>
      </c>
      <c r="G357">
        <v>0</v>
      </c>
    </row>
    <row r="358" spans="1:7" x14ac:dyDescent="0.35">
      <c r="A358">
        <v>2019</v>
      </c>
      <c r="B358" t="s">
        <v>60</v>
      </c>
      <c r="C358" t="s">
        <v>168</v>
      </c>
      <c r="D358" t="s">
        <v>169</v>
      </c>
      <c r="E358" t="s">
        <v>76</v>
      </c>
      <c r="F358" t="s">
        <v>81</v>
      </c>
      <c r="G358">
        <v>10</v>
      </c>
    </row>
    <row r="359" spans="1:7" x14ac:dyDescent="0.35">
      <c r="A359">
        <v>2019</v>
      </c>
      <c r="B359" t="s">
        <v>60</v>
      </c>
      <c r="C359" t="s">
        <v>168</v>
      </c>
      <c r="D359" t="s">
        <v>169</v>
      </c>
      <c r="E359" t="s">
        <v>0</v>
      </c>
      <c r="F359" t="s">
        <v>81</v>
      </c>
      <c r="G359">
        <v>45</v>
      </c>
    </row>
    <row r="360" spans="1:7" x14ac:dyDescent="0.35">
      <c r="A360">
        <v>2019</v>
      </c>
      <c r="B360" t="s">
        <v>60</v>
      </c>
      <c r="C360" t="s">
        <v>168</v>
      </c>
      <c r="D360" t="s">
        <v>169</v>
      </c>
      <c r="E360" t="s">
        <v>118</v>
      </c>
      <c r="F360" t="s">
        <v>81</v>
      </c>
      <c r="G360">
        <v>16</v>
      </c>
    </row>
    <row r="361" spans="1:7" x14ac:dyDescent="0.35">
      <c r="A361">
        <v>2019</v>
      </c>
      <c r="B361" t="s">
        <v>60</v>
      </c>
      <c r="C361" t="s">
        <v>168</v>
      </c>
      <c r="D361" t="s">
        <v>169</v>
      </c>
      <c r="E361" t="s">
        <v>119</v>
      </c>
      <c r="F361" t="s">
        <v>81</v>
      </c>
      <c r="G361">
        <v>3</v>
      </c>
    </row>
    <row r="362" spans="1:7" x14ac:dyDescent="0.35">
      <c r="A362">
        <v>2019</v>
      </c>
      <c r="B362" t="s">
        <v>26</v>
      </c>
      <c r="C362" t="s">
        <v>168</v>
      </c>
      <c r="D362" t="s">
        <v>169</v>
      </c>
      <c r="E362" t="s">
        <v>76</v>
      </c>
      <c r="F362" t="s">
        <v>81</v>
      </c>
      <c r="G362">
        <v>39</v>
      </c>
    </row>
    <row r="363" spans="1:7" x14ac:dyDescent="0.35">
      <c r="A363">
        <v>2019</v>
      </c>
      <c r="B363" t="s">
        <v>26</v>
      </c>
      <c r="C363" t="s">
        <v>168</v>
      </c>
      <c r="D363" t="s">
        <v>169</v>
      </c>
      <c r="E363" t="s">
        <v>0</v>
      </c>
      <c r="F363" t="s">
        <v>81</v>
      </c>
      <c r="G363">
        <v>15</v>
      </c>
    </row>
    <row r="364" spans="1:7" x14ac:dyDescent="0.35">
      <c r="A364">
        <v>2019</v>
      </c>
      <c r="B364" t="s">
        <v>26</v>
      </c>
      <c r="C364" t="s">
        <v>168</v>
      </c>
      <c r="D364" t="s">
        <v>169</v>
      </c>
      <c r="E364" t="s">
        <v>118</v>
      </c>
      <c r="F364" t="s">
        <v>81</v>
      </c>
      <c r="G364">
        <v>16</v>
      </c>
    </row>
    <row r="365" spans="1:7" x14ac:dyDescent="0.35">
      <c r="A365">
        <v>2019</v>
      </c>
      <c r="B365" t="s">
        <v>26</v>
      </c>
      <c r="C365" t="s">
        <v>168</v>
      </c>
      <c r="D365" t="s">
        <v>169</v>
      </c>
      <c r="E365" t="s">
        <v>119</v>
      </c>
      <c r="F365" t="s">
        <v>81</v>
      </c>
      <c r="G365">
        <v>0</v>
      </c>
    </row>
    <row r="366" spans="1:7" x14ac:dyDescent="0.35">
      <c r="A366">
        <v>2019</v>
      </c>
      <c r="B366" t="s">
        <v>41</v>
      </c>
      <c r="C366" t="s">
        <v>168</v>
      </c>
      <c r="D366" t="s">
        <v>169</v>
      </c>
      <c r="E366" t="s">
        <v>76</v>
      </c>
      <c r="F366" t="s">
        <v>81</v>
      </c>
      <c r="G366">
        <v>0</v>
      </c>
    </row>
    <row r="367" spans="1:7" x14ac:dyDescent="0.35">
      <c r="A367">
        <v>2019</v>
      </c>
      <c r="B367" t="s">
        <v>41</v>
      </c>
      <c r="C367" t="s">
        <v>168</v>
      </c>
      <c r="D367" t="s">
        <v>169</v>
      </c>
      <c r="E367" t="s">
        <v>0</v>
      </c>
      <c r="F367" t="s">
        <v>81</v>
      </c>
      <c r="G367">
        <v>0</v>
      </c>
    </row>
    <row r="368" spans="1:7" x14ac:dyDescent="0.35">
      <c r="A368">
        <v>2019</v>
      </c>
      <c r="B368" t="s">
        <v>41</v>
      </c>
      <c r="C368" t="s">
        <v>168</v>
      </c>
      <c r="D368" t="s">
        <v>169</v>
      </c>
      <c r="E368" t="s">
        <v>118</v>
      </c>
      <c r="F368" t="s">
        <v>81</v>
      </c>
      <c r="G368">
        <v>0</v>
      </c>
    </row>
    <row r="369" spans="1:7" x14ac:dyDescent="0.35">
      <c r="A369">
        <v>2019</v>
      </c>
      <c r="B369" t="s">
        <v>41</v>
      </c>
      <c r="C369" t="s">
        <v>168</v>
      </c>
      <c r="D369" t="s">
        <v>169</v>
      </c>
      <c r="E369" t="s">
        <v>119</v>
      </c>
      <c r="F369" t="s">
        <v>81</v>
      </c>
      <c r="G369">
        <v>3</v>
      </c>
    </row>
    <row r="370" spans="1:7" x14ac:dyDescent="0.35">
      <c r="A370">
        <v>2019</v>
      </c>
      <c r="B370" t="s">
        <v>15</v>
      </c>
      <c r="C370" t="s">
        <v>168</v>
      </c>
      <c r="D370" t="s">
        <v>169</v>
      </c>
      <c r="E370" t="s">
        <v>76</v>
      </c>
      <c r="F370" t="s">
        <v>82</v>
      </c>
      <c r="G370">
        <v>6</v>
      </c>
    </row>
    <row r="371" spans="1:7" x14ac:dyDescent="0.35">
      <c r="A371">
        <v>2019</v>
      </c>
      <c r="B371" t="s">
        <v>15</v>
      </c>
      <c r="C371" t="s">
        <v>168</v>
      </c>
      <c r="D371" t="s">
        <v>169</v>
      </c>
      <c r="E371" t="s">
        <v>0</v>
      </c>
      <c r="F371" t="s">
        <v>82</v>
      </c>
      <c r="G371">
        <v>3</v>
      </c>
    </row>
    <row r="372" spans="1:7" x14ac:dyDescent="0.35">
      <c r="A372">
        <v>2019</v>
      </c>
      <c r="B372" t="s">
        <v>15</v>
      </c>
      <c r="C372" t="s">
        <v>168</v>
      </c>
      <c r="D372" t="s">
        <v>169</v>
      </c>
      <c r="E372" t="s">
        <v>118</v>
      </c>
      <c r="F372" t="s">
        <v>82</v>
      </c>
      <c r="G372">
        <v>6</v>
      </c>
    </row>
    <row r="373" spans="1:7" x14ac:dyDescent="0.35">
      <c r="A373">
        <v>2019</v>
      </c>
      <c r="B373" t="s">
        <v>15</v>
      </c>
      <c r="C373" t="s">
        <v>168</v>
      </c>
      <c r="D373" t="s">
        <v>169</v>
      </c>
      <c r="E373" t="s">
        <v>119</v>
      </c>
      <c r="F373" t="s">
        <v>82</v>
      </c>
      <c r="G373">
        <v>1</v>
      </c>
    </row>
    <row r="374" spans="1:7" x14ac:dyDescent="0.35">
      <c r="A374">
        <v>2019</v>
      </c>
      <c r="B374" t="s">
        <v>16</v>
      </c>
      <c r="C374" t="s">
        <v>168</v>
      </c>
      <c r="D374" t="s">
        <v>169</v>
      </c>
      <c r="E374" t="s">
        <v>76</v>
      </c>
      <c r="F374" t="s">
        <v>82</v>
      </c>
      <c r="G374">
        <v>5</v>
      </c>
    </row>
    <row r="375" spans="1:7" x14ac:dyDescent="0.35">
      <c r="A375">
        <v>2019</v>
      </c>
      <c r="B375" t="s">
        <v>16</v>
      </c>
      <c r="C375" t="s">
        <v>168</v>
      </c>
      <c r="D375" t="s">
        <v>169</v>
      </c>
      <c r="E375" t="s">
        <v>0</v>
      </c>
      <c r="F375" t="s">
        <v>82</v>
      </c>
      <c r="G375">
        <v>7</v>
      </c>
    </row>
    <row r="376" spans="1:7" x14ac:dyDescent="0.35">
      <c r="A376">
        <v>2019</v>
      </c>
      <c r="B376" t="s">
        <v>16</v>
      </c>
      <c r="C376" t="s">
        <v>168</v>
      </c>
      <c r="D376" t="s">
        <v>169</v>
      </c>
      <c r="E376" t="s">
        <v>118</v>
      </c>
      <c r="F376" t="s">
        <v>82</v>
      </c>
      <c r="G376">
        <v>3</v>
      </c>
    </row>
    <row r="377" spans="1:7" x14ac:dyDescent="0.35">
      <c r="A377">
        <v>2019</v>
      </c>
      <c r="B377" t="s">
        <v>16</v>
      </c>
      <c r="C377" t="s">
        <v>168</v>
      </c>
      <c r="D377" t="s">
        <v>169</v>
      </c>
      <c r="E377" t="s">
        <v>119</v>
      </c>
      <c r="F377" t="s">
        <v>82</v>
      </c>
      <c r="G377">
        <v>1</v>
      </c>
    </row>
    <row r="378" spans="1:7" x14ac:dyDescent="0.35">
      <c r="A378">
        <v>2019</v>
      </c>
      <c r="B378" t="s">
        <v>17</v>
      </c>
      <c r="C378" t="s">
        <v>168</v>
      </c>
      <c r="D378" t="s">
        <v>169</v>
      </c>
      <c r="E378" t="s">
        <v>76</v>
      </c>
      <c r="F378" t="s">
        <v>82</v>
      </c>
      <c r="G378">
        <v>7</v>
      </c>
    </row>
    <row r="379" spans="1:7" x14ac:dyDescent="0.35">
      <c r="A379">
        <v>2019</v>
      </c>
      <c r="B379" t="s">
        <v>17</v>
      </c>
      <c r="C379" t="s">
        <v>168</v>
      </c>
      <c r="D379" t="s">
        <v>169</v>
      </c>
      <c r="E379" t="s">
        <v>0</v>
      </c>
      <c r="F379" t="s">
        <v>82</v>
      </c>
      <c r="G379">
        <v>2</v>
      </c>
    </row>
    <row r="380" spans="1:7" x14ac:dyDescent="0.35">
      <c r="A380">
        <v>2019</v>
      </c>
      <c r="B380" t="s">
        <v>17</v>
      </c>
      <c r="C380" t="s">
        <v>168</v>
      </c>
      <c r="D380" t="s">
        <v>169</v>
      </c>
      <c r="E380" t="s">
        <v>118</v>
      </c>
      <c r="F380" t="s">
        <v>82</v>
      </c>
      <c r="G380">
        <v>5</v>
      </c>
    </row>
    <row r="381" spans="1:7" x14ac:dyDescent="0.35">
      <c r="A381">
        <v>2019</v>
      </c>
      <c r="B381" t="s">
        <v>17</v>
      </c>
      <c r="C381" t="s">
        <v>168</v>
      </c>
      <c r="D381" t="s">
        <v>169</v>
      </c>
      <c r="E381" t="s">
        <v>119</v>
      </c>
      <c r="F381" t="s">
        <v>82</v>
      </c>
      <c r="G381">
        <v>0</v>
      </c>
    </row>
    <row r="382" spans="1:7" x14ac:dyDescent="0.35">
      <c r="A382">
        <v>2019</v>
      </c>
      <c r="B382" t="s">
        <v>18</v>
      </c>
      <c r="C382" t="s">
        <v>168</v>
      </c>
      <c r="D382" t="s">
        <v>169</v>
      </c>
      <c r="E382" t="s">
        <v>76</v>
      </c>
      <c r="F382" t="s">
        <v>82</v>
      </c>
      <c r="G382">
        <v>5</v>
      </c>
    </row>
    <row r="383" spans="1:7" x14ac:dyDescent="0.35">
      <c r="A383">
        <v>2019</v>
      </c>
      <c r="B383" t="s">
        <v>18</v>
      </c>
      <c r="C383" t="s">
        <v>168</v>
      </c>
      <c r="D383" t="s">
        <v>169</v>
      </c>
      <c r="E383" t="s">
        <v>0</v>
      </c>
      <c r="F383" t="s">
        <v>82</v>
      </c>
      <c r="G383">
        <v>1</v>
      </c>
    </row>
    <row r="384" spans="1:7" x14ac:dyDescent="0.35">
      <c r="A384">
        <v>2019</v>
      </c>
      <c r="B384" t="s">
        <v>18</v>
      </c>
      <c r="C384" t="s">
        <v>168</v>
      </c>
      <c r="D384" t="s">
        <v>169</v>
      </c>
      <c r="E384" t="s">
        <v>118</v>
      </c>
      <c r="F384" t="s">
        <v>82</v>
      </c>
      <c r="G384">
        <v>1</v>
      </c>
    </row>
    <row r="385" spans="1:7" x14ac:dyDescent="0.35">
      <c r="A385">
        <v>2019</v>
      </c>
      <c r="B385" t="s">
        <v>18</v>
      </c>
      <c r="C385" t="s">
        <v>168</v>
      </c>
      <c r="D385" t="s">
        <v>169</v>
      </c>
      <c r="E385" t="s">
        <v>119</v>
      </c>
      <c r="F385" t="s">
        <v>82</v>
      </c>
      <c r="G385">
        <v>0</v>
      </c>
    </row>
    <row r="386" spans="1:7" x14ac:dyDescent="0.35">
      <c r="A386">
        <v>2019</v>
      </c>
      <c r="B386" t="s">
        <v>19</v>
      </c>
      <c r="C386" t="s">
        <v>168</v>
      </c>
      <c r="D386" t="s">
        <v>169</v>
      </c>
      <c r="E386" t="s">
        <v>76</v>
      </c>
      <c r="F386" t="s">
        <v>82</v>
      </c>
      <c r="G386">
        <v>6</v>
      </c>
    </row>
    <row r="387" spans="1:7" x14ac:dyDescent="0.35">
      <c r="A387">
        <v>2019</v>
      </c>
      <c r="B387" t="s">
        <v>19</v>
      </c>
      <c r="C387" t="s">
        <v>168</v>
      </c>
      <c r="D387" t="s">
        <v>169</v>
      </c>
      <c r="E387" t="s">
        <v>0</v>
      </c>
      <c r="F387" t="s">
        <v>82</v>
      </c>
      <c r="G387">
        <v>1</v>
      </c>
    </row>
    <row r="388" spans="1:7" x14ac:dyDescent="0.35">
      <c r="A388">
        <v>2019</v>
      </c>
      <c r="B388" t="s">
        <v>19</v>
      </c>
      <c r="C388" t="s">
        <v>168</v>
      </c>
      <c r="D388" t="s">
        <v>169</v>
      </c>
      <c r="E388" t="s">
        <v>118</v>
      </c>
      <c r="F388" t="s">
        <v>82</v>
      </c>
      <c r="G388">
        <v>1</v>
      </c>
    </row>
    <row r="389" spans="1:7" x14ac:dyDescent="0.35">
      <c r="A389">
        <v>2019</v>
      </c>
      <c r="B389" t="s">
        <v>19</v>
      </c>
      <c r="C389" t="s">
        <v>168</v>
      </c>
      <c r="D389" t="s">
        <v>169</v>
      </c>
      <c r="E389" t="s">
        <v>119</v>
      </c>
      <c r="F389" t="s">
        <v>82</v>
      </c>
      <c r="G389">
        <v>2</v>
      </c>
    </row>
    <row r="390" spans="1:7" x14ac:dyDescent="0.35">
      <c r="A390">
        <v>2019</v>
      </c>
      <c r="B390" t="s">
        <v>20</v>
      </c>
      <c r="C390" t="s">
        <v>168</v>
      </c>
      <c r="D390" t="s">
        <v>169</v>
      </c>
      <c r="E390" t="s">
        <v>76</v>
      </c>
      <c r="F390" t="s">
        <v>82</v>
      </c>
      <c r="G390">
        <v>7</v>
      </c>
    </row>
    <row r="391" spans="1:7" x14ac:dyDescent="0.35">
      <c r="A391">
        <v>2019</v>
      </c>
      <c r="B391" t="s">
        <v>20</v>
      </c>
      <c r="C391" t="s">
        <v>168</v>
      </c>
      <c r="D391" t="s">
        <v>169</v>
      </c>
      <c r="E391" t="s">
        <v>0</v>
      </c>
      <c r="F391" t="s">
        <v>82</v>
      </c>
      <c r="G391">
        <v>8</v>
      </c>
    </row>
    <row r="392" spans="1:7" x14ac:dyDescent="0.35">
      <c r="A392">
        <v>2019</v>
      </c>
      <c r="B392" t="s">
        <v>20</v>
      </c>
      <c r="C392" t="s">
        <v>168</v>
      </c>
      <c r="D392" t="s">
        <v>169</v>
      </c>
      <c r="E392" t="s">
        <v>118</v>
      </c>
      <c r="F392" t="s">
        <v>82</v>
      </c>
      <c r="G392">
        <v>1</v>
      </c>
    </row>
    <row r="393" spans="1:7" x14ac:dyDescent="0.35">
      <c r="A393">
        <v>2019</v>
      </c>
      <c r="B393" t="s">
        <v>20</v>
      </c>
      <c r="C393" t="s">
        <v>168</v>
      </c>
      <c r="D393" t="s">
        <v>169</v>
      </c>
      <c r="E393" t="s">
        <v>119</v>
      </c>
      <c r="F393" t="s">
        <v>82</v>
      </c>
      <c r="G393">
        <v>0</v>
      </c>
    </row>
    <row r="394" spans="1:7" x14ac:dyDescent="0.35">
      <c r="A394">
        <v>2019</v>
      </c>
      <c r="B394" t="s">
        <v>21</v>
      </c>
      <c r="C394" t="s">
        <v>168</v>
      </c>
      <c r="D394" t="s">
        <v>169</v>
      </c>
      <c r="E394" t="s">
        <v>76</v>
      </c>
      <c r="F394" t="s">
        <v>82</v>
      </c>
      <c r="G394">
        <v>1</v>
      </c>
    </row>
    <row r="395" spans="1:7" x14ac:dyDescent="0.35">
      <c r="A395">
        <v>2019</v>
      </c>
      <c r="B395" t="s">
        <v>21</v>
      </c>
      <c r="C395" t="s">
        <v>168</v>
      </c>
      <c r="D395" t="s">
        <v>169</v>
      </c>
      <c r="E395" t="s">
        <v>0</v>
      </c>
      <c r="F395" t="s">
        <v>82</v>
      </c>
      <c r="G395">
        <v>7</v>
      </c>
    </row>
    <row r="396" spans="1:7" x14ac:dyDescent="0.35">
      <c r="A396">
        <v>2019</v>
      </c>
      <c r="B396" t="s">
        <v>21</v>
      </c>
      <c r="C396" t="s">
        <v>168</v>
      </c>
      <c r="D396" t="s">
        <v>169</v>
      </c>
      <c r="E396" t="s">
        <v>118</v>
      </c>
      <c r="F396" t="s">
        <v>82</v>
      </c>
      <c r="G396">
        <v>4</v>
      </c>
    </row>
    <row r="397" spans="1:7" x14ac:dyDescent="0.35">
      <c r="A397">
        <v>2019</v>
      </c>
      <c r="B397" t="s">
        <v>21</v>
      </c>
      <c r="C397" t="s">
        <v>168</v>
      </c>
      <c r="D397" t="s">
        <v>169</v>
      </c>
      <c r="E397" t="s">
        <v>119</v>
      </c>
      <c r="F397" t="s">
        <v>82</v>
      </c>
      <c r="G397">
        <v>1</v>
      </c>
    </row>
    <row r="398" spans="1:7" x14ac:dyDescent="0.35">
      <c r="A398">
        <v>2019</v>
      </c>
      <c r="B398" t="s">
        <v>22</v>
      </c>
      <c r="C398" t="s">
        <v>168</v>
      </c>
      <c r="D398" t="s">
        <v>169</v>
      </c>
      <c r="E398" t="s">
        <v>76</v>
      </c>
      <c r="F398" t="s">
        <v>82</v>
      </c>
      <c r="G398">
        <v>12</v>
      </c>
    </row>
    <row r="399" spans="1:7" x14ac:dyDescent="0.35">
      <c r="A399">
        <v>2019</v>
      </c>
      <c r="B399" t="s">
        <v>22</v>
      </c>
      <c r="C399" t="s">
        <v>168</v>
      </c>
      <c r="D399" t="s">
        <v>169</v>
      </c>
      <c r="E399" t="s">
        <v>0</v>
      </c>
      <c r="F399" t="s">
        <v>82</v>
      </c>
      <c r="G399">
        <v>5</v>
      </c>
    </row>
    <row r="400" spans="1:7" x14ac:dyDescent="0.35">
      <c r="A400">
        <v>2019</v>
      </c>
      <c r="B400" t="s">
        <v>22</v>
      </c>
      <c r="C400" t="s">
        <v>168</v>
      </c>
      <c r="D400" t="s">
        <v>169</v>
      </c>
      <c r="E400" t="s">
        <v>118</v>
      </c>
      <c r="F400" t="s">
        <v>82</v>
      </c>
      <c r="G400">
        <v>5</v>
      </c>
    </row>
    <row r="401" spans="1:7" x14ac:dyDescent="0.35">
      <c r="A401">
        <v>2019</v>
      </c>
      <c r="B401" t="s">
        <v>22</v>
      </c>
      <c r="C401" t="s">
        <v>168</v>
      </c>
      <c r="D401" t="s">
        <v>169</v>
      </c>
      <c r="E401" t="s">
        <v>119</v>
      </c>
      <c r="F401" t="s">
        <v>82</v>
      </c>
      <c r="G401">
        <v>0</v>
      </c>
    </row>
    <row r="402" spans="1:7" x14ac:dyDescent="0.35">
      <c r="A402">
        <v>2019</v>
      </c>
      <c r="B402" t="s">
        <v>23</v>
      </c>
      <c r="C402" t="s">
        <v>168</v>
      </c>
      <c r="D402" t="s">
        <v>169</v>
      </c>
      <c r="E402" t="s">
        <v>76</v>
      </c>
      <c r="F402" t="s">
        <v>82</v>
      </c>
      <c r="G402">
        <v>2</v>
      </c>
    </row>
    <row r="403" spans="1:7" x14ac:dyDescent="0.35">
      <c r="A403">
        <v>2019</v>
      </c>
      <c r="B403" t="s">
        <v>23</v>
      </c>
      <c r="C403" t="s">
        <v>168</v>
      </c>
      <c r="D403" t="s">
        <v>169</v>
      </c>
      <c r="E403" t="s">
        <v>0</v>
      </c>
      <c r="F403" t="s">
        <v>82</v>
      </c>
      <c r="G403">
        <v>2</v>
      </c>
    </row>
    <row r="404" spans="1:7" x14ac:dyDescent="0.35">
      <c r="A404">
        <v>2019</v>
      </c>
      <c r="B404" t="s">
        <v>23</v>
      </c>
      <c r="C404" t="s">
        <v>168</v>
      </c>
      <c r="D404" t="s">
        <v>169</v>
      </c>
      <c r="E404" t="s">
        <v>118</v>
      </c>
      <c r="F404" t="s">
        <v>82</v>
      </c>
      <c r="G404">
        <v>0</v>
      </c>
    </row>
    <row r="405" spans="1:7" x14ac:dyDescent="0.35">
      <c r="A405">
        <v>2019</v>
      </c>
      <c r="B405" t="s">
        <v>23</v>
      </c>
      <c r="C405" t="s">
        <v>168</v>
      </c>
      <c r="D405" t="s">
        <v>169</v>
      </c>
      <c r="E405" t="s">
        <v>119</v>
      </c>
      <c r="F405" t="s">
        <v>82</v>
      </c>
      <c r="G405">
        <v>0</v>
      </c>
    </row>
    <row r="406" spans="1:7" x14ac:dyDescent="0.35">
      <c r="A406">
        <v>2019</v>
      </c>
      <c r="B406" t="s">
        <v>24</v>
      </c>
      <c r="C406" t="s">
        <v>168</v>
      </c>
      <c r="D406" t="s">
        <v>169</v>
      </c>
      <c r="E406" t="s">
        <v>76</v>
      </c>
      <c r="F406" t="s">
        <v>82</v>
      </c>
      <c r="G406">
        <v>4</v>
      </c>
    </row>
    <row r="407" spans="1:7" x14ac:dyDescent="0.35">
      <c r="A407">
        <v>2019</v>
      </c>
      <c r="B407" t="s">
        <v>24</v>
      </c>
      <c r="C407" t="s">
        <v>168</v>
      </c>
      <c r="D407" t="s">
        <v>169</v>
      </c>
      <c r="E407" t="s">
        <v>0</v>
      </c>
      <c r="F407" t="s">
        <v>82</v>
      </c>
      <c r="G407">
        <v>2</v>
      </c>
    </row>
    <row r="408" spans="1:7" x14ac:dyDescent="0.35">
      <c r="A408">
        <v>2019</v>
      </c>
      <c r="B408" t="s">
        <v>24</v>
      </c>
      <c r="C408" t="s">
        <v>168</v>
      </c>
      <c r="D408" t="s">
        <v>169</v>
      </c>
      <c r="E408" t="s">
        <v>118</v>
      </c>
      <c r="F408" t="s">
        <v>82</v>
      </c>
      <c r="G408">
        <v>9</v>
      </c>
    </row>
    <row r="409" spans="1:7" x14ac:dyDescent="0.35">
      <c r="A409">
        <v>2019</v>
      </c>
      <c r="B409" t="s">
        <v>24</v>
      </c>
      <c r="C409" t="s">
        <v>168</v>
      </c>
      <c r="D409" t="s">
        <v>169</v>
      </c>
      <c r="E409" t="s">
        <v>119</v>
      </c>
      <c r="F409" t="s">
        <v>82</v>
      </c>
      <c r="G409">
        <v>0</v>
      </c>
    </row>
    <row r="410" spans="1:7" x14ac:dyDescent="0.35">
      <c r="A410">
        <v>2019</v>
      </c>
      <c r="B410" t="s">
        <v>25</v>
      </c>
      <c r="C410" t="s">
        <v>168</v>
      </c>
      <c r="D410" t="s">
        <v>169</v>
      </c>
      <c r="E410" t="s">
        <v>76</v>
      </c>
      <c r="F410" t="s">
        <v>82</v>
      </c>
      <c r="G410">
        <v>26</v>
      </c>
    </row>
    <row r="411" spans="1:7" x14ac:dyDescent="0.35">
      <c r="A411">
        <v>2019</v>
      </c>
      <c r="B411" t="s">
        <v>25</v>
      </c>
      <c r="C411" t="s">
        <v>168</v>
      </c>
      <c r="D411" t="s">
        <v>169</v>
      </c>
      <c r="E411" t="s">
        <v>0</v>
      </c>
      <c r="F411" t="s">
        <v>82</v>
      </c>
      <c r="G411">
        <v>3</v>
      </c>
    </row>
    <row r="412" spans="1:7" x14ac:dyDescent="0.35">
      <c r="A412">
        <v>2019</v>
      </c>
      <c r="B412" t="s">
        <v>25</v>
      </c>
      <c r="C412" t="s">
        <v>168</v>
      </c>
      <c r="D412" t="s">
        <v>169</v>
      </c>
      <c r="E412" t="s">
        <v>118</v>
      </c>
      <c r="F412" t="s">
        <v>82</v>
      </c>
      <c r="G412">
        <v>4</v>
      </c>
    </row>
    <row r="413" spans="1:7" x14ac:dyDescent="0.35">
      <c r="A413">
        <v>2019</v>
      </c>
      <c r="B413" t="s">
        <v>25</v>
      </c>
      <c r="C413" t="s">
        <v>168</v>
      </c>
      <c r="D413" t="s">
        <v>169</v>
      </c>
      <c r="E413" t="s">
        <v>119</v>
      </c>
      <c r="F413" t="s">
        <v>82</v>
      </c>
      <c r="G413">
        <v>0</v>
      </c>
    </row>
    <row r="414" spans="1:7" x14ac:dyDescent="0.35">
      <c r="A414">
        <v>2019</v>
      </c>
      <c r="B414" t="s">
        <v>27</v>
      </c>
      <c r="C414" t="s">
        <v>168</v>
      </c>
      <c r="D414" t="s">
        <v>169</v>
      </c>
      <c r="E414" t="s">
        <v>76</v>
      </c>
      <c r="F414" t="s">
        <v>82</v>
      </c>
      <c r="G414">
        <v>2</v>
      </c>
    </row>
    <row r="415" spans="1:7" x14ac:dyDescent="0.35">
      <c r="A415">
        <v>2019</v>
      </c>
      <c r="B415" t="s">
        <v>27</v>
      </c>
      <c r="C415" t="s">
        <v>168</v>
      </c>
      <c r="D415" t="s">
        <v>169</v>
      </c>
      <c r="E415" t="s">
        <v>0</v>
      </c>
      <c r="F415" t="s">
        <v>82</v>
      </c>
      <c r="G415">
        <v>0</v>
      </c>
    </row>
    <row r="416" spans="1:7" x14ac:dyDescent="0.35">
      <c r="A416">
        <v>2019</v>
      </c>
      <c r="B416" t="s">
        <v>27</v>
      </c>
      <c r="C416" t="s">
        <v>168</v>
      </c>
      <c r="D416" t="s">
        <v>169</v>
      </c>
      <c r="E416" t="s">
        <v>118</v>
      </c>
      <c r="F416" t="s">
        <v>82</v>
      </c>
      <c r="G416">
        <v>2</v>
      </c>
    </row>
    <row r="417" spans="1:7" x14ac:dyDescent="0.35">
      <c r="A417">
        <v>2019</v>
      </c>
      <c r="B417" t="s">
        <v>27</v>
      </c>
      <c r="C417" t="s">
        <v>168</v>
      </c>
      <c r="D417" t="s">
        <v>169</v>
      </c>
      <c r="E417" t="s">
        <v>119</v>
      </c>
      <c r="F417" t="s">
        <v>82</v>
      </c>
      <c r="G417">
        <v>0</v>
      </c>
    </row>
    <row r="418" spans="1:7" x14ac:dyDescent="0.35">
      <c r="A418">
        <v>2019</v>
      </c>
      <c r="B418" t="s">
        <v>28</v>
      </c>
      <c r="C418" t="s">
        <v>168</v>
      </c>
      <c r="D418" t="s">
        <v>169</v>
      </c>
      <c r="E418" t="s">
        <v>76</v>
      </c>
      <c r="F418" t="s">
        <v>82</v>
      </c>
      <c r="G418">
        <v>6</v>
      </c>
    </row>
    <row r="419" spans="1:7" x14ac:dyDescent="0.35">
      <c r="A419">
        <v>2019</v>
      </c>
      <c r="B419" t="s">
        <v>28</v>
      </c>
      <c r="C419" t="s">
        <v>168</v>
      </c>
      <c r="D419" t="s">
        <v>169</v>
      </c>
      <c r="E419" t="s">
        <v>0</v>
      </c>
      <c r="F419" t="s">
        <v>82</v>
      </c>
      <c r="G419">
        <v>1</v>
      </c>
    </row>
    <row r="420" spans="1:7" x14ac:dyDescent="0.35">
      <c r="A420">
        <v>2019</v>
      </c>
      <c r="B420" t="s">
        <v>28</v>
      </c>
      <c r="C420" t="s">
        <v>168</v>
      </c>
      <c r="D420" t="s">
        <v>169</v>
      </c>
      <c r="E420" t="s">
        <v>118</v>
      </c>
      <c r="F420" t="s">
        <v>82</v>
      </c>
      <c r="G420">
        <v>5</v>
      </c>
    </row>
    <row r="421" spans="1:7" x14ac:dyDescent="0.35">
      <c r="A421">
        <v>2019</v>
      </c>
      <c r="B421" t="s">
        <v>28</v>
      </c>
      <c r="C421" t="s">
        <v>168</v>
      </c>
      <c r="D421" t="s">
        <v>169</v>
      </c>
      <c r="E421" t="s">
        <v>119</v>
      </c>
      <c r="F421" t="s">
        <v>82</v>
      </c>
      <c r="G421">
        <v>0</v>
      </c>
    </row>
    <row r="422" spans="1:7" x14ac:dyDescent="0.35">
      <c r="A422">
        <v>2019</v>
      </c>
      <c r="B422" t="s">
        <v>29</v>
      </c>
      <c r="C422" t="s">
        <v>168</v>
      </c>
      <c r="D422" t="s">
        <v>169</v>
      </c>
      <c r="E422" t="s">
        <v>76</v>
      </c>
      <c r="F422" t="s">
        <v>82</v>
      </c>
      <c r="G422">
        <v>11</v>
      </c>
    </row>
    <row r="423" spans="1:7" x14ac:dyDescent="0.35">
      <c r="A423">
        <v>2019</v>
      </c>
      <c r="B423" t="s">
        <v>29</v>
      </c>
      <c r="C423" t="s">
        <v>168</v>
      </c>
      <c r="D423" t="s">
        <v>169</v>
      </c>
      <c r="E423" t="s">
        <v>0</v>
      </c>
      <c r="F423" t="s">
        <v>82</v>
      </c>
      <c r="G423">
        <v>11</v>
      </c>
    </row>
    <row r="424" spans="1:7" x14ac:dyDescent="0.35">
      <c r="A424">
        <v>2019</v>
      </c>
      <c r="B424" t="s">
        <v>29</v>
      </c>
      <c r="C424" t="s">
        <v>168</v>
      </c>
      <c r="D424" t="s">
        <v>169</v>
      </c>
      <c r="E424" t="s">
        <v>118</v>
      </c>
      <c r="F424" t="s">
        <v>82</v>
      </c>
      <c r="G424">
        <v>5</v>
      </c>
    </row>
    <row r="425" spans="1:7" x14ac:dyDescent="0.35">
      <c r="A425">
        <v>2019</v>
      </c>
      <c r="B425" t="s">
        <v>29</v>
      </c>
      <c r="C425" t="s">
        <v>168</v>
      </c>
      <c r="D425" t="s">
        <v>169</v>
      </c>
      <c r="E425" t="s">
        <v>119</v>
      </c>
      <c r="F425" t="s">
        <v>82</v>
      </c>
      <c r="G425">
        <v>1</v>
      </c>
    </row>
    <row r="426" spans="1:7" x14ac:dyDescent="0.35">
      <c r="A426">
        <v>2019</v>
      </c>
      <c r="B426" t="s">
        <v>30</v>
      </c>
      <c r="C426" t="s">
        <v>168</v>
      </c>
      <c r="D426" t="s">
        <v>169</v>
      </c>
      <c r="E426" t="s">
        <v>76</v>
      </c>
      <c r="F426" t="s">
        <v>82</v>
      </c>
      <c r="G426">
        <v>13</v>
      </c>
    </row>
    <row r="427" spans="1:7" x14ac:dyDescent="0.35">
      <c r="A427">
        <v>2019</v>
      </c>
      <c r="B427" t="s">
        <v>30</v>
      </c>
      <c r="C427" t="s">
        <v>168</v>
      </c>
      <c r="D427" t="s">
        <v>169</v>
      </c>
      <c r="E427" t="s">
        <v>0</v>
      </c>
      <c r="F427" t="s">
        <v>82</v>
      </c>
      <c r="G427">
        <v>3</v>
      </c>
    </row>
    <row r="428" spans="1:7" x14ac:dyDescent="0.35">
      <c r="A428">
        <v>2019</v>
      </c>
      <c r="B428" t="s">
        <v>30</v>
      </c>
      <c r="C428" t="s">
        <v>168</v>
      </c>
      <c r="D428" t="s">
        <v>169</v>
      </c>
      <c r="E428" t="s">
        <v>118</v>
      </c>
      <c r="F428" t="s">
        <v>82</v>
      </c>
      <c r="G428">
        <v>2</v>
      </c>
    </row>
    <row r="429" spans="1:7" x14ac:dyDescent="0.35">
      <c r="A429">
        <v>2019</v>
      </c>
      <c r="B429" t="s">
        <v>30</v>
      </c>
      <c r="C429" t="s">
        <v>168</v>
      </c>
      <c r="D429" t="s">
        <v>169</v>
      </c>
      <c r="E429" t="s">
        <v>119</v>
      </c>
      <c r="F429" t="s">
        <v>82</v>
      </c>
      <c r="G429">
        <v>0</v>
      </c>
    </row>
    <row r="430" spans="1:7" x14ac:dyDescent="0.35">
      <c r="A430">
        <v>2019</v>
      </c>
      <c r="B430" t="s">
        <v>61</v>
      </c>
      <c r="C430" t="s">
        <v>168</v>
      </c>
      <c r="D430" t="s">
        <v>169</v>
      </c>
      <c r="E430" t="s">
        <v>76</v>
      </c>
      <c r="F430" t="s">
        <v>82</v>
      </c>
      <c r="G430">
        <v>0</v>
      </c>
    </row>
    <row r="431" spans="1:7" x14ac:dyDescent="0.35">
      <c r="A431">
        <v>2019</v>
      </c>
      <c r="B431" t="s">
        <v>61</v>
      </c>
      <c r="C431" t="s">
        <v>168</v>
      </c>
      <c r="D431" t="s">
        <v>169</v>
      </c>
      <c r="E431" t="s">
        <v>0</v>
      </c>
      <c r="F431" t="s">
        <v>82</v>
      </c>
      <c r="G431">
        <v>46</v>
      </c>
    </row>
    <row r="432" spans="1:7" x14ac:dyDescent="0.35">
      <c r="A432">
        <v>2019</v>
      </c>
      <c r="B432" t="s">
        <v>61</v>
      </c>
      <c r="C432" t="s">
        <v>168</v>
      </c>
      <c r="D432" t="s">
        <v>169</v>
      </c>
      <c r="E432" t="s">
        <v>118</v>
      </c>
      <c r="F432" t="s">
        <v>82</v>
      </c>
      <c r="G432">
        <v>20</v>
      </c>
    </row>
    <row r="433" spans="1:7" x14ac:dyDescent="0.35">
      <c r="A433">
        <v>2019</v>
      </c>
      <c r="B433" t="s">
        <v>61</v>
      </c>
      <c r="C433" t="s">
        <v>168</v>
      </c>
      <c r="D433" t="s">
        <v>169</v>
      </c>
      <c r="E433" t="s">
        <v>119</v>
      </c>
      <c r="F433" t="s">
        <v>82</v>
      </c>
      <c r="G433">
        <v>1</v>
      </c>
    </row>
    <row r="434" spans="1:7" x14ac:dyDescent="0.35">
      <c r="A434">
        <v>2019</v>
      </c>
      <c r="B434" t="s">
        <v>55</v>
      </c>
      <c r="C434" t="s">
        <v>168</v>
      </c>
      <c r="D434" t="s">
        <v>169</v>
      </c>
      <c r="E434" t="s">
        <v>76</v>
      </c>
      <c r="F434" t="s">
        <v>82</v>
      </c>
      <c r="G434">
        <v>0</v>
      </c>
    </row>
    <row r="435" spans="1:7" x14ac:dyDescent="0.35">
      <c r="A435">
        <v>2019</v>
      </c>
      <c r="B435" t="s">
        <v>55</v>
      </c>
      <c r="C435" t="s">
        <v>168</v>
      </c>
      <c r="D435" t="s">
        <v>169</v>
      </c>
      <c r="E435" t="s">
        <v>0</v>
      </c>
      <c r="F435" t="s">
        <v>82</v>
      </c>
      <c r="G435">
        <v>14</v>
      </c>
    </row>
    <row r="436" spans="1:7" x14ac:dyDescent="0.35">
      <c r="A436">
        <v>2019</v>
      </c>
      <c r="B436" t="s">
        <v>55</v>
      </c>
      <c r="C436" t="s">
        <v>168</v>
      </c>
      <c r="D436" t="s">
        <v>169</v>
      </c>
      <c r="E436" t="s">
        <v>118</v>
      </c>
      <c r="F436" t="s">
        <v>82</v>
      </c>
      <c r="G436">
        <v>8</v>
      </c>
    </row>
    <row r="437" spans="1:7" x14ac:dyDescent="0.35">
      <c r="A437">
        <v>2019</v>
      </c>
      <c r="B437" t="s">
        <v>55</v>
      </c>
      <c r="C437" t="s">
        <v>168</v>
      </c>
      <c r="D437" t="s">
        <v>169</v>
      </c>
      <c r="E437" t="s">
        <v>119</v>
      </c>
      <c r="F437" t="s">
        <v>82</v>
      </c>
      <c r="G437">
        <v>0</v>
      </c>
    </row>
    <row r="438" spans="1:7" x14ac:dyDescent="0.35">
      <c r="A438">
        <v>2019</v>
      </c>
      <c r="B438" t="s">
        <v>31</v>
      </c>
      <c r="C438" t="s">
        <v>168</v>
      </c>
      <c r="D438" t="s">
        <v>169</v>
      </c>
      <c r="E438" t="s">
        <v>76</v>
      </c>
      <c r="F438" t="s">
        <v>82</v>
      </c>
      <c r="G438">
        <v>27</v>
      </c>
    </row>
    <row r="439" spans="1:7" x14ac:dyDescent="0.35">
      <c r="A439">
        <v>2019</v>
      </c>
      <c r="B439" t="s">
        <v>31</v>
      </c>
      <c r="C439" t="s">
        <v>168</v>
      </c>
      <c r="D439" t="s">
        <v>169</v>
      </c>
      <c r="E439" t="s">
        <v>0</v>
      </c>
      <c r="F439" t="s">
        <v>82</v>
      </c>
      <c r="G439">
        <v>19</v>
      </c>
    </row>
    <row r="440" spans="1:7" x14ac:dyDescent="0.35">
      <c r="A440">
        <v>2019</v>
      </c>
      <c r="B440" t="s">
        <v>31</v>
      </c>
      <c r="C440" t="s">
        <v>168</v>
      </c>
      <c r="D440" t="s">
        <v>169</v>
      </c>
      <c r="E440" t="s">
        <v>118</v>
      </c>
      <c r="F440" t="s">
        <v>82</v>
      </c>
      <c r="G440">
        <v>8</v>
      </c>
    </row>
    <row r="441" spans="1:7" x14ac:dyDescent="0.35">
      <c r="A441">
        <v>2019</v>
      </c>
      <c r="B441" t="s">
        <v>31</v>
      </c>
      <c r="C441" t="s">
        <v>168</v>
      </c>
      <c r="D441" t="s">
        <v>169</v>
      </c>
      <c r="E441" t="s">
        <v>119</v>
      </c>
      <c r="F441" t="s">
        <v>82</v>
      </c>
      <c r="G441">
        <v>0</v>
      </c>
    </row>
    <row r="442" spans="1:7" x14ac:dyDescent="0.35">
      <c r="A442">
        <v>2019</v>
      </c>
      <c r="B442" t="s">
        <v>32</v>
      </c>
      <c r="C442" t="s">
        <v>168</v>
      </c>
      <c r="D442" t="s">
        <v>169</v>
      </c>
      <c r="E442" t="s">
        <v>76</v>
      </c>
      <c r="F442" t="s">
        <v>82</v>
      </c>
      <c r="G442">
        <v>12</v>
      </c>
    </row>
    <row r="443" spans="1:7" x14ac:dyDescent="0.35">
      <c r="A443">
        <v>2019</v>
      </c>
      <c r="B443" t="s">
        <v>32</v>
      </c>
      <c r="C443" t="s">
        <v>168</v>
      </c>
      <c r="D443" t="s">
        <v>169</v>
      </c>
      <c r="E443" t="s">
        <v>0</v>
      </c>
      <c r="F443" t="s">
        <v>82</v>
      </c>
      <c r="G443">
        <v>6</v>
      </c>
    </row>
    <row r="444" spans="1:7" x14ac:dyDescent="0.35">
      <c r="A444">
        <v>2019</v>
      </c>
      <c r="B444" t="s">
        <v>32</v>
      </c>
      <c r="C444" t="s">
        <v>168</v>
      </c>
      <c r="D444" t="s">
        <v>169</v>
      </c>
      <c r="E444" t="s">
        <v>118</v>
      </c>
      <c r="F444" t="s">
        <v>82</v>
      </c>
      <c r="G444">
        <v>6</v>
      </c>
    </row>
    <row r="445" spans="1:7" x14ac:dyDescent="0.35">
      <c r="A445">
        <v>2019</v>
      </c>
      <c r="B445" t="s">
        <v>32</v>
      </c>
      <c r="C445" t="s">
        <v>168</v>
      </c>
      <c r="D445" t="s">
        <v>169</v>
      </c>
      <c r="E445" t="s">
        <v>119</v>
      </c>
      <c r="F445" t="s">
        <v>82</v>
      </c>
      <c r="G445">
        <v>0</v>
      </c>
    </row>
    <row r="446" spans="1:7" x14ac:dyDescent="0.35">
      <c r="A446">
        <v>2019</v>
      </c>
      <c r="B446" t="s">
        <v>33</v>
      </c>
      <c r="C446" t="s">
        <v>168</v>
      </c>
      <c r="D446" t="s">
        <v>169</v>
      </c>
      <c r="E446" t="s">
        <v>76</v>
      </c>
      <c r="F446" t="s">
        <v>82</v>
      </c>
      <c r="G446">
        <v>7</v>
      </c>
    </row>
    <row r="447" spans="1:7" x14ac:dyDescent="0.35">
      <c r="A447">
        <v>2019</v>
      </c>
      <c r="B447" t="s">
        <v>33</v>
      </c>
      <c r="C447" t="s">
        <v>168</v>
      </c>
      <c r="D447" t="s">
        <v>169</v>
      </c>
      <c r="E447" t="s">
        <v>0</v>
      </c>
      <c r="F447" t="s">
        <v>82</v>
      </c>
      <c r="G447">
        <v>4</v>
      </c>
    </row>
    <row r="448" spans="1:7" x14ac:dyDescent="0.35">
      <c r="A448">
        <v>2019</v>
      </c>
      <c r="B448" t="s">
        <v>33</v>
      </c>
      <c r="C448" t="s">
        <v>168</v>
      </c>
      <c r="D448" t="s">
        <v>169</v>
      </c>
      <c r="E448" t="s">
        <v>118</v>
      </c>
      <c r="F448" t="s">
        <v>82</v>
      </c>
      <c r="G448">
        <v>2</v>
      </c>
    </row>
    <row r="449" spans="1:7" x14ac:dyDescent="0.35">
      <c r="A449">
        <v>2019</v>
      </c>
      <c r="B449" t="s">
        <v>33</v>
      </c>
      <c r="C449" t="s">
        <v>168</v>
      </c>
      <c r="D449" t="s">
        <v>169</v>
      </c>
      <c r="E449" t="s">
        <v>119</v>
      </c>
      <c r="F449" t="s">
        <v>82</v>
      </c>
      <c r="G449">
        <v>0</v>
      </c>
    </row>
    <row r="450" spans="1:7" x14ac:dyDescent="0.35">
      <c r="A450">
        <v>2019</v>
      </c>
      <c r="B450" t="s">
        <v>34</v>
      </c>
      <c r="C450" t="s">
        <v>168</v>
      </c>
      <c r="D450" t="s">
        <v>169</v>
      </c>
      <c r="E450" t="s">
        <v>76</v>
      </c>
      <c r="F450" t="s">
        <v>82</v>
      </c>
      <c r="G450">
        <v>3</v>
      </c>
    </row>
    <row r="451" spans="1:7" x14ac:dyDescent="0.35">
      <c r="A451">
        <v>2019</v>
      </c>
      <c r="B451" t="s">
        <v>34</v>
      </c>
      <c r="C451" t="s">
        <v>168</v>
      </c>
      <c r="D451" t="s">
        <v>169</v>
      </c>
      <c r="E451" t="s">
        <v>0</v>
      </c>
      <c r="F451" t="s">
        <v>82</v>
      </c>
      <c r="G451">
        <v>3</v>
      </c>
    </row>
    <row r="452" spans="1:7" x14ac:dyDescent="0.35">
      <c r="A452">
        <v>2019</v>
      </c>
      <c r="B452" t="s">
        <v>34</v>
      </c>
      <c r="C452" t="s">
        <v>168</v>
      </c>
      <c r="D452" t="s">
        <v>169</v>
      </c>
      <c r="E452" t="s">
        <v>118</v>
      </c>
      <c r="F452" t="s">
        <v>82</v>
      </c>
      <c r="G452">
        <v>5</v>
      </c>
    </row>
    <row r="453" spans="1:7" x14ac:dyDescent="0.35">
      <c r="A453">
        <v>2019</v>
      </c>
      <c r="B453" t="s">
        <v>34</v>
      </c>
      <c r="C453" t="s">
        <v>168</v>
      </c>
      <c r="D453" t="s">
        <v>169</v>
      </c>
      <c r="E453" t="s">
        <v>119</v>
      </c>
      <c r="F453" t="s">
        <v>82</v>
      </c>
      <c r="G453">
        <v>2</v>
      </c>
    </row>
    <row r="454" spans="1:7" x14ac:dyDescent="0.35">
      <c r="A454">
        <v>2019</v>
      </c>
      <c r="B454" t="s">
        <v>35</v>
      </c>
      <c r="C454" t="s">
        <v>168</v>
      </c>
      <c r="D454" t="s">
        <v>169</v>
      </c>
      <c r="E454" t="s">
        <v>76</v>
      </c>
      <c r="F454" t="s">
        <v>82</v>
      </c>
      <c r="G454">
        <v>3</v>
      </c>
    </row>
    <row r="455" spans="1:7" x14ac:dyDescent="0.35">
      <c r="A455">
        <v>2019</v>
      </c>
      <c r="B455" t="s">
        <v>35</v>
      </c>
      <c r="C455" t="s">
        <v>168</v>
      </c>
      <c r="D455" t="s">
        <v>169</v>
      </c>
      <c r="E455" t="s">
        <v>0</v>
      </c>
      <c r="F455" t="s">
        <v>82</v>
      </c>
      <c r="G455">
        <v>0</v>
      </c>
    </row>
    <row r="456" spans="1:7" x14ac:dyDescent="0.35">
      <c r="A456">
        <v>2019</v>
      </c>
      <c r="B456" t="s">
        <v>35</v>
      </c>
      <c r="C456" t="s">
        <v>168</v>
      </c>
      <c r="D456" t="s">
        <v>169</v>
      </c>
      <c r="E456" t="s">
        <v>118</v>
      </c>
      <c r="F456" t="s">
        <v>82</v>
      </c>
      <c r="G456">
        <v>0</v>
      </c>
    </row>
    <row r="457" spans="1:7" x14ac:dyDescent="0.35">
      <c r="A457">
        <v>2019</v>
      </c>
      <c r="B457" t="s">
        <v>35</v>
      </c>
      <c r="C457" t="s">
        <v>168</v>
      </c>
      <c r="D457" t="s">
        <v>169</v>
      </c>
      <c r="E457" t="s">
        <v>119</v>
      </c>
      <c r="F457" t="s">
        <v>82</v>
      </c>
      <c r="G457">
        <v>0</v>
      </c>
    </row>
    <row r="458" spans="1:7" x14ac:dyDescent="0.35">
      <c r="A458">
        <v>2019</v>
      </c>
      <c r="B458" t="s">
        <v>53</v>
      </c>
      <c r="C458" t="s">
        <v>168</v>
      </c>
      <c r="D458" t="s">
        <v>169</v>
      </c>
      <c r="E458" t="s">
        <v>76</v>
      </c>
      <c r="F458" t="s">
        <v>82</v>
      </c>
      <c r="G458">
        <v>1</v>
      </c>
    </row>
    <row r="459" spans="1:7" x14ac:dyDescent="0.35">
      <c r="A459">
        <v>2019</v>
      </c>
      <c r="B459" t="s">
        <v>53</v>
      </c>
      <c r="C459" t="s">
        <v>168</v>
      </c>
      <c r="D459" t="s">
        <v>169</v>
      </c>
      <c r="E459" t="s">
        <v>0</v>
      </c>
      <c r="F459" t="s">
        <v>82</v>
      </c>
      <c r="G459">
        <v>0</v>
      </c>
    </row>
    <row r="460" spans="1:7" x14ac:dyDescent="0.35">
      <c r="A460">
        <v>2019</v>
      </c>
      <c r="B460" t="s">
        <v>53</v>
      </c>
      <c r="C460" t="s">
        <v>168</v>
      </c>
      <c r="D460" t="s">
        <v>169</v>
      </c>
      <c r="E460" t="s">
        <v>118</v>
      </c>
      <c r="F460" t="s">
        <v>82</v>
      </c>
      <c r="G460">
        <v>0</v>
      </c>
    </row>
    <row r="461" spans="1:7" x14ac:dyDescent="0.35">
      <c r="A461">
        <v>2019</v>
      </c>
      <c r="B461" t="s">
        <v>53</v>
      </c>
      <c r="C461" t="s">
        <v>168</v>
      </c>
      <c r="D461" t="s">
        <v>169</v>
      </c>
      <c r="E461" t="s">
        <v>119</v>
      </c>
      <c r="F461" t="s">
        <v>82</v>
      </c>
      <c r="G461">
        <v>0</v>
      </c>
    </row>
    <row r="462" spans="1:7" x14ac:dyDescent="0.35">
      <c r="A462">
        <v>2019</v>
      </c>
      <c r="B462" t="s">
        <v>36</v>
      </c>
      <c r="C462" t="s">
        <v>168</v>
      </c>
      <c r="D462" t="s">
        <v>169</v>
      </c>
      <c r="E462" t="s">
        <v>76</v>
      </c>
      <c r="F462" t="s">
        <v>82</v>
      </c>
      <c r="G462">
        <v>20</v>
      </c>
    </row>
    <row r="463" spans="1:7" x14ac:dyDescent="0.35">
      <c r="A463">
        <v>2019</v>
      </c>
      <c r="B463" t="s">
        <v>36</v>
      </c>
      <c r="C463" t="s">
        <v>168</v>
      </c>
      <c r="D463" t="s">
        <v>169</v>
      </c>
      <c r="E463" t="s">
        <v>0</v>
      </c>
      <c r="F463" t="s">
        <v>82</v>
      </c>
      <c r="G463">
        <v>6</v>
      </c>
    </row>
    <row r="464" spans="1:7" x14ac:dyDescent="0.35">
      <c r="A464">
        <v>2019</v>
      </c>
      <c r="B464" t="s">
        <v>36</v>
      </c>
      <c r="C464" t="s">
        <v>168</v>
      </c>
      <c r="D464" t="s">
        <v>169</v>
      </c>
      <c r="E464" t="s">
        <v>118</v>
      </c>
      <c r="F464" t="s">
        <v>82</v>
      </c>
      <c r="G464">
        <v>10</v>
      </c>
    </row>
    <row r="465" spans="1:7" x14ac:dyDescent="0.35">
      <c r="A465">
        <v>2019</v>
      </c>
      <c r="B465" t="s">
        <v>36</v>
      </c>
      <c r="C465" t="s">
        <v>168</v>
      </c>
      <c r="D465" t="s">
        <v>169</v>
      </c>
      <c r="E465" t="s">
        <v>119</v>
      </c>
      <c r="F465" t="s">
        <v>82</v>
      </c>
      <c r="G465">
        <v>0</v>
      </c>
    </row>
    <row r="466" spans="1:7" x14ac:dyDescent="0.35">
      <c r="A466">
        <v>2019</v>
      </c>
      <c r="B466" t="s">
        <v>37</v>
      </c>
      <c r="C466" t="s">
        <v>168</v>
      </c>
      <c r="D466" t="s">
        <v>169</v>
      </c>
      <c r="E466" t="s">
        <v>76</v>
      </c>
      <c r="F466" t="s">
        <v>82</v>
      </c>
      <c r="G466">
        <v>18</v>
      </c>
    </row>
    <row r="467" spans="1:7" x14ac:dyDescent="0.35">
      <c r="A467">
        <v>2019</v>
      </c>
      <c r="B467" t="s">
        <v>37</v>
      </c>
      <c r="C467" t="s">
        <v>168</v>
      </c>
      <c r="D467" t="s">
        <v>169</v>
      </c>
      <c r="E467" t="s">
        <v>0</v>
      </c>
      <c r="F467" t="s">
        <v>82</v>
      </c>
      <c r="G467">
        <v>17</v>
      </c>
    </row>
    <row r="468" spans="1:7" x14ac:dyDescent="0.35">
      <c r="A468">
        <v>2019</v>
      </c>
      <c r="B468" t="s">
        <v>37</v>
      </c>
      <c r="C468" t="s">
        <v>168</v>
      </c>
      <c r="D468" t="s">
        <v>169</v>
      </c>
      <c r="E468" t="s">
        <v>118</v>
      </c>
      <c r="F468" t="s">
        <v>82</v>
      </c>
      <c r="G468">
        <v>7</v>
      </c>
    </row>
    <row r="469" spans="1:7" x14ac:dyDescent="0.35">
      <c r="A469">
        <v>2019</v>
      </c>
      <c r="B469" t="s">
        <v>37</v>
      </c>
      <c r="C469" t="s">
        <v>168</v>
      </c>
      <c r="D469" t="s">
        <v>169</v>
      </c>
      <c r="E469" t="s">
        <v>119</v>
      </c>
      <c r="F469" t="s">
        <v>82</v>
      </c>
      <c r="G469">
        <v>0</v>
      </c>
    </row>
    <row r="470" spans="1:7" x14ac:dyDescent="0.35">
      <c r="A470">
        <v>2019</v>
      </c>
      <c r="B470" t="s">
        <v>38</v>
      </c>
      <c r="C470" t="s">
        <v>168</v>
      </c>
      <c r="D470" t="s">
        <v>169</v>
      </c>
      <c r="E470" t="s">
        <v>76</v>
      </c>
      <c r="F470" t="s">
        <v>82</v>
      </c>
      <c r="G470">
        <v>14</v>
      </c>
    </row>
    <row r="471" spans="1:7" x14ac:dyDescent="0.35">
      <c r="A471">
        <v>2019</v>
      </c>
      <c r="B471" t="s">
        <v>38</v>
      </c>
      <c r="C471" t="s">
        <v>168</v>
      </c>
      <c r="D471" t="s">
        <v>169</v>
      </c>
      <c r="E471" t="s">
        <v>0</v>
      </c>
      <c r="F471" t="s">
        <v>82</v>
      </c>
      <c r="G471">
        <v>6</v>
      </c>
    </row>
    <row r="472" spans="1:7" x14ac:dyDescent="0.35">
      <c r="A472">
        <v>2019</v>
      </c>
      <c r="B472" t="s">
        <v>38</v>
      </c>
      <c r="C472" t="s">
        <v>168</v>
      </c>
      <c r="D472" t="s">
        <v>169</v>
      </c>
      <c r="E472" t="s">
        <v>118</v>
      </c>
      <c r="F472" t="s">
        <v>82</v>
      </c>
      <c r="G472">
        <v>1</v>
      </c>
    </row>
    <row r="473" spans="1:7" x14ac:dyDescent="0.35">
      <c r="A473">
        <v>2019</v>
      </c>
      <c r="B473" t="s">
        <v>38</v>
      </c>
      <c r="C473" t="s">
        <v>168</v>
      </c>
      <c r="D473" t="s">
        <v>169</v>
      </c>
      <c r="E473" t="s">
        <v>119</v>
      </c>
      <c r="F473" t="s">
        <v>82</v>
      </c>
      <c r="G473">
        <v>0</v>
      </c>
    </row>
    <row r="474" spans="1:7" x14ac:dyDescent="0.35">
      <c r="A474">
        <v>2019</v>
      </c>
      <c r="B474" t="s">
        <v>39</v>
      </c>
      <c r="C474" t="s">
        <v>168</v>
      </c>
      <c r="D474" t="s">
        <v>169</v>
      </c>
      <c r="E474" t="s">
        <v>76</v>
      </c>
      <c r="F474" t="s">
        <v>82</v>
      </c>
      <c r="G474">
        <v>10</v>
      </c>
    </row>
    <row r="475" spans="1:7" x14ac:dyDescent="0.35">
      <c r="A475">
        <v>2019</v>
      </c>
      <c r="B475" t="s">
        <v>39</v>
      </c>
      <c r="C475" t="s">
        <v>168</v>
      </c>
      <c r="D475" t="s">
        <v>169</v>
      </c>
      <c r="E475" t="s">
        <v>0</v>
      </c>
      <c r="F475" t="s">
        <v>82</v>
      </c>
      <c r="G475">
        <v>0</v>
      </c>
    </row>
    <row r="476" spans="1:7" x14ac:dyDescent="0.35">
      <c r="A476">
        <v>2019</v>
      </c>
      <c r="B476" t="s">
        <v>39</v>
      </c>
      <c r="C476" t="s">
        <v>168</v>
      </c>
      <c r="D476" t="s">
        <v>169</v>
      </c>
      <c r="E476" t="s">
        <v>118</v>
      </c>
      <c r="F476" t="s">
        <v>82</v>
      </c>
      <c r="G476">
        <v>1</v>
      </c>
    </row>
    <row r="477" spans="1:7" x14ac:dyDescent="0.35">
      <c r="A477">
        <v>2019</v>
      </c>
      <c r="B477" t="s">
        <v>39</v>
      </c>
      <c r="C477" t="s">
        <v>168</v>
      </c>
      <c r="D477" t="s">
        <v>169</v>
      </c>
      <c r="E477" t="s">
        <v>119</v>
      </c>
      <c r="F477" t="s">
        <v>82</v>
      </c>
      <c r="G477">
        <v>0</v>
      </c>
    </row>
    <row r="478" spans="1:7" x14ac:dyDescent="0.35">
      <c r="A478">
        <v>2019</v>
      </c>
      <c r="B478" t="s">
        <v>56</v>
      </c>
      <c r="C478" t="s">
        <v>168</v>
      </c>
      <c r="D478" t="s">
        <v>169</v>
      </c>
      <c r="E478" t="s">
        <v>76</v>
      </c>
      <c r="F478" t="s">
        <v>82</v>
      </c>
      <c r="G478">
        <v>9</v>
      </c>
    </row>
    <row r="479" spans="1:7" x14ac:dyDescent="0.35">
      <c r="A479">
        <v>2019</v>
      </c>
      <c r="B479" t="s">
        <v>56</v>
      </c>
      <c r="C479" t="s">
        <v>168</v>
      </c>
      <c r="D479" t="s">
        <v>169</v>
      </c>
      <c r="E479" t="s">
        <v>0</v>
      </c>
      <c r="F479" t="s">
        <v>82</v>
      </c>
      <c r="G479">
        <v>12</v>
      </c>
    </row>
    <row r="480" spans="1:7" x14ac:dyDescent="0.35">
      <c r="A480">
        <v>2019</v>
      </c>
      <c r="B480" t="s">
        <v>56</v>
      </c>
      <c r="C480" t="s">
        <v>168</v>
      </c>
      <c r="D480" t="s">
        <v>169</v>
      </c>
      <c r="E480" t="s">
        <v>118</v>
      </c>
      <c r="F480" t="s">
        <v>82</v>
      </c>
      <c r="G480">
        <v>6</v>
      </c>
    </row>
    <row r="481" spans="1:7" x14ac:dyDescent="0.35">
      <c r="A481">
        <v>2019</v>
      </c>
      <c r="B481" t="s">
        <v>56</v>
      </c>
      <c r="C481" t="s">
        <v>168</v>
      </c>
      <c r="D481" t="s">
        <v>169</v>
      </c>
      <c r="E481" t="s">
        <v>119</v>
      </c>
      <c r="F481" t="s">
        <v>82</v>
      </c>
      <c r="G481">
        <v>1</v>
      </c>
    </row>
    <row r="482" spans="1:7" x14ac:dyDescent="0.35">
      <c r="A482">
        <v>2019</v>
      </c>
      <c r="B482" t="s">
        <v>40</v>
      </c>
      <c r="C482" t="s">
        <v>168</v>
      </c>
      <c r="D482" t="s">
        <v>169</v>
      </c>
      <c r="E482" t="s">
        <v>76</v>
      </c>
      <c r="F482" t="s">
        <v>82</v>
      </c>
      <c r="G482">
        <v>11</v>
      </c>
    </row>
    <row r="483" spans="1:7" x14ac:dyDescent="0.35">
      <c r="A483">
        <v>2019</v>
      </c>
      <c r="B483" t="s">
        <v>40</v>
      </c>
      <c r="C483" t="s">
        <v>168</v>
      </c>
      <c r="D483" t="s">
        <v>169</v>
      </c>
      <c r="E483" t="s">
        <v>0</v>
      </c>
      <c r="F483" t="s">
        <v>82</v>
      </c>
      <c r="G483">
        <v>10</v>
      </c>
    </row>
    <row r="484" spans="1:7" x14ac:dyDescent="0.35">
      <c r="A484">
        <v>2019</v>
      </c>
      <c r="B484" t="s">
        <v>40</v>
      </c>
      <c r="C484" t="s">
        <v>168</v>
      </c>
      <c r="D484" t="s">
        <v>169</v>
      </c>
      <c r="E484" t="s">
        <v>118</v>
      </c>
      <c r="F484" t="s">
        <v>82</v>
      </c>
      <c r="G484">
        <v>2</v>
      </c>
    </row>
    <row r="485" spans="1:7" x14ac:dyDescent="0.35">
      <c r="A485">
        <v>2019</v>
      </c>
      <c r="B485" t="s">
        <v>40</v>
      </c>
      <c r="C485" t="s">
        <v>168</v>
      </c>
      <c r="D485" t="s">
        <v>169</v>
      </c>
      <c r="E485" t="s">
        <v>119</v>
      </c>
      <c r="F485" t="s">
        <v>82</v>
      </c>
      <c r="G485">
        <v>0</v>
      </c>
    </row>
    <row r="486" spans="1:7" x14ac:dyDescent="0.35">
      <c r="A486">
        <v>2019</v>
      </c>
      <c r="B486" t="s">
        <v>42</v>
      </c>
      <c r="C486" t="s">
        <v>168</v>
      </c>
      <c r="D486" t="s">
        <v>169</v>
      </c>
      <c r="E486" t="s">
        <v>76</v>
      </c>
      <c r="F486" t="s">
        <v>82</v>
      </c>
      <c r="G486">
        <v>10</v>
      </c>
    </row>
    <row r="487" spans="1:7" x14ac:dyDescent="0.35">
      <c r="A487">
        <v>2019</v>
      </c>
      <c r="B487" t="s">
        <v>42</v>
      </c>
      <c r="C487" t="s">
        <v>168</v>
      </c>
      <c r="D487" t="s">
        <v>169</v>
      </c>
      <c r="E487" t="s">
        <v>0</v>
      </c>
      <c r="F487" t="s">
        <v>82</v>
      </c>
      <c r="G487">
        <v>11</v>
      </c>
    </row>
    <row r="488" spans="1:7" x14ac:dyDescent="0.35">
      <c r="A488">
        <v>2019</v>
      </c>
      <c r="B488" t="s">
        <v>42</v>
      </c>
      <c r="C488" t="s">
        <v>168</v>
      </c>
      <c r="D488" t="s">
        <v>169</v>
      </c>
      <c r="E488" t="s">
        <v>118</v>
      </c>
      <c r="F488" t="s">
        <v>82</v>
      </c>
      <c r="G488">
        <v>2</v>
      </c>
    </row>
    <row r="489" spans="1:7" x14ac:dyDescent="0.35">
      <c r="A489">
        <v>2019</v>
      </c>
      <c r="B489" t="s">
        <v>42</v>
      </c>
      <c r="C489" t="s">
        <v>168</v>
      </c>
      <c r="D489" t="s">
        <v>169</v>
      </c>
      <c r="E489" t="s">
        <v>119</v>
      </c>
      <c r="F489" t="s">
        <v>82</v>
      </c>
      <c r="G489">
        <v>0</v>
      </c>
    </row>
    <row r="490" spans="1:7" x14ac:dyDescent="0.35">
      <c r="A490">
        <v>2019</v>
      </c>
      <c r="B490" t="s">
        <v>43</v>
      </c>
      <c r="C490" t="s">
        <v>168</v>
      </c>
      <c r="D490" t="s">
        <v>169</v>
      </c>
      <c r="E490" t="s">
        <v>76</v>
      </c>
      <c r="F490" t="s">
        <v>82</v>
      </c>
      <c r="G490">
        <v>4</v>
      </c>
    </row>
    <row r="491" spans="1:7" x14ac:dyDescent="0.35">
      <c r="A491">
        <v>2019</v>
      </c>
      <c r="B491" t="s">
        <v>43</v>
      </c>
      <c r="C491" t="s">
        <v>168</v>
      </c>
      <c r="D491" t="s">
        <v>169</v>
      </c>
      <c r="E491" t="s">
        <v>0</v>
      </c>
      <c r="F491" t="s">
        <v>82</v>
      </c>
      <c r="G491">
        <v>1</v>
      </c>
    </row>
    <row r="492" spans="1:7" x14ac:dyDescent="0.35">
      <c r="A492">
        <v>2019</v>
      </c>
      <c r="B492" t="s">
        <v>43</v>
      </c>
      <c r="C492" t="s">
        <v>168</v>
      </c>
      <c r="D492" t="s">
        <v>169</v>
      </c>
      <c r="E492" t="s">
        <v>118</v>
      </c>
      <c r="F492" t="s">
        <v>82</v>
      </c>
      <c r="G492">
        <v>3</v>
      </c>
    </row>
    <row r="493" spans="1:7" x14ac:dyDescent="0.35">
      <c r="A493">
        <v>2019</v>
      </c>
      <c r="B493" t="s">
        <v>43</v>
      </c>
      <c r="C493" t="s">
        <v>168</v>
      </c>
      <c r="D493" t="s">
        <v>169</v>
      </c>
      <c r="E493" t="s">
        <v>119</v>
      </c>
      <c r="F493" t="s">
        <v>82</v>
      </c>
      <c r="G493">
        <v>2</v>
      </c>
    </row>
    <row r="494" spans="1:7" x14ac:dyDescent="0.35">
      <c r="A494">
        <v>2019</v>
      </c>
      <c r="B494" t="s">
        <v>44</v>
      </c>
      <c r="C494" t="s">
        <v>168</v>
      </c>
      <c r="D494" t="s">
        <v>169</v>
      </c>
      <c r="E494" t="s">
        <v>76</v>
      </c>
      <c r="F494" t="s">
        <v>82</v>
      </c>
      <c r="G494">
        <v>4</v>
      </c>
    </row>
    <row r="495" spans="1:7" x14ac:dyDescent="0.35">
      <c r="A495">
        <v>2019</v>
      </c>
      <c r="B495" t="s">
        <v>44</v>
      </c>
      <c r="C495" t="s">
        <v>168</v>
      </c>
      <c r="D495" t="s">
        <v>169</v>
      </c>
      <c r="E495" t="s">
        <v>0</v>
      </c>
      <c r="F495" t="s">
        <v>82</v>
      </c>
      <c r="G495">
        <v>5</v>
      </c>
    </row>
    <row r="496" spans="1:7" x14ac:dyDescent="0.35">
      <c r="A496">
        <v>2019</v>
      </c>
      <c r="B496" t="s">
        <v>44</v>
      </c>
      <c r="C496" t="s">
        <v>168</v>
      </c>
      <c r="D496" t="s">
        <v>169</v>
      </c>
      <c r="E496" t="s">
        <v>118</v>
      </c>
      <c r="F496" t="s">
        <v>82</v>
      </c>
      <c r="G496">
        <v>0</v>
      </c>
    </row>
    <row r="497" spans="1:7" x14ac:dyDescent="0.35">
      <c r="A497">
        <v>2019</v>
      </c>
      <c r="B497" t="s">
        <v>44</v>
      </c>
      <c r="C497" t="s">
        <v>168</v>
      </c>
      <c r="D497" t="s">
        <v>169</v>
      </c>
      <c r="E497" t="s">
        <v>119</v>
      </c>
      <c r="F497" t="s">
        <v>82</v>
      </c>
      <c r="G497">
        <v>0</v>
      </c>
    </row>
    <row r="498" spans="1:7" x14ac:dyDescent="0.35">
      <c r="A498">
        <v>2019</v>
      </c>
      <c r="B498" t="s">
        <v>45</v>
      </c>
      <c r="C498" t="s">
        <v>168</v>
      </c>
      <c r="D498" t="s">
        <v>169</v>
      </c>
      <c r="E498" t="s">
        <v>76</v>
      </c>
      <c r="F498" t="s">
        <v>82</v>
      </c>
      <c r="G498">
        <v>6</v>
      </c>
    </row>
    <row r="499" spans="1:7" x14ac:dyDescent="0.35">
      <c r="A499">
        <v>2019</v>
      </c>
      <c r="B499" t="s">
        <v>45</v>
      </c>
      <c r="C499" t="s">
        <v>168</v>
      </c>
      <c r="D499" t="s">
        <v>169</v>
      </c>
      <c r="E499" t="s">
        <v>0</v>
      </c>
      <c r="F499" t="s">
        <v>82</v>
      </c>
      <c r="G499">
        <v>9</v>
      </c>
    </row>
    <row r="500" spans="1:7" x14ac:dyDescent="0.35">
      <c r="A500">
        <v>2019</v>
      </c>
      <c r="B500" t="s">
        <v>45</v>
      </c>
      <c r="C500" t="s">
        <v>168</v>
      </c>
      <c r="D500" t="s">
        <v>169</v>
      </c>
      <c r="E500" t="s">
        <v>118</v>
      </c>
      <c r="F500" t="s">
        <v>82</v>
      </c>
      <c r="G500">
        <v>1</v>
      </c>
    </row>
    <row r="501" spans="1:7" x14ac:dyDescent="0.35">
      <c r="A501">
        <v>2019</v>
      </c>
      <c r="B501" t="s">
        <v>45</v>
      </c>
      <c r="C501" t="s">
        <v>168</v>
      </c>
      <c r="D501" t="s">
        <v>169</v>
      </c>
      <c r="E501" t="s">
        <v>119</v>
      </c>
      <c r="F501" t="s">
        <v>82</v>
      </c>
      <c r="G501">
        <v>0</v>
      </c>
    </row>
    <row r="502" spans="1:7" x14ac:dyDescent="0.35">
      <c r="A502">
        <v>2019</v>
      </c>
      <c r="B502" t="s">
        <v>46</v>
      </c>
      <c r="C502" t="s">
        <v>168</v>
      </c>
      <c r="D502" t="s">
        <v>169</v>
      </c>
      <c r="E502" t="s">
        <v>76</v>
      </c>
      <c r="F502" t="s">
        <v>82</v>
      </c>
      <c r="G502">
        <v>12</v>
      </c>
    </row>
    <row r="503" spans="1:7" x14ac:dyDescent="0.35">
      <c r="A503">
        <v>2019</v>
      </c>
      <c r="B503" t="s">
        <v>46</v>
      </c>
      <c r="C503" t="s">
        <v>168</v>
      </c>
      <c r="D503" t="s">
        <v>169</v>
      </c>
      <c r="E503" t="s">
        <v>0</v>
      </c>
      <c r="F503" t="s">
        <v>82</v>
      </c>
      <c r="G503">
        <v>2</v>
      </c>
    </row>
    <row r="504" spans="1:7" x14ac:dyDescent="0.35">
      <c r="A504">
        <v>2019</v>
      </c>
      <c r="B504" t="s">
        <v>46</v>
      </c>
      <c r="C504" t="s">
        <v>168</v>
      </c>
      <c r="D504" t="s">
        <v>169</v>
      </c>
      <c r="E504" t="s">
        <v>118</v>
      </c>
      <c r="F504" t="s">
        <v>82</v>
      </c>
      <c r="G504">
        <v>2</v>
      </c>
    </row>
    <row r="505" spans="1:7" x14ac:dyDescent="0.35">
      <c r="A505">
        <v>2019</v>
      </c>
      <c r="B505" t="s">
        <v>46</v>
      </c>
      <c r="C505" t="s">
        <v>168</v>
      </c>
      <c r="D505" t="s">
        <v>169</v>
      </c>
      <c r="E505" t="s">
        <v>119</v>
      </c>
      <c r="F505" t="s">
        <v>82</v>
      </c>
      <c r="G505">
        <v>0</v>
      </c>
    </row>
    <row r="506" spans="1:7" x14ac:dyDescent="0.35">
      <c r="A506">
        <v>2019</v>
      </c>
      <c r="B506" t="s">
        <v>47</v>
      </c>
      <c r="C506" t="s">
        <v>168</v>
      </c>
      <c r="D506" t="s">
        <v>169</v>
      </c>
      <c r="E506" t="s">
        <v>76</v>
      </c>
      <c r="F506" t="s">
        <v>82</v>
      </c>
      <c r="G506">
        <v>6</v>
      </c>
    </row>
    <row r="507" spans="1:7" x14ac:dyDescent="0.35">
      <c r="A507">
        <v>2019</v>
      </c>
      <c r="B507" t="s">
        <v>47</v>
      </c>
      <c r="C507" t="s">
        <v>168</v>
      </c>
      <c r="D507" t="s">
        <v>169</v>
      </c>
      <c r="E507" t="s">
        <v>0</v>
      </c>
      <c r="F507" t="s">
        <v>82</v>
      </c>
      <c r="G507">
        <v>5</v>
      </c>
    </row>
    <row r="508" spans="1:7" x14ac:dyDescent="0.35">
      <c r="A508">
        <v>2019</v>
      </c>
      <c r="B508" t="s">
        <v>47</v>
      </c>
      <c r="C508" t="s">
        <v>168</v>
      </c>
      <c r="D508" t="s">
        <v>169</v>
      </c>
      <c r="E508" t="s">
        <v>118</v>
      </c>
      <c r="F508" t="s">
        <v>82</v>
      </c>
      <c r="G508">
        <v>2</v>
      </c>
    </row>
    <row r="509" spans="1:7" x14ac:dyDescent="0.35">
      <c r="A509">
        <v>2019</v>
      </c>
      <c r="B509" t="s">
        <v>47</v>
      </c>
      <c r="C509" t="s">
        <v>168</v>
      </c>
      <c r="D509" t="s">
        <v>169</v>
      </c>
      <c r="E509" t="s">
        <v>119</v>
      </c>
      <c r="F509" t="s">
        <v>82</v>
      </c>
      <c r="G509">
        <v>0</v>
      </c>
    </row>
    <row r="510" spans="1:7" x14ac:dyDescent="0.35">
      <c r="A510">
        <v>2019</v>
      </c>
      <c r="B510" t="s">
        <v>57</v>
      </c>
      <c r="C510" t="s">
        <v>168</v>
      </c>
      <c r="D510" t="s">
        <v>169</v>
      </c>
      <c r="E510" t="s">
        <v>76</v>
      </c>
      <c r="F510" t="s">
        <v>82</v>
      </c>
      <c r="G510">
        <v>1</v>
      </c>
    </row>
    <row r="511" spans="1:7" x14ac:dyDescent="0.35">
      <c r="A511">
        <v>2019</v>
      </c>
      <c r="B511" t="s">
        <v>57</v>
      </c>
      <c r="C511" t="s">
        <v>168</v>
      </c>
      <c r="D511" t="s">
        <v>169</v>
      </c>
      <c r="E511" t="s">
        <v>0</v>
      </c>
      <c r="F511" t="s">
        <v>82</v>
      </c>
      <c r="G511">
        <v>3</v>
      </c>
    </row>
    <row r="512" spans="1:7" x14ac:dyDescent="0.35">
      <c r="A512">
        <v>2019</v>
      </c>
      <c r="B512" t="s">
        <v>57</v>
      </c>
      <c r="C512" t="s">
        <v>168</v>
      </c>
      <c r="D512" t="s">
        <v>169</v>
      </c>
      <c r="E512" t="s">
        <v>118</v>
      </c>
      <c r="F512" t="s">
        <v>82</v>
      </c>
      <c r="G512">
        <v>1</v>
      </c>
    </row>
    <row r="513" spans="1:7" x14ac:dyDescent="0.35">
      <c r="A513">
        <v>2019</v>
      </c>
      <c r="B513" t="s">
        <v>57</v>
      </c>
      <c r="C513" t="s">
        <v>168</v>
      </c>
      <c r="D513" t="s">
        <v>169</v>
      </c>
      <c r="E513" t="s">
        <v>119</v>
      </c>
      <c r="F513" t="s">
        <v>82</v>
      </c>
      <c r="G513">
        <v>0</v>
      </c>
    </row>
    <row r="514" spans="1:7" x14ac:dyDescent="0.35">
      <c r="A514">
        <v>2019</v>
      </c>
      <c r="B514" t="s">
        <v>48</v>
      </c>
      <c r="C514" t="s">
        <v>168</v>
      </c>
      <c r="D514" t="s">
        <v>169</v>
      </c>
      <c r="E514" t="s">
        <v>76</v>
      </c>
      <c r="F514" t="s">
        <v>82</v>
      </c>
      <c r="G514">
        <v>11</v>
      </c>
    </row>
    <row r="515" spans="1:7" x14ac:dyDescent="0.35">
      <c r="A515">
        <v>2019</v>
      </c>
      <c r="B515" t="s">
        <v>48</v>
      </c>
      <c r="C515" t="s">
        <v>168</v>
      </c>
      <c r="D515" t="s">
        <v>169</v>
      </c>
      <c r="E515" t="s">
        <v>0</v>
      </c>
      <c r="F515" t="s">
        <v>82</v>
      </c>
      <c r="G515">
        <v>5</v>
      </c>
    </row>
    <row r="516" spans="1:7" x14ac:dyDescent="0.35">
      <c r="A516">
        <v>2019</v>
      </c>
      <c r="B516" t="s">
        <v>48</v>
      </c>
      <c r="C516" t="s">
        <v>168</v>
      </c>
      <c r="D516" t="s">
        <v>169</v>
      </c>
      <c r="E516" t="s">
        <v>118</v>
      </c>
      <c r="F516" t="s">
        <v>82</v>
      </c>
      <c r="G516">
        <v>4</v>
      </c>
    </row>
    <row r="517" spans="1:7" x14ac:dyDescent="0.35">
      <c r="A517">
        <v>2019</v>
      </c>
      <c r="B517" t="s">
        <v>48</v>
      </c>
      <c r="C517" t="s">
        <v>168</v>
      </c>
      <c r="D517" t="s">
        <v>169</v>
      </c>
      <c r="E517" t="s">
        <v>119</v>
      </c>
      <c r="F517" t="s">
        <v>82</v>
      </c>
      <c r="G517">
        <v>0</v>
      </c>
    </row>
    <row r="518" spans="1:7" x14ac:dyDescent="0.35">
      <c r="A518">
        <v>2019</v>
      </c>
      <c r="B518" t="s">
        <v>49</v>
      </c>
      <c r="C518" t="s">
        <v>168</v>
      </c>
      <c r="D518" t="s">
        <v>169</v>
      </c>
      <c r="E518" t="s">
        <v>76</v>
      </c>
      <c r="F518" t="s">
        <v>82</v>
      </c>
      <c r="G518">
        <v>11</v>
      </c>
    </row>
    <row r="519" spans="1:7" x14ac:dyDescent="0.35">
      <c r="A519">
        <v>2019</v>
      </c>
      <c r="B519" t="s">
        <v>49</v>
      </c>
      <c r="C519" t="s">
        <v>168</v>
      </c>
      <c r="D519" t="s">
        <v>169</v>
      </c>
      <c r="E519" t="s">
        <v>0</v>
      </c>
      <c r="F519" t="s">
        <v>82</v>
      </c>
      <c r="G519">
        <v>0</v>
      </c>
    </row>
    <row r="520" spans="1:7" x14ac:dyDescent="0.35">
      <c r="A520">
        <v>2019</v>
      </c>
      <c r="B520" t="s">
        <v>49</v>
      </c>
      <c r="C520" t="s">
        <v>168</v>
      </c>
      <c r="D520" t="s">
        <v>169</v>
      </c>
      <c r="E520" t="s">
        <v>118</v>
      </c>
      <c r="F520" t="s">
        <v>82</v>
      </c>
      <c r="G520">
        <v>2</v>
      </c>
    </row>
    <row r="521" spans="1:7" x14ac:dyDescent="0.35">
      <c r="A521">
        <v>2019</v>
      </c>
      <c r="B521" t="s">
        <v>49</v>
      </c>
      <c r="C521" t="s">
        <v>168</v>
      </c>
      <c r="D521" t="s">
        <v>169</v>
      </c>
      <c r="E521" t="s">
        <v>119</v>
      </c>
      <c r="F521" t="s">
        <v>82</v>
      </c>
      <c r="G521">
        <v>0</v>
      </c>
    </row>
    <row r="522" spans="1:7" x14ac:dyDescent="0.35">
      <c r="A522">
        <v>2019</v>
      </c>
      <c r="B522" t="s">
        <v>50</v>
      </c>
      <c r="C522" t="s">
        <v>168</v>
      </c>
      <c r="D522" t="s">
        <v>169</v>
      </c>
      <c r="E522" t="s">
        <v>76</v>
      </c>
      <c r="F522" t="s">
        <v>82</v>
      </c>
      <c r="G522">
        <v>0</v>
      </c>
    </row>
    <row r="523" spans="1:7" x14ac:dyDescent="0.35">
      <c r="A523">
        <v>2019</v>
      </c>
      <c r="B523" t="s">
        <v>50</v>
      </c>
      <c r="C523" t="s">
        <v>168</v>
      </c>
      <c r="D523" t="s">
        <v>169</v>
      </c>
      <c r="E523" t="s">
        <v>0</v>
      </c>
      <c r="F523" t="s">
        <v>82</v>
      </c>
      <c r="G523">
        <v>5</v>
      </c>
    </row>
    <row r="524" spans="1:7" x14ac:dyDescent="0.35">
      <c r="A524">
        <v>2019</v>
      </c>
      <c r="B524" t="s">
        <v>50</v>
      </c>
      <c r="C524" t="s">
        <v>168</v>
      </c>
      <c r="D524" t="s">
        <v>169</v>
      </c>
      <c r="E524" t="s">
        <v>118</v>
      </c>
      <c r="F524" t="s">
        <v>82</v>
      </c>
      <c r="G524">
        <v>1</v>
      </c>
    </row>
    <row r="525" spans="1:7" x14ac:dyDescent="0.35">
      <c r="A525">
        <v>2019</v>
      </c>
      <c r="B525" t="s">
        <v>50</v>
      </c>
      <c r="C525" t="s">
        <v>168</v>
      </c>
      <c r="D525" t="s">
        <v>169</v>
      </c>
      <c r="E525" t="s">
        <v>119</v>
      </c>
      <c r="F525" t="s">
        <v>82</v>
      </c>
      <c r="G525">
        <v>1</v>
      </c>
    </row>
    <row r="526" spans="1:7" x14ac:dyDescent="0.35">
      <c r="A526">
        <v>2019</v>
      </c>
      <c r="B526" t="s">
        <v>58</v>
      </c>
      <c r="C526" t="s">
        <v>168</v>
      </c>
      <c r="D526" t="s">
        <v>169</v>
      </c>
      <c r="E526" t="s">
        <v>76</v>
      </c>
      <c r="F526" t="s">
        <v>82</v>
      </c>
      <c r="G526">
        <v>0</v>
      </c>
    </row>
    <row r="527" spans="1:7" x14ac:dyDescent="0.35">
      <c r="A527">
        <v>2019</v>
      </c>
      <c r="B527" t="s">
        <v>58</v>
      </c>
      <c r="C527" t="s">
        <v>168</v>
      </c>
      <c r="D527" t="s">
        <v>169</v>
      </c>
      <c r="E527" t="s">
        <v>0</v>
      </c>
      <c r="F527" t="s">
        <v>82</v>
      </c>
      <c r="G527">
        <v>8</v>
      </c>
    </row>
    <row r="528" spans="1:7" x14ac:dyDescent="0.35">
      <c r="A528">
        <v>2019</v>
      </c>
      <c r="B528" t="s">
        <v>58</v>
      </c>
      <c r="C528" t="s">
        <v>168</v>
      </c>
      <c r="D528" t="s">
        <v>169</v>
      </c>
      <c r="E528" t="s">
        <v>118</v>
      </c>
      <c r="F528" t="s">
        <v>82</v>
      </c>
      <c r="G528">
        <v>8</v>
      </c>
    </row>
    <row r="529" spans="1:7" x14ac:dyDescent="0.35">
      <c r="A529">
        <v>2019</v>
      </c>
      <c r="B529" t="s">
        <v>58</v>
      </c>
      <c r="C529" t="s">
        <v>168</v>
      </c>
      <c r="D529" t="s">
        <v>169</v>
      </c>
      <c r="E529" t="s">
        <v>119</v>
      </c>
      <c r="F529" t="s">
        <v>82</v>
      </c>
      <c r="G529">
        <v>4</v>
      </c>
    </row>
    <row r="530" spans="1:7" x14ac:dyDescent="0.35">
      <c r="A530">
        <v>2019</v>
      </c>
      <c r="B530" t="s">
        <v>51</v>
      </c>
      <c r="C530" t="s">
        <v>168</v>
      </c>
      <c r="D530" t="s">
        <v>169</v>
      </c>
      <c r="E530" t="s">
        <v>76</v>
      </c>
      <c r="F530" t="s">
        <v>82</v>
      </c>
      <c r="G530">
        <v>5</v>
      </c>
    </row>
    <row r="531" spans="1:7" x14ac:dyDescent="0.35">
      <c r="A531">
        <v>2019</v>
      </c>
      <c r="B531" t="s">
        <v>51</v>
      </c>
      <c r="C531" t="s">
        <v>168</v>
      </c>
      <c r="D531" t="s">
        <v>169</v>
      </c>
      <c r="E531" t="s">
        <v>0</v>
      </c>
      <c r="F531" t="s">
        <v>82</v>
      </c>
      <c r="G531">
        <v>3</v>
      </c>
    </row>
    <row r="532" spans="1:7" x14ac:dyDescent="0.35">
      <c r="A532">
        <v>2019</v>
      </c>
      <c r="B532" t="s">
        <v>51</v>
      </c>
      <c r="C532" t="s">
        <v>168</v>
      </c>
      <c r="D532" t="s">
        <v>169</v>
      </c>
      <c r="E532" t="s">
        <v>118</v>
      </c>
      <c r="F532" t="s">
        <v>82</v>
      </c>
      <c r="G532">
        <v>1</v>
      </c>
    </row>
    <row r="533" spans="1:7" x14ac:dyDescent="0.35">
      <c r="A533">
        <v>2019</v>
      </c>
      <c r="B533" t="s">
        <v>51</v>
      </c>
      <c r="C533" t="s">
        <v>168</v>
      </c>
      <c r="D533" t="s">
        <v>169</v>
      </c>
      <c r="E533" t="s">
        <v>119</v>
      </c>
      <c r="F533" t="s">
        <v>82</v>
      </c>
      <c r="G533">
        <v>1</v>
      </c>
    </row>
    <row r="534" spans="1:7" x14ac:dyDescent="0.35">
      <c r="A534">
        <v>2019</v>
      </c>
      <c r="B534" t="s">
        <v>59</v>
      </c>
      <c r="C534" t="s">
        <v>168</v>
      </c>
      <c r="D534" t="s">
        <v>169</v>
      </c>
      <c r="E534" t="s">
        <v>76</v>
      </c>
      <c r="F534" t="s">
        <v>82</v>
      </c>
      <c r="G534">
        <v>0</v>
      </c>
    </row>
    <row r="535" spans="1:7" x14ac:dyDescent="0.35">
      <c r="A535">
        <v>2019</v>
      </c>
      <c r="B535" t="s">
        <v>59</v>
      </c>
      <c r="C535" t="s">
        <v>168</v>
      </c>
      <c r="D535" t="s">
        <v>169</v>
      </c>
      <c r="E535" t="s">
        <v>0</v>
      </c>
      <c r="F535" t="s">
        <v>82</v>
      </c>
      <c r="G535">
        <v>17</v>
      </c>
    </row>
    <row r="536" spans="1:7" x14ac:dyDescent="0.35">
      <c r="A536">
        <v>2019</v>
      </c>
      <c r="B536" t="s">
        <v>59</v>
      </c>
      <c r="C536" t="s">
        <v>168</v>
      </c>
      <c r="D536" t="s">
        <v>169</v>
      </c>
      <c r="E536" t="s">
        <v>118</v>
      </c>
      <c r="F536" t="s">
        <v>82</v>
      </c>
      <c r="G536">
        <v>5</v>
      </c>
    </row>
    <row r="537" spans="1:7" x14ac:dyDescent="0.35">
      <c r="A537">
        <v>2019</v>
      </c>
      <c r="B537" t="s">
        <v>59</v>
      </c>
      <c r="C537" t="s">
        <v>168</v>
      </c>
      <c r="D537" t="s">
        <v>169</v>
      </c>
      <c r="E537" t="s">
        <v>119</v>
      </c>
      <c r="F537" t="s">
        <v>82</v>
      </c>
      <c r="G537">
        <v>0</v>
      </c>
    </row>
    <row r="538" spans="1:7" x14ac:dyDescent="0.35">
      <c r="A538">
        <v>2019</v>
      </c>
      <c r="B538" t="s">
        <v>52</v>
      </c>
      <c r="C538" t="s">
        <v>168</v>
      </c>
      <c r="D538" t="s">
        <v>169</v>
      </c>
      <c r="E538" t="s">
        <v>76</v>
      </c>
      <c r="F538" t="s">
        <v>82</v>
      </c>
      <c r="G538">
        <v>6</v>
      </c>
    </row>
    <row r="539" spans="1:7" x14ac:dyDescent="0.35">
      <c r="A539">
        <v>2019</v>
      </c>
      <c r="B539" t="s">
        <v>52</v>
      </c>
      <c r="C539" t="s">
        <v>168</v>
      </c>
      <c r="D539" t="s">
        <v>169</v>
      </c>
      <c r="E539" t="s">
        <v>0</v>
      </c>
      <c r="F539" t="s">
        <v>82</v>
      </c>
      <c r="G539">
        <v>4</v>
      </c>
    </row>
    <row r="540" spans="1:7" x14ac:dyDescent="0.35">
      <c r="A540">
        <v>2019</v>
      </c>
      <c r="B540" t="s">
        <v>52</v>
      </c>
      <c r="C540" t="s">
        <v>168</v>
      </c>
      <c r="D540" t="s">
        <v>169</v>
      </c>
      <c r="E540" t="s">
        <v>118</v>
      </c>
      <c r="F540" t="s">
        <v>82</v>
      </c>
      <c r="G540">
        <v>5</v>
      </c>
    </row>
    <row r="541" spans="1:7" x14ac:dyDescent="0.35">
      <c r="A541">
        <v>2019</v>
      </c>
      <c r="B541" t="s">
        <v>52</v>
      </c>
      <c r="C541" t="s">
        <v>168</v>
      </c>
      <c r="D541" t="s">
        <v>169</v>
      </c>
      <c r="E541" t="s">
        <v>119</v>
      </c>
      <c r="F541" t="s">
        <v>82</v>
      </c>
      <c r="G541">
        <v>0</v>
      </c>
    </row>
    <row r="542" spans="1:7" x14ac:dyDescent="0.35">
      <c r="A542">
        <v>2019</v>
      </c>
      <c r="B542" t="s">
        <v>60</v>
      </c>
      <c r="C542" t="s">
        <v>168</v>
      </c>
      <c r="D542" t="s">
        <v>169</v>
      </c>
      <c r="E542" t="s">
        <v>76</v>
      </c>
      <c r="F542" t="s">
        <v>82</v>
      </c>
      <c r="G542">
        <v>4</v>
      </c>
    </row>
    <row r="543" spans="1:7" x14ac:dyDescent="0.35">
      <c r="A543">
        <v>2019</v>
      </c>
      <c r="B543" t="s">
        <v>60</v>
      </c>
      <c r="C543" t="s">
        <v>168</v>
      </c>
      <c r="D543" t="s">
        <v>169</v>
      </c>
      <c r="E543" t="s">
        <v>0</v>
      </c>
      <c r="F543" t="s">
        <v>82</v>
      </c>
      <c r="G543">
        <v>12</v>
      </c>
    </row>
    <row r="544" spans="1:7" x14ac:dyDescent="0.35">
      <c r="A544">
        <v>2019</v>
      </c>
      <c r="B544" t="s">
        <v>60</v>
      </c>
      <c r="C544" t="s">
        <v>168</v>
      </c>
      <c r="D544" t="s">
        <v>169</v>
      </c>
      <c r="E544" t="s">
        <v>118</v>
      </c>
      <c r="F544" t="s">
        <v>82</v>
      </c>
      <c r="G544">
        <v>11</v>
      </c>
    </row>
    <row r="545" spans="1:7" x14ac:dyDescent="0.35">
      <c r="A545">
        <v>2019</v>
      </c>
      <c r="B545" t="s">
        <v>60</v>
      </c>
      <c r="C545" t="s">
        <v>168</v>
      </c>
      <c r="D545" t="s">
        <v>169</v>
      </c>
      <c r="E545" t="s">
        <v>119</v>
      </c>
      <c r="F545" t="s">
        <v>82</v>
      </c>
      <c r="G545">
        <v>1</v>
      </c>
    </row>
    <row r="546" spans="1:7" x14ac:dyDescent="0.35">
      <c r="A546">
        <v>2019</v>
      </c>
      <c r="B546" t="s">
        <v>26</v>
      </c>
      <c r="C546" t="s">
        <v>168</v>
      </c>
      <c r="D546" t="s">
        <v>169</v>
      </c>
      <c r="E546" t="s">
        <v>76</v>
      </c>
      <c r="F546" t="s">
        <v>82</v>
      </c>
      <c r="G546">
        <v>8</v>
      </c>
    </row>
    <row r="547" spans="1:7" x14ac:dyDescent="0.35">
      <c r="A547">
        <v>2019</v>
      </c>
      <c r="B547" t="s">
        <v>26</v>
      </c>
      <c r="C547" t="s">
        <v>168</v>
      </c>
      <c r="D547" t="s">
        <v>169</v>
      </c>
      <c r="E547" t="s">
        <v>0</v>
      </c>
      <c r="F547" t="s">
        <v>82</v>
      </c>
      <c r="G547">
        <v>6</v>
      </c>
    </row>
    <row r="548" spans="1:7" x14ac:dyDescent="0.35">
      <c r="A548">
        <v>2019</v>
      </c>
      <c r="B548" t="s">
        <v>26</v>
      </c>
      <c r="C548" t="s">
        <v>168</v>
      </c>
      <c r="D548" t="s">
        <v>169</v>
      </c>
      <c r="E548" t="s">
        <v>118</v>
      </c>
      <c r="F548" t="s">
        <v>82</v>
      </c>
      <c r="G548">
        <v>16</v>
      </c>
    </row>
    <row r="549" spans="1:7" x14ac:dyDescent="0.35">
      <c r="A549">
        <v>2019</v>
      </c>
      <c r="B549" t="s">
        <v>26</v>
      </c>
      <c r="C549" t="s">
        <v>168</v>
      </c>
      <c r="D549" t="s">
        <v>169</v>
      </c>
      <c r="E549" t="s">
        <v>119</v>
      </c>
      <c r="F549" t="s">
        <v>82</v>
      </c>
      <c r="G549">
        <v>0</v>
      </c>
    </row>
    <row r="550" spans="1:7" x14ac:dyDescent="0.35">
      <c r="A550">
        <v>2019</v>
      </c>
      <c r="B550" t="s">
        <v>41</v>
      </c>
      <c r="C550" t="s">
        <v>168</v>
      </c>
      <c r="D550" t="s">
        <v>169</v>
      </c>
      <c r="E550" t="s">
        <v>76</v>
      </c>
      <c r="F550" t="s">
        <v>82</v>
      </c>
      <c r="G550">
        <v>0</v>
      </c>
    </row>
    <row r="551" spans="1:7" x14ac:dyDescent="0.35">
      <c r="A551">
        <v>2019</v>
      </c>
      <c r="B551" t="s">
        <v>41</v>
      </c>
      <c r="C551" t="s">
        <v>168</v>
      </c>
      <c r="D551" t="s">
        <v>169</v>
      </c>
      <c r="E551" t="s">
        <v>0</v>
      </c>
      <c r="F551" t="s">
        <v>82</v>
      </c>
      <c r="G551">
        <v>0</v>
      </c>
    </row>
    <row r="552" spans="1:7" x14ac:dyDescent="0.35">
      <c r="A552">
        <v>2019</v>
      </c>
      <c r="B552" t="s">
        <v>41</v>
      </c>
      <c r="C552" t="s">
        <v>168</v>
      </c>
      <c r="D552" t="s">
        <v>169</v>
      </c>
      <c r="E552" t="s">
        <v>118</v>
      </c>
      <c r="F552" t="s">
        <v>82</v>
      </c>
      <c r="G552">
        <v>0</v>
      </c>
    </row>
    <row r="553" spans="1:7" x14ac:dyDescent="0.35">
      <c r="A553">
        <v>2019</v>
      </c>
      <c r="B553" t="s">
        <v>41</v>
      </c>
      <c r="C553" t="s">
        <v>168</v>
      </c>
      <c r="D553" t="s">
        <v>169</v>
      </c>
      <c r="E553" t="s">
        <v>119</v>
      </c>
      <c r="F553" t="s">
        <v>82</v>
      </c>
      <c r="G553">
        <v>2</v>
      </c>
    </row>
    <row r="554" spans="1:7" x14ac:dyDescent="0.35">
      <c r="A554">
        <v>2019</v>
      </c>
      <c r="B554" t="s">
        <v>15</v>
      </c>
      <c r="C554" t="s">
        <v>168</v>
      </c>
      <c r="D554" t="s">
        <v>169</v>
      </c>
      <c r="E554" t="s">
        <v>76</v>
      </c>
      <c r="F554" t="s">
        <v>83</v>
      </c>
      <c r="G554">
        <v>1</v>
      </c>
    </row>
    <row r="555" spans="1:7" x14ac:dyDescent="0.35">
      <c r="A555">
        <v>2019</v>
      </c>
      <c r="B555" t="s">
        <v>15</v>
      </c>
      <c r="C555" t="s">
        <v>168</v>
      </c>
      <c r="D555" t="s">
        <v>169</v>
      </c>
      <c r="E555" t="s">
        <v>0</v>
      </c>
      <c r="F555" t="s">
        <v>83</v>
      </c>
      <c r="G555">
        <v>1</v>
      </c>
    </row>
    <row r="556" spans="1:7" x14ac:dyDescent="0.35">
      <c r="A556">
        <v>2019</v>
      </c>
      <c r="B556" t="s">
        <v>15</v>
      </c>
      <c r="C556" t="s">
        <v>168</v>
      </c>
      <c r="D556" t="s">
        <v>169</v>
      </c>
      <c r="E556" t="s">
        <v>118</v>
      </c>
      <c r="F556" t="s">
        <v>83</v>
      </c>
      <c r="G556">
        <v>5</v>
      </c>
    </row>
    <row r="557" spans="1:7" x14ac:dyDescent="0.35">
      <c r="A557">
        <v>2019</v>
      </c>
      <c r="B557" t="s">
        <v>15</v>
      </c>
      <c r="C557" t="s">
        <v>168</v>
      </c>
      <c r="D557" t="s">
        <v>169</v>
      </c>
      <c r="E557" t="s">
        <v>119</v>
      </c>
      <c r="F557" t="s">
        <v>83</v>
      </c>
      <c r="G557">
        <v>0</v>
      </c>
    </row>
    <row r="558" spans="1:7" x14ac:dyDescent="0.35">
      <c r="A558">
        <v>2019</v>
      </c>
      <c r="B558" t="s">
        <v>16</v>
      </c>
      <c r="C558" t="s">
        <v>168</v>
      </c>
      <c r="D558" t="s">
        <v>169</v>
      </c>
      <c r="E558" t="s">
        <v>76</v>
      </c>
      <c r="F558" t="s">
        <v>83</v>
      </c>
      <c r="G558">
        <v>4</v>
      </c>
    </row>
    <row r="559" spans="1:7" x14ac:dyDescent="0.35">
      <c r="A559">
        <v>2019</v>
      </c>
      <c r="B559" t="s">
        <v>16</v>
      </c>
      <c r="C559" t="s">
        <v>168</v>
      </c>
      <c r="D559" t="s">
        <v>169</v>
      </c>
      <c r="E559" t="s">
        <v>0</v>
      </c>
      <c r="F559" t="s">
        <v>83</v>
      </c>
      <c r="G559">
        <v>1</v>
      </c>
    </row>
    <row r="560" spans="1:7" x14ac:dyDescent="0.35">
      <c r="A560">
        <v>2019</v>
      </c>
      <c r="B560" t="s">
        <v>16</v>
      </c>
      <c r="C560" t="s">
        <v>168</v>
      </c>
      <c r="D560" t="s">
        <v>169</v>
      </c>
      <c r="E560" t="s">
        <v>118</v>
      </c>
      <c r="F560" t="s">
        <v>83</v>
      </c>
      <c r="G560">
        <v>6</v>
      </c>
    </row>
    <row r="561" spans="1:7" x14ac:dyDescent="0.35">
      <c r="A561">
        <v>2019</v>
      </c>
      <c r="B561" t="s">
        <v>16</v>
      </c>
      <c r="C561" t="s">
        <v>168</v>
      </c>
      <c r="D561" t="s">
        <v>169</v>
      </c>
      <c r="E561" t="s">
        <v>119</v>
      </c>
      <c r="F561" t="s">
        <v>83</v>
      </c>
      <c r="G561">
        <v>0</v>
      </c>
    </row>
    <row r="562" spans="1:7" x14ac:dyDescent="0.35">
      <c r="A562">
        <v>2019</v>
      </c>
      <c r="B562" t="s">
        <v>17</v>
      </c>
      <c r="C562" t="s">
        <v>168</v>
      </c>
      <c r="D562" t="s">
        <v>169</v>
      </c>
      <c r="E562" t="s">
        <v>76</v>
      </c>
      <c r="F562" t="s">
        <v>83</v>
      </c>
      <c r="G562">
        <v>1</v>
      </c>
    </row>
    <row r="563" spans="1:7" x14ac:dyDescent="0.35">
      <c r="A563">
        <v>2019</v>
      </c>
      <c r="B563" t="s">
        <v>17</v>
      </c>
      <c r="C563" t="s">
        <v>168</v>
      </c>
      <c r="D563" t="s">
        <v>169</v>
      </c>
      <c r="E563" t="s">
        <v>0</v>
      </c>
      <c r="F563" t="s">
        <v>83</v>
      </c>
      <c r="G563">
        <v>0</v>
      </c>
    </row>
    <row r="564" spans="1:7" x14ac:dyDescent="0.35">
      <c r="A564">
        <v>2019</v>
      </c>
      <c r="B564" t="s">
        <v>17</v>
      </c>
      <c r="C564" t="s">
        <v>168</v>
      </c>
      <c r="D564" t="s">
        <v>169</v>
      </c>
      <c r="E564" t="s">
        <v>118</v>
      </c>
      <c r="F564" t="s">
        <v>83</v>
      </c>
      <c r="G564">
        <v>5</v>
      </c>
    </row>
    <row r="565" spans="1:7" x14ac:dyDescent="0.35">
      <c r="A565">
        <v>2019</v>
      </c>
      <c r="B565" t="s">
        <v>17</v>
      </c>
      <c r="C565" t="s">
        <v>168</v>
      </c>
      <c r="D565" t="s">
        <v>169</v>
      </c>
      <c r="E565" t="s">
        <v>119</v>
      </c>
      <c r="F565" t="s">
        <v>83</v>
      </c>
      <c r="G565">
        <v>0</v>
      </c>
    </row>
    <row r="566" spans="1:7" x14ac:dyDescent="0.35">
      <c r="A566">
        <v>2019</v>
      </c>
      <c r="B566" t="s">
        <v>18</v>
      </c>
      <c r="C566" t="s">
        <v>168</v>
      </c>
      <c r="D566" t="s">
        <v>169</v>
      </c>
      <c r="E566" t="s">
        <v>76</v>
      </c>
      <c r="F566" t="s">
        <v>83</v>
      </c>
      <c r="G566">
        <v>1</v>
      </c>
    </row>
    <row r="567" spans="1:7" x14ac:dyDescent="0.35">
      <c r="A567">
        <v>2019</v>
      </c>
      <c r="B567" t="s">
        <v>18</v>
      </c>
      <c r="C567" t="s">
        <v>168</v>
      </c>
      <c r="D567" t="s">
        <v>169</v>
      </c>
      <c r="E567" t="s">
        <v>0</v>
      </c>
      <c r="F567" t="s">
        <v>83</v>
      </c>
      <c r="G567">
        <v>3</v>
      </c>
    </row>
    <row r="568" spans="1:7" x14ac:dyDescent="0.35">
      <c r="A568">
        <v>2019</v>
      </c>
      <c r="B568" t="s">
        <v>18</v>
      </c>
      <c r="C568" t="s">
        <v>168</v>
      </c>
      <c r="D568" t="s">
        <v>169</v>
      </c>
      <c r="E568" t="s">
        <v>118</v>
      </c>
      <c r="F568" t="s">
        <v>83</v>
      </c>
      <c r="G568">
        <v>3</v>
      </c>
    </row>
    <row r="569" spans="1:7" x14ac:dyDescent="0.35">
      <c r="A569">
        <v>2019</v>
      </c>
      <c r="B569" t="s">
        <v>18</v>
      </c>
      <c r="C569" t="s">
        <v>168</v>
      </c>
      <c r="D569" t="s">
        <v>169</v>
      </c>
      <c r="E569" t="s">
        <v>119</v>
      </c>
      <c r="F569" t="s">
        <v>83</v>
      </c>
      <c r="G569">
        <v>0</v>
      </c>
    </row>
    <row r="570" spans="1:7" x14ac:dyDescent="0.35">
      <c r="A570">
        <v>2019</v>
      </c>
      <c r="B570" t="s">
        <v>19</v>
      </c>
      <c r="C570" t="s">
        <v>168</v>
      </c>
      <c r="D570" t="s">
        <v>169</v>
      </c>
      <c r="E570" t="s">
        <v>76</v>
      </c>
      <c r="F570" t="s">
        <v>83</v>
      </c>
      <c r="G570">
        <v>6</v>
      </c>
    </row>
    <row r="571" spans="1:7" x14ac:dyDescent="0.35">
      <c r="A571">
        <v>2019</v>
      </c>
      <c r="B571" t="s">
        <v>19</v>
      </c>
      <c r="C571" t="s">
        <v>168</v>
      </c>
      <c r="D571" t="s">
        <v>169</v>
      </c>
      <c r="E571" t="s">
        <v>0</v>
      </c>
      <c r="F571" t="s">
        <v>83</v>
      </c>
      <c r="G571">
        <v>1</v>
      </c>
    </row>
    <row r="572" spans="1:7" x14ac:dyDescent="0.35">
      <c r="A572">
        <v>2019</v>
      </c>
      <c r="B572" t="s">
        <v>19</v>
      </c>
      <c r="C572" t="s">
        <v>168</v>
      </c>
      <c r="D572" t="s">
        <v>169</v>
      </c>
      <c r="E572" t="s">
        <v>118</v>
      </c>
      <c r="F572" t="s">
        <v>83</v>
      </c>
      <c r="G572">
        <v>4</v>
      </c>
    </row>
    <row r="573" spans="1:7" x14ac:dyDescent="0.35">
      <c r="A573">
        <v>2019</v>
      </c>
      <c r="B573" t="s">
        <v>19</v>
      </c>
      <c r="C573" t="s">
        <v>168</v>
      </c>
      <c r="D573" t="s">
        <v>169</v>
      </c>
      <c r="E573" t="s">
        <v>119</v>
      </c>
      <c r="F573" t="s">
        <v>83</v>
      </c>
      <c r="G573">
        <v>1</v>
      </c>
    </row>
    <row r="574" spans="1:7" x14ac:dyDescent="0.35">
      <c r="A574">
        <v>2019</v>
      </c>
      <c r="B574" t="s">
        <v>20</v>
      </c>
      <c r="C574" t="s">
        <v>168</v>
      </c>
      <c r="D574" t="s">
        <v>169</v>
      </c>
      <c r="E574" t="s">
        <v>76</v>
      </c>
      <c r="F574" t="s">
        <v>83</v>
      </c>
      <c r="G574">
        <v>2</v>
      </c>
    </row>
    <row r="575" spans="1:7" x14ac:dyDescent="0.35">
      <c r="A575">
        <v>2019</v>
      </c>
      <c r="B575" t="s">
        <v>20</v>
      </c>
      <c r="C575" t="s">
        <v>168</v>
      </c>
      <c r="D575" t="s">
        <v>169</v>
      </c>
      <c r="E575" t="s">
        <v>0</v>
      </c>
      <c r="F575" t="s">
        <v>83</v>
      </c>
      <c r="G575">
        <v>5</v>
      </c>
    </row>
    <row r="576" spans="1:7" x14ac:dyDescent="0.35">
      <c r="A576">
        <v>2019</v>
      </c>
      <c r="B576" t="s">
        <v>20</v>
      </c>
      <c r="C576" t="s">
        <v>168</v>
      </c>
      <c r="D576" t="s">
        <v>169</v>
      </c>
      <c r="E576" t="s">
        <v>118</v>
      </c>
      <c r="F576" t="s">
        <v>83</v>
      </c>
      <c r="G576">
        <v>2</v>
      </c>
    </row>
    <row r="577" spans="1:7" x14ac:dyDescent="0.35">
      <c r="A577">
        <v>2019</v>
      </c>
      <c r="B577" t="s">
        <v>20</v>
      </c>
      <c r="C577" t="s">
        <v>168</v>
      </c>
      <c r="D577" t="s">
        <v>169</v>
      </c>
      <c r="E577" t="s">
        <v>119</v>
      </c>
      <c r="F577" t="s">
        <v>83</v>
      </c>
      <c r="G577">
        <v>0</v>
      </c>
    </row>
    <row r="578" spans="1:7" x14ac:dyDescent="0.35">
      <c r="A578">
        <v>2019</v>
      </c>
      <c r="B578" t="s">
        <v>21</v>
      </c>
      <c r="C578" t="s">
        <v>168</v>
      </c>
      <c r="D578" t="s">
        <v>169</v>
      </c>
      <c r="E578" t="s">
        <v>76</v>
      </c>
      <c r="F578" t="s">
        <v>83</v>
      </c>
      <c r="G578">
        <v>0</v>
      </c>
    </row>
    <row r="579" spans="1:7" x14ac:dyDescent="0.35">
      <c r="A579">
        <v>2019</v>
      </c>
      <c r="B579" t="s">
        <v>21</v>
      </c>
      <c r="C579" t="s">
        <v>168</v>
      </c>
      <c r="D579" t="s">
        <v>169</v>
      </c>
      <c r="E579" t="s">
        <v>0</v>
      </c>
      <c r="F579" t="s">
        <v>83</v>
      </c>
      <c r="G579">
        <v>2</v>
      </c>
    </row>
    <row r="580" spans="1:7" x14ac:dyDescent="0.35">
      <c r="A580">
        <v>2019</v>
      </c>
      <c r="B580" t="s">
        <v>21</v>
      </c>
      <c r="C580" t="s">
        <v>168</v>
      </c>
      <c r="D580" t="s">
        <v>169</v>
      </c>
      <c r="E580" t="s">
        <v>118</v>
      </c>
      <c r="F580" t="s">
        <v>83</v>
      </c>
      <c r="G580">
        <v>4</v>
      </c>
    </row>
    <row r="581" spans="1:7" x14ac:dyDescent="0.35">
      <c r="A581">
        <v>2019</v>
      </c>
      <c r="B581" t="s">
        <v>21</v>
      </c>
      <c r="C581" t="s">
        <v>168</v>
      </c>
      <c r="D581" t="s">
        <v>169</v>
      </c>
      <c r="E581" t="s">
        <v>119</v>
      </c>
      <c r="F581" t="s">
        <v>83</v>
      </c>
      <c r="G581">
        <v>1</v>
      </c>
    </row>
    <row r="582" spans="1:7" x14ac:dyDescent="0.35">
      <c r="A582">
        <v>2019</v>
      </c>
      <c r="B582" t="s">
        <v>22</v>
      </c>
      <c r="C582" t="s">
        <v>168</v>
      </c>
      <c r="D582" t="s">
        <v>169</v>
      </c>
      <c r="E582" t="s">
        <v>76</v>
      </c>
      <c r="F582" t="s">
        <v>83</v>
      </c>
      <c r="G582">
        <v>15</v>
      </c>
    </row>
    <row r="583" spans="1:7" x14ac:dyDescent="0.35">
      <c r="A583">
        <v>2019</v>
      </c>
      <c r="B583" t="s">
        <v>22</v>
      </c>
      <c r="C583" t="s">
        <v>168</v>
      </c>
      <c r="D583" t="s">
        <v>169</v>
      </c>
      <c r="E583" t="s">
        <v>0</v>
      </c>
      <c r="F583" t="s">
        <v>83</v>
      </c>
      <c r="G583">
        <v>2</v>
      </c>
    </row>
    <row r="584" spans="1:7" x14ac:dyDescent="0.35">
      <c r="A584">
        <v>2019</v>
      </c>
      <c r="B584" t="s">
        <v>22</v>
      </c>
      <c r="C584" t="s">
        <v>168</v>
      </c>
      <c r="D584" t="s">
        <v>169</v>
      </c>
      <c r="E584" t="s">
        <v>118</v>
      </c>
      <c r="F584" t="s">
        <v>83</v>
      </c>
      <c r="G584">
        <v>2</v>
      </c>
    </row>
    <row r="585" spans="1:7" x14ac:dyDescent="0.35">
      <c r="A585">
        <v>2019</v>
      </c>
      <c r="B585" t="s">
        <v>22</v>
      </c>
      <c r="C585" t="s">
        <v>168</v>
      </c>
      <c r="D585" t="s">
        <v>169</v>
      </c>
      <c r="E585" t="s">
        <v>119</v>
      </c>
      <c r="F585" t="s">
        <v>83</v>
      </c>
      <c r="G585">
        <v>2</v>
      </c>
    </row>
    <row r="586" spans="1:7" x14ac:dyDescent="0.35">
      <c r="A586">
        <v>2019</v>
      </c>
      <c r="B586" t="s">
        <v>23</v>
      </c>
      <c r="C586" t="s">
        <v>168</v>
      </c>
      <c r="D586" t="s">
        <v>169</v>
      </c>
      <c r="E586" t="s">
        <v>76</v>
      </c>
      <c r="F586" t="s">
        <v>83</v>
      </c>
      <c r="G586">
        <v>4</v>
      </c>
    </row>
    <row r="587" spans="1:7" x14ac:dyDescent="0.35">
      <c r="A587">
        <v>2019</v>
      </c>
      <c r="B587" t="s">
        <v>23</v>
      </c>
      <c r="C587" t="s">
        <v>168</v>
      </c>
      <c r="D587" t="s">
        <v>169</v>
      </c>
      <c r="E587" t="s">
        <v>0</v>
      </c>
      <c r="F587" t="s">
        <v>83</v>
      </c>
      <c r="G587">
        <v>1</v>
      </c>
    </row>
    <row r="588" spans="1:7" x14ac:dyDescent="0.35">
      <c r="A588">
        <v>2019</v>
      </c>
      <c r="B588" t="s">
        <v>23</v>
      </c>
      <c r="C588" t="s">
        <v>168</v>
      </c>
      <c r="D588" t="s">
        <v>169</v>
      </c>
      <c r="E588" t="s">
        <v>118</v>
      </c>
      <c r="F588" t="s">
        <v>83</v>
      </c>
      <c r="G588">
        <v>1</v>
      </c>
    </row>
    <row r="589" spans="1:7" x14ac:dyDescent="0.35">
      <c r="A589">
        <v>2019</v>
      </c>
      <c r="B589" t="s">
        <v>23</v>
      </c>
      <c r="C589" t="s">
        <v>168</v>
      </c>
      <c r="D589" t="s">
        <v>169</v>
      </c>
      <c r="E589" t="s">
        <v>119</v>
      </c>
      <c r="F589" t="s">
        <v>83</v>
      </c>
      <c r="G589">
        <v>0</v>
      </c>
    </row>
    <row r="590" spans="1:7" x14ac:dyDescent="0.35">
      <c r="A590">
        <v>2019</v>
      </c>
      <c r="B590" t="s">
        <v>24</v>
      </c>
      <c r="C590" t="s">
        <v>168</v>
      </c>
      <c r="D590" t="s">
        <v>169</v>
      </c>
      <c r="E590" t="s">
        <v>76</v>
      </c>
      <c r="F590" t="s">
        <v>83</v>
      </c>
      <c r="G590">
        <v>2</v>
      </c>
    </row>
    <row r="591" spans="1:7" x14ac:dyDescent="0.35">
      <c r="A591">
        <v>2019</v>
      </c>
      <c r="B591" t="s">
        <v>24</v>
      </c>
      <c r="C591" t="s">
        <v>168</v>
      </c>
      <c r="D591" t="s">
        <v>169</v>
      </c>
      <c r="E591" t="s">
        <v>0</v>
      </c>
      <c r="F591" t="s">
        <v>83</v>
      </c>
      <c r="G591">
        <v>0</v>
      </c>
    </row>
    <row r="592" spans="1:7" x14ac:dyDescent="0.35">
      <c r="A592">
        <v>2019</v>
      </c>
      <c r="B592" t="s">
        <v>24</v>
      </c>
      <c r="C592" t="s">
        <v>168</v>
      </c>
      <c r="D592" t="s">
        <v>169</v>
      </c>
      <c r="E592" t="s">
        <v>118</v>
      </c>
      <c r="F592" t="s">
        <v>83</v>
      </c>
      <c r="G592">
        <v>11</v>
      </c>
    </row>
    <row r="593" spans="1:7" x14ac:dyDescent="0.35">
      <c r="A593">
        <v>2019</v>
      </c>
      <c r="B593" t="s">
        <v>24</v>
      </c>
      <c r="C593" t="s">
        <v>168</v>
      </c>
      <c r="D593" t="s">
        <v>169</v>
      </c>
      <c r="E593" t="s">
        <v>119</v>
      </c>
      <c r="F593" t="s">
        <v>83</v>
      </c>
      <c r="G593">
        <v>0</v>
      </c>
    </row>
    <row r="594" spans="1:7" x14ac:dyDescent="0.35">
      <c r="A594">
        <v>2019</v>
      </c>
      <c r="B594" t="s">
        <v>25</v>
      </c>
      <c r="C594" t="s">
        <v>168</v>
      </c>
      <c r="D594" t="s">
        <v>169</v>
      </c>
      <c r="E594" t="s">
        <v>76</v>
      </c>
      <c r="F594" t="s">
        <v>83</v>
      </c>
      <c r="G594">
        <v>14</v>
      </c>
    </row>
    <row r="595" spans="1:7" x14ac:dyDescent="0.35">
      <c r="A595">
        <v>2019</v>
      </c>
      <c r="B595" t="s">
        <v>25</v>
      </c>
      <c r="C595" t="s">
        <v>168</v>
      </c>
      <c r="D595" t="s">
        <v>169</v>
      </c>
      <c r="E595" t="s">
        <v>0</v>
      </c>
      <c r="F595" t="s">
        <v>83</v>
      </c>
      <c r="G595">
        <v>2</v>
      </c>
    </row>
    <row r="596" spans="1:7" x14ac:dyDescent="0.35">
      <c r="A596">
        <v>2019</v>
      </c>
      <c r="B596" t="s">
        <v>25</v>
      </c>
      <c r="C596" t="s">
        <v>168</v>
      </c>
      <c r="D596" t="s">
        <v>169</v>
      </c>
      <c r="E596" t="s">
        <v>118</v>
      </c>
      <c r="F596" t="s">
        <v>83</v>
      </c>
      <c r="G596">
        <v>10</v>
      </c>
    </row>
    <row r="597" spans="1:7" x14ac:dyDescent="0.35">
      <c r="A597">
        <v>2019</v>
      </c>
      <c r="B597" t="s">
        <v>25</v>
      </c>
      <c r="C597" t="s">
        <v>168</v>
      </c>
      <c r="D597" t="s">
        <v>169</v>
      </c>
      <c r="E597" t="s">
        <v>119</v>
      </c>
      <c r="F597" t="s">
        <v>83</v>
      </c>
      <c r="G597">
        <v>0</v>
      </c>
    </row>
    <row r="598" spans="1:7" x14ac:dyDescent="0.35">
      <c r="A598">
        <v>2019</v>
      </c>
      <c r="B598" t="s">
        <v>27</v>
      </c>
      <c r="C598" t="s">
        <v>168</v>
      </c>
      <c r="D598" t="s">
        <v>169</v>
      </c>
      <c r="E598" t="s">
        <v>76</v>
      </c>
      <c r="F598" t="s">
        <v>83</v>
      </c>
      <c r="G598">
        <v>1</v>
      </c>
    </row>
    <row r="599" spans="1:7" x14ac:dyDescent="0.35">
      <c r="A599">
        <v>2019</v>
      </c>
      <c r="B599" t="s">
        <v>27</v>
      </c>
      <c r="C599" t="s">
        <v>168</v>
      </c>
      <c r="D599" t="s">
        <v>169</v>
      </c>
      <c r="E599" t="s">
        <v>0</v>
      </c>
      <c r="F599" t="s">
        <v>83</v>
      </c>
      <c r="G599">
        <v>0</v>
      </c>
    </row>
    <row r="600" spans="1:7" x14ac:dyDescent="0.35">
      <c r="A600">
        <v>2019</v>
      </c>
      <c r="B600" t="s">
        <v>27</v>
      </c>
      <c r="C600" t="s">
        <v>168</v>
      </c>
      <c r="D600" t="s">
        <v>169</v>
      </c>
      <c r="E600" t="s">
        <v>118</v>
      </c>
      <c r="F600" t="s">
        <v>83</v>
      </c>
      <c r="G600">
        <v>1</v>
      </c>
    </row>
    <row r="601" spans="1:7" x14ac:dyDescent="0.35">
      <c r="A601">
        <v>2019</v>
      </c>
      <c r="B601" t="s">
        <v>27</v>
      </c>
      <c r="C601" t="s">
        <v>168</v>
      </c>
      <c r="D601" t="s">
        <v>169</v>
      </c>
      <c r="E601" t="s">
        <v>119</v>
      </c>
      <c r="F601" t="s">
        <v>83</v>
      </c>
      <c r="G601">
        <v>0</v>
      </c>
    </row>
    <row r="602" spans="1:7" x14ac:dyDescent="0.35">
      <c r="A602">
        <v>2019</v>
      </c>
      <c r="B602" t="s">
        <v>28</v>
      </c>
      <c r="C602" t="s">
        <v>168</v>
      </c>
      <c r="D602" t="s">
        <v>169</v>
      </c>
      <c r="E602" t="s">
        <v>76</v>
      </c>
      <c r="F602" t="s">
        <v>83</v>
      </c>
      <c r="G602">
        <v>2</v>
      </c>
    </row>
    <row r="603" spans="1:7" x14ac:dyDescent="0.35">
      <c r="A603">
        <v>2019</v>
      </c>
      <c r="B603" t="s">
        <v>28</v>
      </c>
      <c r="C603" t="s">
        <v>168</v>
      </c>
      <c r="D603" t="s">
        <v>169</v>
      </c>
      <c r="E603" t="s">
        <v>0</v>
      </c>
      <c r="F603" t="s">
        <v>83</v>
      </c>
      <c r="G603">
        <v>0</v>
      </c>
    </row>
    <row r="604" spans="1:7" x14ac:dyDescent="0.35">
      <c r="A604">
        <v>2019</v>
      </c>
      <c r="B604" t="s">
        <v>28</v>
      </c>
      <c r="C604" t="s">
        <v>168</v>
      </c>
      <c r="D604" t="s">
        <v>169</v>
      </c>
      <c r="E604" t="s">
        <v>118</v>
      </c>
      <c r="F604" t="s">
        <v>83</v>
      </c>
      <c r="G604">
        <v>12</v>
      </c>
    </row>
    <row r="605" spans="1:7" x14ac:dyDescent="0.35">
      <c r="A605">
        <v>2019</v>
      </c>
      <c r="B605" t="s">
        <v>28</v>
      </c>
      <c r="C605" t="s">
        <v>168</v>
      </c>
      <c r="D605" t="s">
        <v>169</v>
      </c>
      <c r="E605" t="s">
        <v>119</v>
      </c>
      <c r="F605" t="s">
        <v>83</v>
      </c>
      <c r="G605">
        <v>0</v>
      </c>
    </row>
    <row r="606" spans="1:7" x14ac:dyDescent="0.35">
      <c r="A606">
        <v>2019</v>
      </c>
      <c r="B606" t="s">
        <v>29</v>
      </c>
      <c r="C606" t="s">
        <v>168</v>
      </c>
      <c r="D606" t="s">
        <v>169</v>
      </c>
      <c r="E606" t="s">
        <v>76</v>
      </c>
      <c r="F606" t="s">
        <v>83</v>
      </c>
      <c r="G606">
        <v>3</v>
      </c>
    </row>
    <row r="607" spans="1:7" x14ac:dyDescent="0.35">
      <c r="A607">
        <v>2019</v>
      </c>
      <c r="B607" t="s">
        <v>29</v>
      </c>
      <c r="C607" t="s">
        <v>168</v>
      </c>
      <c r="D607" t="s">
        <v>169</v>
      </c>
      <c r="E607" t="s">
        <v>0</v>
      </c>
      <c r="F607" t="s">
        <v>83</v>
      </c>
      <c r="G607">
        <v>5</v>
      </c>
    </row>
    <row r="608" spans="1:7" x14ac:dyDescent="0.35">
      <c r="A608">
        <v>2019</v>
      </c>
      <c r="B608" t="s">
        <v>29</v>
      </c>
      <c r="C608" t="s">
        <v>168</v>
      </c>
      <c r="D608" t="s">
        <v>169</v>
      </c>
      <c r="E608" t="s">
        <v>118</v>
      </c>
      <c r="F608" t="s">
        <v>83</v>
      </c>
      <c r="G608">
        <v>10</v>
      </c>
    </row>
    <row r="609" spans="1:7" x14ac:dyDescent="0.35">
      <c r="A609">
        <v>2019</v>
      </c>
      <c r="B609" t="s">
        <v>29</v>
      </c>
      <c r="C609" t="s">
        <v>168</v>
      </c>
      <c r="D609" t="s">
        <v>169</v>
      </c>
      <c r="E609" t="s">
        <v>119</v>
      </c>
      <c r="F609" t="s">
        <v>83</v>
      </c>
      <c r="G609">
        <v>1</v>
      </c>
    </row>
    <row r="610" spans="1:7" x14ac:dyDescent="0.35">
      <c r="A610">
        <v>2019</v>
      </c>
      <c r="B610" t="s">
        <v>30</v>
      </c>
      <c r="C610" t="s">
        <v>168</v>
      </c>
      <c r="D610" t="s">
        <v>169</v>
      </c>
      <c r="E610" t="s">
        <v>76</v>
      </c>
      <c r="F610" t="s">
        <v>83</v>
      </c>
      <c r="G610">
        <v>6</v>
      </c>
    </row>
    <row r="611" spans="1:7" x14ac:dyDescent="0.35">
      <c r="A611">
        <v>2019</v>
      </c>
      <c r="B611" t="s">
        <v>30</v>
      </c>
      <c r="C611" t="s">
        <v>168</v>
      </c>
      <c r="D611" t="s">
        <v>169</v>
      </c>
      <c r="E611" t="s">
        <v>0</v>
      </c>
      <c r="F611" t="s">
        <v>83</v>
      </c>
      <c r="G611">
        <v>2</v>
      </c>
    </row>
    <row r="612" spans="1:7" x14ac:dyDescent="0.35">
      <c r="A612">
        <v>2019</v>
      </c>
      <c r="B612" t="s">
        <v>30</v>
      </c>
      <c r="C612" t="s">
        <v>168</v>
      </c>
      <c r="D612" t="s">
        <v>169</v>
      </c>
      <c r="E612" t="s">
        <v>118</v>
      </c>
      <c r="F612" t="s">
        <v>83</v>
      </c>
      <c r="G612">
        <v>1</v>
      </c>
    </row>
    <row r="613" spans="1:7" x14ac:dyDescent="0.35">
      <c r="A613">
        <v>2019</v>
      </c>
      <c r="B613" t="s">
        <v>30</v>
      </c>
      <c r="C613" t="s">
        <v>168</v>
      </c>
      <c r="D613" t="s">
        <v>169</v>
      </c>
      <c r="E613" t="s">
        <v>119</v>
      </c>
      <c r="F613" t="s">
        <v>83</v>
      </c>
      <c r="G613">
        <v>0</v>
      </c>
    </row>
    <row r="614" spans="1:7" x14ac:dyDescent="0.35">
      <c r="A614">
        <v>2019</v>
      </c>
      <c r="B614" t="s">
        <v>61</v>
      </c>
      <c r="C614" t="s">
        <v>168</v>
      </c>
      <c r="D614" t="s">
        <v>169</v>
      </c>
      <c r="E614" t="s">
        <v>76</v>
      </c>
      <c r="F614" t="s">
        <v>83</v>
      </c>
      <c r="G614">
        <v>0</v>
      </c>
    </row>
    <row r="615" spans="1:7" x14ac:dyDescent="0.35">
      <c r="A615">
        <v>2019</v>
      </c>
      <c r="B615" t="s">
        <v>61</v>
      </c>
      <c r="C615" t="s">
        <v>168</v>
      </c>
      <c r="D615" t="s">
        <v>169</v>
      </c>
      <c r="E615" t="s">
        <v>0</v>
      </c>
      <c r="F615" t="s">
        <v>83</v>
      </c>
      <c r="G615">
        <v>18</v>
      </c>
    </row>
    <row r="616" spans="1:7" x14ac:dyDescent="0.35">
      <c r="A616">
        <v>2019</v>
      </c>
      <c r="B616" t="s">
        <v>61</v>
      </c>
      <c r="C616" t="s">
        <v>168</v>
      </c>
      <c r="D616" t="s">
        <v>169</v>
      </c>
      <c r="E616" t="s">
        <v>118</v>
      </c>
      <c r="F616" t="s">
        <v>83</v>
      </c>
      <c r="G616">
        <v>20</v>
      </c>
    </row>
    <row r="617" spans="1:7" x14ac:dyDescent="0.35">
      <c r="A617">
        <v>2019</v>
      </c>
      <c r="B617" t="s">
        <v>61</v>
      </c>
      <c r="C617" t="s">
        <v>168</v>
      </c>
      <c r="D617" t="s">
        <v>169</v>
      </c>
      <c r="E617" t="s">
        <v>119</v>
      </c>
      <c r="F617" t="s">
        <v>83</v>
      </c>
      <c r="G617">
        <v>1</v>
      </c>
    </row>
    <row r="618" spans="1:7" x14ac:dyDescent="0.35">
      <c r="A618">
        <v>2019</v>
      </c>
      <c r="B618" t="s">
        <v>55</v>
      </c>
      <c r="C618" t="s">
        <v>168</v>
      </c>
      <c r="D618" t="s">
        <v>169</v>
      </c>
      <c r="E618" t="s">
        <v>76</v>
      </c>
      <c r="F618" t="s">
        <v>83</v>
      </c>
      <c r="G618">
        <v>0</v>
      </c>
    </row>
    <row r="619" spans="1:7" x14ac:dyDescent="0.35">
      <c r="A619">
        <v>2019</v>
      </c>
      <c r="B619" t="s">
        <v>55</v>
      </c>
      <c r="C619" t="s">
        <v>168</v>
      </c>
      <c r="D619" t="s">
        <v>169</v>
      </c>
      <c r="E619" t="s">
        <v>0</v>
      </c>
      <c r="F619" t="s">
        <v>83</v>
      </c>
      <c r="G619">
        <v>0</v>
      </c>
    </row>
    <row r="620" spans="1:7" x14ac:dyDescent="0.35">
      <c r="A620">
        <v>2019</v>
      </c>
      <c r="B620" t="s">
        <v>55</v>
      </c>
      <c r="C620" t="s">
        <v>168</v>
      </c>
      <c r="D620" t="s">
        <v>169</v>
      </c>
      <c r="E620" t="s">
        <v>118</v>
      </c>
      <c r="F620" t="s">
        <v>83</v>
      </c>
      <c r="G620">
        <v>16</v>
      </c>
    </row>
    <row r="621" spans="1:7" x14ac:dyDescent="0.35">
      <c r="A621">
        <v>2019</v>
      </c>
      <c r="B621" t="s">
        <v>55</v>
      </c>
      <c r="C621" t="s">
        <v>168</v>
      </c>
      <c r="D621" t="s">
        <v>169</v>
      </c>
      <c r="E621" t="s">
        <v>119</v>
      </c>
      <c r="F621" t="s">
        <v>83</v>
      </c>
      <c r="G621">
        <v>0</v>
      </c>
    </row>
    <row r="622" spans="1:7" x14ac:dyDescent="0.35">
      <c r="A622">
        <v>2019</v>
      </c>
      <c r="B622" t="s">
        <v>31</v>
      </c>
      <c r="C622" t="s">
        <v>168</v>
      </c>
      <c r="D622" t="s">
        <v>169</v>
      </c>
      <c r="E622" t="s">
        <v>76</v>
      </c>
      <c r="F622" t="s">
        <v>83</v>
      </c>
      <c r="G622">
        <v>23</v>
      </c>
    </row>
    <row r="623" spans="1:7" x14ac:dyDescent="0.35">
      <c r="A623">
        <v>2019</v>
      </c>
      <c r="B623" t="s">
        <v>31</v>
      </c>
      <c r="C623" t="s">
        <v>168</v>
      </c>
      <c r="D623" t="s">
        <v>169</v>
      </c>
      <c r="E623" t="s">
        <v>0</v>
      </c>
      <c r="F623" t="s">
        <v>83</v>
      </c>
      <c r="G623">
        <v>14</v>
      </c>
    </row>
    <row r="624" spans="1:7" x14ac:dyDescent="0.35">
      <c r="A624">
        <v>2019</v>
      </c>
      <c r="B624" t="s">
        <v>31</v>
      </c>
      <c r="C624" t="s">
        <v>168</v>
      </c>
      <c r="D624" t="s">
        <v>169</v>
      </c>
      <c r="E624" t="s">
        <v>118</v>
      </c>
      <c r="F624" t="s">
        <v>83</v>
      </c>
      <c r="G624">
        <v>4</v>
      </c>
    </row>
    <row r="625" spans="1:7" x14ac:dyDescent="0.35">
      <c r="A625">
        <v>2019</v>
      </c>
      <c r="B625" t="s">
        <v>31</v>
      </c>
      <c r="C625" t="s">
        <v>168</v>
      </c>
      <c r="D625" t="s">
        <v>169</v>
      </c>
      <c r="E625" t="s">
        <v>119</v>
      </c>
      <c r="F625" t="s">
        <v>83</v>
      </c>
      <c r="G625">
        <v>0</v>
      </c>
    </row>
    <row r="626" spans="1:7" x14ac:dyDescent="0.35">
      <c r="A626">
        <v>2019</v>
      </c>
      <c r="B626" t="s">
        <v>32</v>
      </c>
      <c r="C626" t="s">
        <v>168</v>
      </c>
      <c r="D626" t="s">
        <v>169</v>
      </c>
      <c r="E626" t="s">
        <v>76</v>
      </c>
      <c r="F626" t="s">
        <v>83</v>
      </c>
      <c r="G626">
        <v>9</v>
      </c>
    </row>
    <row r="627" spans="1:7" x14ac:dyDescent="0.35">
      <c r="A627">
        <v>2019</v>
      </c>
      <c r="B627" t="s">
        <v>32</v>
      </c>
      <c r="C627" t="s">
        <v>168</v>
      </c>
      <c r="D627" t="s">
        <v>169</v>
      </c>
      <c r="E627" t="s">
        <v>0</v>
      </c>
      <c r="F627" t="s">
        <v>83</v>
      </c>
      <c r="G627">
        <v>1</v>
      </c>
    </row>
    <row r="628" spans="1:7" x14ac:dyDescent="0.35">
      <c r="A628">
        <v>2019</v>
      </c>
      <c r="B628" t="s">
        <v>32</v>
      </c>
      <c r="C628" t="s">
        <v>168</v>
      </c>
      <c r="D628" t="s">
        <v>169</v>
      </c>
      <c r="E628" t="s">
        <v>118</v>
      </c>
      <c r="F628" t="s">
        <v>83</v>
      </c>
      <c r="G628">
        <v>7</v>
      </c>
    </row>
    <row r="629" spans="1:7" x14ac:dyDescent="0.35">
      <c r="A629">
        <v>2019</v>
      </c>
      <c r="B629" t="s">
        <v>32</v>
      </c>
      <c r="C629" t="s">
        <v>168</v>
      </c>
      <c r="D629" t="s">
        <v>169</v>
      </c>
      <c r="E629" t="s">
        <v>119</v>
      </c>
      <c r="F629" t="s">
        <v>83</v>
      </c>
      <c r="G629">
        <v>0</v>
      </c>
    </row>
    <row r="630" spans="1:7" x14ac:dyDescent="0.35">
      <c r="A630">
        <v>2019</v>
      </c>
      <c r="B630" t="s">
        <v>33</v>
      </c>
      <c r="C630" t="s">
        <v>168</v>
      </c>
      <c r="D630" t="s">
        <v>169</v>
      </c>
      <c r="E630" t="s">
        <v>76</v>
      </c>
      <c r="F630" t="s">
        <v>83</v>
      </c>
      <c r="G630">
        <v>1</v>
      </c>
    </row>
    <row r="631" spans="1:7" x14ac:dyDescent="0.35">
      <c r="A631">
        <v>2019</v>
      </c>
      <c r="B631" t="s">
        <v>33</v>
      </c>
      <c r="C631" t="s">
        <v>168</v>
      </c>
      <c r="D631" t="s">
        <v>169</v>
      </c>
      <c r="E631" t="s">
        <v>0</v>
      </c>
      <c r="F631" t="s">
        <v>83</v>
      </c>
      <c r="G631">
        <v>4</v>
      </c>
    </row>
    <row r="632" spans="1:7" x14ac:dyDescent="0.35">
      <c r="A632">
        <v>2019</v>
      </c>
      <c r="B632" t="s">
        <v>33</v>
      </c>
      <c r="C632" t="s">
        <v>168</v>
      </c>
      <c r="D632" t="s">
        <v>169</v>
      </c>
      <c r="E632" t="s">
        <v>118</v>
      </c>
      <c r="F632" t="s">
        <v>83</v>
      </c>
      <c r="G632">
        <v>8</v>
      </c>
    </row>
    <row r="633" spans="1:7" x14ac:dyDescent="0.35">
      <c r="A633">
        <v>2019</v>
      </c>
      <c r="B633" t="s">
        <v>33</v>
      </c>
      <c r="C633" t="s">
        <v>168</v>
      </c>
      <c r="D633" t="s">
        <v>169</v>
      </c>
      <c r="E633" t="s">
        <v>119</v>
      </c>
      <c r="F633" t="s">
        <v>83</v>
      </c>
      <c r="G633">
        <v>0</v>
      </c>
    </row>
    <row r="634" spans="1:7" x14ac:dyDescent="0.35">
      <c r="A634">
        <v>2019</v>
      </c>
      <c r="B634" t="s">
        <v>34</v>
      </c>
      <c r="C634" t="s">
        <v>168</v>
      </c>
      <c r="D634" t="s">
        <v>169</v>
      </c>
      <c r="E634" t="s">
        <v>76</v>
      </c>
      <c r="F634" t="s">
        <v>83</v>
      </c>
      <c r="G634">
        <v>2</v>
      </c>
    </row>
    <row r="635" spans="1:7" x14ac:dyDescent="0.35">
      <c r="A635">
        <v>2019</v>
      </c>
      <c r="B635" t="s">
        <v>34</v>
      </c>
      <c r="C635" t="s">
        <v>168</v>
      </c>
      <c r="D635" t="s">
        <v>169</v>
      </c>
      <c r="E635" t="s">
        <v>0</v>
      </c>
      <c r="F635" t="s">
        <v>83</v>
      </c>
      <c r="G635">
        <v>0</v>
      </c>
    </row>
    <row r="636" spans="1:7" x14ac:dyDescent="0.35">
      <c r="A636">
        <v>2019</v>
      </c>
      <c r="B636" t="s">
        <v>34</v>
      </c>
      <c r="C636" t="s">
        <v>168</v>
      </c>
      <c r="D636" t="s">
        <v>169</v>
      </c>
      <c r="E636" t="s">
        <v>118</v>
      </c>
      <c r="F636" t="s">
        <v>83</v>
      </c>
      <c r="G636">
        <v>2</v>
      </c>
    </row>
    <row r="637" spans="1:7" x14ac:dyDescent="0.35">
      <c r="A637">
        <v>2019</v>
      </c>
      <c r="B637" t="s">
        <v>34</v>
      </c>
      <c r="C637" t="s">
        <v>168</v>
      </c>
      <c r="D637" t="s">
        <v>169</v>
      </c>
      <c r="E637" t="s">
        <v>119</v>
      </c>
      <c r="F637" t="s">
        <v>83</v>
      </c>
      <c r="G637">
        <v>1</v>
      </c>
    </row>
    <row r="638" spans="1:7" x14ac:dyDescent="0.35">
      <c r="A638">
        <v>2019</v>
      </c>
      <c r="B638" t="s">
        <v>35</v>
      </c>
      <c r="C638" t="s">
        <v>168</v>
      </c>
      <c r="D638" t="s">
        <v>169</v>
      </c>
      <c r="E638" t="s">
        <v>76</v>
      </c>
      <c r="F638" t="s">
        <v>83</v>
      </c>
      <c r="G638">
        <v>1</v>
      </c>
    </row>
    <row r="639" spans="1:7" x14ac:dyDescent="0.35">
      <c r="A639">
        <v>2019</v>
      </c>
      <c r="B639" t="s">
        <v>35</v>
      </c>
      <c r="C639" t="s">
        <v>168</v>
      </c>
      <c r="D639" t="s">
        <v>169</v>
      </c>
      <c r="E639" t="s">
        <v>0</v>
      </c>
      <c r="F639" t="s">
        <v>83</v>
      </c>
      <c r="G639">
        <v>0</v>
      </c>
    </row>
    <row r="640" spans="1:7" x14ac:dyDescent="0.35">
      <c r="A640">
        <v>2019</v>
      </c>
      <c r="B640" t="s">
        <v>35</v>
      </c>
      <c r="C640" t="s">
        <v>168</v>
      </c>
      <c r="D640" t="s">
        <v>169</v>
      </c>
      <c r="E640" t="s">
        <v>118</v>
      </c>
      <c r="F640" t="s">
        <v>83</v>
      </c>
      <c r="G640">
        <v>2</v>
      </c>
    </row>
    <row r="641" spans="1:7" x14ac:dyDescent="0.35">
      <c r="A641">
        <v>2019</v>
      </c>
      <c r="B641" t="s">
        <v>35</v>
      </c>
      <c r="C641" t="s">
        <v>168</v>
      </c>
      <c r="D641" t="s">
        <v>169</v>
      </c>
      <c r="E641" t="s">
        <v>119</v>
      </c>
      <c r="F641" t="s">
        <v>83</v>
      </c>
      <c r="G641">
        <v>0</v>
      </c>
    </row>
    <row r="642" spans="1:7" x14ac:dyDescent="0.35">
      <c r="A642">
        <v>2019</v>
      </c>
      <c r="B642" t="s">
        <v>53</v>
      </c>
      <c r="C642" t="s">
        <v>168</v>
      </c>
      <c r="D642" t="s">
        <v>169</v>
      </c>
      <c r="E642" t="s">
        <v>76</v>
      </c>
      <c r="F642" t="s">
        <v>83</v>
      </c>
      <c r="G642">
        <v>0</v>
      </c>
    </row>
    <row r="643" spans="1:7" x14ac:dyDescent="0.35">
      <c r="A643">
        <v>2019</v>
      </c>
      <c r="B643" t="s">
        <v>53</v>
      </c>
      <c r="C643" t="s">
        <v>168</v>
      </c>
      <c r="D643" t="s">
        <v>169</v>
      </c>
      <c r="E643" t="s">
        <v>0</v>
      </c>
      <c r="F643" t="s">
        <v>83</v>
      </c>
      <c r="G643">
        <v>0</v>
      </c>
    </row>
    <row r="644" spans="1:7" x14ac:dyDescent="0.35">
      <c r="A644">
        <v>2019</v>
      </c>
      <c r="B644" t="s">
        <v>53</v>
      </c>
      <c r="C644" t="s">
        <v>168</v>
      </c>
      <c r="D644" t="s">
        <v>169</v>
      </c>
      <c r="E644" t="s">
        <v>118</v>
      </c>
      <c r="F644" t="s">
        <v>83</v>
      </c>
      <c r="G644">
        <v>0</v>
      </c>
    </row>
    <row r="645" spans="1:7" x14ac:dyDescent="0.35">
      <c r="A645">
        <v>2019</v>
      </c>
      <c r="B645" t="s">
        <v>53</v>
      </c>
      <c r="C645" t="s">
        <v>168</v>
      </c>
      <c r="D645" t="s">
        <v>169</v>
      </c>
      <c r="E645" t="s">
        <v>119</v>
      </c>
      <c r="F645" t="s">
        <v>83</v>
      </c>
      <c r="G645">
        <v>0</v>
      </c>
    </row>
    <row r="646" spans="1:7" x14ac:dyDescent="0.35">
      <c r="A646">
        <v>2019</v>
      </c>
      <c r="B646" t="s">
        <v>36</v>
      </c>
      <c r="C646" t="s">
        <v>168</v>
      </c>
      <c r="D646" t="s">
        <v>169</v>
      </c>
      <c r="E646" t="s">
        <v>76</v>
      </c>
      <c r="F646" t="s">
        <v>83</v>
      </c>
      <c r="G646">
        <v>11</v>
      </c>
    </row>
    <row r="647" spans="1:7" x14ac:dyDescent="0.35">
      <c r="A647">
        <v>2019</v>
      </c>
      <c r="B647" t="s">
        <v>36</v>
      </c>
      <c r="C647" t="s">
        <v>168</v>
      </c>
      <c r="D647" t="s">
        <v>169</v>
      </c>
      <c r="E647" t="s">
        <v>0</v>
      </c>
      <c r="F647" t="s">
        <v>83</v>
      </c>
      <c r="G647">
        <v>4</v>
      </c>
    </row>
    <row r="648" spans="1:7" x14ac:dyDescent="0.35">
      <c r="A648">
        <v>2019</v>
      </c>
      <c r="B648" t="s">
        <v>36</v>
      </c>
      <c r="C648" t="s">
        <v>168</v>
      </c>
      <c r="D648" t="s">
        <v>169</v>
      </c>
      <c r="E648" t="s">
        <v>118</v>
      </c>
      <c r="F648" t="s">
        <v>83</v>
      </c>
      <c r="G648">
        <v>9</v>
      </c>
    </row>
    <row r="649" spans="1:7" x14ac:dyDescent="0.35">
      <c r="A649">
        <v>2019</v>
      </c>
      <c r="B649" t="s">
        <v>36</v>
      </c>
      <c r="C649" t="s">
        <v>168</v>
      </c>
      <c r="D649" t="s">
        <v>169</v>
      </c>
      <c r="E649" t="s">
        <v>119</v>
      </c>
      <c r="F649" t="s">
        <v>83</v>
      </c>
      <c r="G649">
        <v>1</v>
      </c>
    </row>
    <row r="650" spans="1:7" x14ac:dyDescent="0.35">
      <c r="A650">
        <v>2019</v>
      </c>
      <c r="B650" t="s">
        <v>37</v>
      </c>
      <c r="C650" t="s">
        <v>168</v>
      </c>
      <c r="D650" t="s">
        <v>169</v>
      </c>
      <c r="E650" t="s">
        <v>76</v>
      </c>
      <c r="F650" t="s">
        <v>83</v>
      </c>
      <c r="G650">
        <v>3</v>
      </c>
    </row>
    <row r="651" spans="1:7" x14ac:dyDescent="0.35">
      <c r="A651">
        <v>2019</v>
      </c>
      <c r="B651" t="s">
        <v>37</v>
      </c>
      <c r="C651" t="s">
        <v>168</v>
      </c>
      <c r="D651" t="s">
        <v>169</v>
      </c>
      <c r="E651" t="s">
        <v>0</v>
      </c>
      <c r="F651" t="s">
        <v>83</v>
      </c>
      <c r="G651">
        <v>3</v>
      </c>
    </row>
    <row r="652" spans="1:7" x14ac:dyDescent="0.35">
      <c r="A652">
        <v>2019</v>
      </c>
      <c r="B652" t="s">
        <v>37</v>
      </c>
      <c r="C652" t="s">
        <v>168</v>
      </c>
      <c r="D652" t="s">
        <v>169</v>
      </c>
      <c r="E652" t="s">
        <v>118</v>
      </c>
      <c r="F652" t="s">
        <v>83</v>
      </c>
      <c r="G652">
        <v>4</v>
      </c>
    </row>
    <row r="653" spans="1:7" x14ac:dyDescent="0.35">
      <c r="A653">
        <v>2019</v>
      </c>
      <c r="B653" t="s">
        <v>37</v>
      </c>
      <c r="C653" t="s">
        <v>168</v>
      </c>
      <c r="D653" t="s">
        <v>169</v>
      </c>
      <c r="E653" t="s">
        <v>119</v>
      </c>
      <c r="F653" t="s">
        <v>83</v>
      </c>
      <c r="G653">
        <v>0</v>
      </c>
    </row>
    <row r="654" spans="1:7" x14ac:dyDescent="0.35">
      <c r="A654">
        <v>2019</v>
      </c>
      <c r="B654" t="s">
        <v>38</v>
      </c>
      <c r="C654" t="s">
        <v>168</v>
      </c>
      <c r="D654" t="s">
        <v>169</v>
      </c>
      <c r="E654" t="s">
        <v>76</v>
      </c>
      <c r="F654" t="s">
        <v>83</v>
      </c>
      <c r="G654">
        <v>2</v>
      </c>
    </row>
    <row r="655" spans="1:7" x14ac:dyDescent="0.35">
      <c r="A655">
        <v>2019</v>
      </c>
      <c r="B655" t="s">
        <v>38</v>
      </c>
      <c r="C655" t="s">
        <v>168</v>
      </c>
      <c r="D655" t="s">
        <v>169</v>
      </c>
      <c r="E655" t="s">
        <v>0</v>
      </c>
      <c r="F655" t="s">
        <v>83</v>
      </c>
      <c r="G655">
        <v>0</v>
      </c>
    </row>
    <row r="656" spans="1:7" x14ac:dyDescent="0.35">
      <c r="A656">
        <v>2019</v>
      </c>
      <c r="B656" t="s">
        <v>38</v>
      </c>
      <c r="C656" t="s">
        <v>168</v>
      </c>
      <c r="D656" t="s">
        <v>169</v>
      </c>
      <c r="E656" t="s">
        <v>118</v>
      </c>
      <c r="F656" t="s">
        <v>83</v>
      </c>
      <c r="G656">
        <v>2</v>
      </c>
    </row>
    <row r="657" spans="1:7" x14ac:dyDescent="0.35">
      <c r="A657">
        <v>2019</v>
      </c>
      <c r="B657" t="s">
        <v>38</v>
      </c>
      <c r="C657" t="s">
        <v>168</v>
      </c>
      <c r="D657" t="s">
        <v>169</v>
      </c>
      <c r="E657" t="s">
        <v>119</v>
      </c>
      <c r="F657" t="s">
        <v>83</v>
      </c>
      <c r="G657">
        <v>0</v>
      </c>
    </row>
    <row r="658" spans="1:7" x14ac:dyDescent="0.35">
      <c r="A658">
        <v>2019</v>
      </c>
      <c r="B658" t="s">
        <v>39</v>
      </c>
      <c r="C658" t="s">
        <v>168</v>
      </c>
      <c r="D658" t="s">
        <v>169</v>
      </c>
      <c r="E658" t="s">
        <v>76</v>
      </c>
      <c r="F658" t="s">
        <v>83</v>
      </c>
      <c r="G658">
        <v>4</v>
      </c>
    </row>
    <row r="659" spans="1:7" x14ac:dyDescent="0.35">
      <c r="A659">
        <v>2019</v>
      </c>
      <c r="B659" t="s">
        <v>39</v>
      </c>
      <c r="C659" t="s">
        <v>168</v>
      </c>
      <c r="D659" t="s">
        <v>169</v>
      </c>
      <c r="E659" t="s">
        <v>0</v>
      </c>
      <c r="F659" t="s">
        <v>83</v>
      </c>
      <c r="G659">
        <v>0</v>
      </c>
    </row>
    <row r="660" spans="1:7" x14ac:dyDescent="0.35">
      <c r="A660">
        <v>2019</v>
      </c>
      <c r="B660" t="s">
        <v>39</v>
      </c>
      <c r="C660" t="s">
        <v>168</v>
      </c>
      <c r="D660" t="s">
        <v>169</v>
      </c>
      <c r="E660" t="s">
        <v>118</v>
      </c>
      <c r="F660" t="s">
        <v>83</v>
      </c>
      <c r="G660">
        <v>2</v>
      </c>
    </row>
    <row r="661" spans="1:7" x14ac:dyDescent="0.35">
      <c r="A661">
        <v>2019</v>
      </c>
      <c r="B661" t="s">
        <v>39</v>
      </c>
      <c r="C661" t="s">
        <v>168</v>
      </c>
      <c r="D661" t="s">
        <v>169</v>
      </c>
      <c r="E661" t="s">
        <v>119</v>
      </c>
      <c r="F661" t="s">
        <v>83</v>
      </c>
      <c r="G661">
        <v>0</v>
      </c>
    </row>
    <row r="662" spans="1:7" x14ac:dyDescent="0.35">
      <c r="A662">
        <v>2019</v>
      </c>
      <c r="B662" t="s">
        <v>56</v>
      </c>
      <c r="C662" t="s">
        <v>168</v>
      </c>
      <c r="D662" t="s">
        <v>169</v>
      </c>
      <c r="E662" t="s">
        <v>76</v>
      </c>
      <c r="F662" t="s">
        <v>83</v>
      </c>
      <c r="G662">
        <v>0</v>
      </c>
    </row>
    <row r="663" spans="1:7" x14ac:dyDescent="0.35">
      <c r="A663">
        <v>2019</v>
      </c>
      <c r="B663" t="s">
        <v>56</v>
      </c>
      <c r="C663" t="s">
        <v>168</v>
      </c>
      <c r="D663" t="s">
        <v>169</v>
      </c>
      <c r="E663" t="s">
        <v>0</v>
      </c>
      <c r="F663" t="s">
        <v>83</v>
      </c>
      <c r="G663">
        <v>3</v>
      </c>
    </row>
    <row r="664" spans="1:7" x14ac:dyDescent="0.35">
      <c r="A664">
        <v>2019</v>
      </c>
      <c r="B664" t="s">
        <v>56</v>
      </c>
      <c r="C664" t="s">
        <v>168</v>
      </c>
      <c r="D664" t="s">
        <v>169</v>
      </c>
      <c r="E664" t="s">
        <v>118</v>
      </c>
      <c r="F664" t="s">
        <v>83</v>
      </c>
      <c r="G664">
        <v>17</v>
      </c>
    </row>
    <row r="665" spans="1:7" x14ac:dyDescent="0.35">
      <c r="A665">
        <v>2019</v>
      </c>
      <c r="B665" t="s">
        <v>56</v>
      </c>
      <c r="C665" t="s">
        <v>168</v>
      </c>
      <c r="D665" t="s">
        <v>169</v>
      </c>
      <c r="E665" t="s">
        <v>119</v>
      </c>
      <c r="F665" t="s">
        <v>83</v>
      </c>
      <c r="G665">
        <v>2</v>
      </c>
    </row>
    <row r="666" spans="1:7" x14ac:dyDescent="0.35">
      <c r="A666">
        <v>2019</v>
      </c>
      <c r="B666" t="s">
        <v>40</v>
      </c>
      <c r="C666" t="s">
        <v>168</v>
      </c>
      <c r="D666" t="s">
        <v>169</v>
      </c>
      <c r="E666" t="s">
        <v>76</v>
      </c>
      <c r="F666" t="s">
        <v>83</v>
      </c>
      <c r="G666">
        <v>3</v>
      </c>
    </row>
    <row r="667" spans="1:7" x14ac:dyDescent="0.35">
      <c r="A667">
        <v>2019</v>
      </c>
      <c r="B667" t="s">
        <v>40</v>
      </c>
      <c r="C667" t="s">
        <v>168</v>
      </c>
      <c r="D667" t="s">
        <v>169</v>
      </c>
      <c r="E667" t="s">
        <v>0</v>
      </c>
      <c r="F667" t="s">
        <v>83</v>
      </c>
      <c r="G667">
        <v>3</v>
      </c>
    </row>
    <row r="668" spans="1:7" x14ac:dyDescent="0.35">
      <c r="A668">
        <v>2019</v>
      </c>
      <c r="B668" t="s">
        <v>40</v>
      </c>
      <c r="C668" t="s">
        <v>168</v>
      </c>
      <c r="D668" t="s">
        <v>169</v>
      </c>
      <c r="E668" t="s">
        <v>118</v>
      </c>
      <c r="F668" t="s">
        <v>83</v>
      </c>
      <c r="G668">
        <v>2</v>
      </c>
    </row>
    <row r="669" spans="1:7" x14ac:dyDescent="0.35">
      <c r="A669">
        <v>2019</v>
      </c>
      <c r="B669" t="s">
        <v>40</v>
      </c>
      <c r="C669" t="s">
        <v>168</v>
      </c>
      <c r="D669" t="s">
        <v>169</v>
      </c>
      <c r="E669" t="s">
        <v>119</v>
      </c>
      <c r="F669" t="s">
        <v>83</v>
      </c>
      <c r="G669">
        <v>0</v>
      </c>
    </row>
    <row r="670" spans="1:7" x14ac:dyDescent="0.35">
      <c r="A670">
        <v>2019</v>
      </c>
      <c r="B670" t="s">
        <v>42</v>
      </c>
      <c r="C670" t="s">
        <v>168</v>
      </c>
      <c r="D670" t="s">
        <v>169</v>
      </c>
      <c r="E670" t="s">
        <v>76</v>
      </c>
      <c r="F670" t="s">
        <v>83</v>
      </c>
      <c r="G670">
        <v>5</v>
      </c>
    </row>
    <row r="671" spans="1:7" x14ac:dyDescent="0.35">
      <c r="A671">
        <v>2019</v>
      </c>
      <c r="B671" t="s">
        <v>42</v>
      </c>
      <c r="C671" t="s">
        <v>168</v>
      </c>
      <c r="D671" t="s">
        <v>169</v>
      </c>
      <c r="E671" t="s">
        <v>0</v>
      </c>
      <c r="F671" t="s">
        <v>83</v>
      </c>
      <c r="G671">
        <v>2</v>
      </c>
    </row>
    <row r="672" spans="1:7" x14ac:dyDescent="0.35">
      <c r="A672">
        <v>2019</v>
      </c>
      <c r="B672" t="s">
        <v>42</v>
      </c>
      <c r="C672" t="s">
        <v>168</v>
      </c>
      <c r="D672" t="s">
        <v>169</v>
      </c>
      <c r="E672" t="s">
        <v>118</v>
      </c>
      <c r="F672" t="s">
        <v>83</v>
      </c>
      <c r="G672">
        <v>0</v>
      </c>
    </row>
    <row r="673" spans="1:7" x14ac:dyDescent="0.35">
      <c r="A673">
        <v>2019</v>
      </c>
      <c r="B673" t="s">
        <v>42</v>
      </c>
      <c r="C673" t="s">
        <v>168</v>
      </c>
      <c r="D673" t="s">
        <v>169</v>
      </c>
      <c r="E673" t="s">
        <v>119</v>
      </c>
      <c r="F673" t="s">
        <v>83</v>
      </c>
      <c r="G673">
        <v>0</v>
      </c>
    </row>
    <row r="674" spans="1:7" x14ac:dyDescent="0.35">
      <c r="A674">
        <v>2019</v>
      </c>
      <c r="B674" t="s">
        <v>43</v>
      </c>
      <c r="C674" t="s">
        <v>168</v>
      </c>
      <c r="D674" t="s">
        <v>169</v>
      </c>
      <c r="E674" t="s">
        <v>76</v>
      </c>
      <c r="F674" t="s">
        <v>83</v>
      </c>
      <c r="G674">
        <v>3</v>
      </c>
    </row>
    <row r="675" spans="1:7" x14ac:dyDescent="0.35">
      <c r="A675">
        <v>2019</v>
      </c>
      <c r="B675" t="s">
        <v>43</v>
      </c>
      <c r="C675" t="s">
        <v>168</v>
      </c>
      <c r="D675" t="s">
        <v>169</v>
      </c>
      <c r="E675" t="s">
        <v>0</v>
      </c>
      <c r="F675" t="s">
        <v>83</v>
      </c>
      <c r="G675">
        <v>0</v>
      </c>
    </row>
    <row r="676" spans="1:7" x14ac:dyDescent="0.35">
      <c r="A676">
        <v>2019</v>
      </c>
      <c r="B676" t="s">
        <v>43</v>
      </c>
      <c r="C676" t="s">
        <v>168</v>
      </c>
      <c r="D676" t="s">
        <v>169</v>
      </c>
      <c r="E676" t="s">
        <v>118</v>
      </c>
      <c r="F676" t="s">
        <v>83</v>
      </c>
      <c r="G676">
        <v>3</v>
      </c>
    </row>
    <row r="677" spans="1:7" x14ac:dyDescent="0.35">
      <c r="A677">
        <v>2019</v>
      </c>
      <c r="B677" t="s">
        <v>43</v>
      </c>
      <c r="C677" t="s">
        <v>168</v>
      </c>
      <c r="D677" t="s">
        <v>169</v>
      </c>
      <c r="E677" t="s">
        <v>119</v>
      </c>
      <c r="F677" t="s">
        <v>83</v>
      </c>
      <c r="G677">
        <v>0</v>
      </c>
    </row>
    <row r="678" spans="1:7" x14ac:dyDescent="0.35">
      <c r="A678">
        <v>2019</v>
      </c>
      <c r="B678" t="s">
        <v>44</v>
      </c>
      <c r="C678" t="s">
        <v>168</v>
      </c>
      <c r="D678" t="s">
        <v>169</v>
      </c>
      <c r="E678" t="s">
        <v>76</v>
      </c>
      <c r="F678" t="s">
        <v>83</v>
      </c>
      <c r="G678">
        <v>1</v>
      </c>
    </row>
    <row r="679" spans="1:7" x14ac:dyDescent="0.35">
      <c r="A679">
        <v>2019</v>
      </c>
      <c r="B679" t="s">
        <v>44</v>
      </c>
      <c r="C679" t="s">
        <v>168</v>
      </c>
      <c r="D679" t="s">
        <v>169</v>
      </c>
      <c r="E679" t="s">
        <v>0</v>
      </c>
      <c r="F679" t="s">
        <v>83</v>
      </c>
      <c r="G679">
        <v>1</v>
      </c>
    </row>
    <row r="680" spans="1:7" x14ac:dyDescent="0.35">
      <c r="A680">
        <v>2019</v>
      </c>
      <c r="B680" t="s">
        <v>44</v>
      </c>
      <c r="C680" t="s">
        <v>168</v>
      </c>
      <c r="D680" t="s">
        <v>169</v>
      </c>
      <c r="E680" t="s">
        <v>118</v>
      </c>
      <c r="F680" t="s">
        <v>83</v>
      </c>
      <c r="G680">
        <v>0</v>
      </c>
    </row>
    <row r="681" spans="1:7" x14ac:dyDescent="0.35">
      <c r="A681">
        <v>2019</v>
      </c>
      <c r="B681" t="s">
        <v>44</v>
      </c>
      <c r="C681" t="s">
        <v>168</v>
      </c>
      <c r="D681" t="s">
        <v>169</v>
      </c>
      <c r="E681" t="s">
        <v>119</v>
      </c>
      <c r="F681" t="s">
        <v>83</v>
      </c>
      <c r="G681">
        <v>0</v>
      </c>
    </row>
    <row r="682" spans="1:7" x14ac:dyDescent="0.35">
      <c r="A682">
        <v>2019</v>
      </c>
      <c r="B682" t="s">
        <v>45</v>
      </c>
      <c r="C682" t="s">
        <v>168</v>
      </c>
      <c r="D682" t="s">
        <v>169</v>
      </c>
      <c r="E682" t="s">
        <v>76</v>
      </c>
      <c r="F682" t="s">
        <v>83</v>
      </c>
      <c r="G682">
        <v>3</v>
      </c>
    </row>
    <row r="683" spans="1:7" x14ac:dyDescent="0.35">
      <c r="A683">
        <v>2019</v>
      </c>
      <c r="B683" t="s">
        <v>45</v>
      </c>
      <c r="C683" t="s">
        <v>168</v>
      </c>
      <c r="D683" t="s">
        <v>169</v>
      </c>
      <c r="E683" t="s">
        <v>0</v>
      </c>
      <c r="F683" t="s">
        <v>83</v>
      </c>
      <c r="G683">
        <v>0</v>
      </c>
    </row>
    <row r="684" spans="1:7" x14ac:dyDescent="0.35">
      <c r="A684">
        <v>2019</v>
      </c>
      <c r="B684" t="s">
        <v>45</v>
      </c>
      <c r="C684" t="s">
        <v>168</v>
      </c>
      <c r="D684" t="s">
        <v>169</v>
      </c>
      <c r="E684" t="s">
        <v>118</v>
      </c>
      <c r="F684" t="s">
        <v>83</v>
      </c>
      <c r="G684">
        <v>3</v>
      </c>
    </row>
    <row r="685" spans="1:7" x14ac:dyDescent="0.35">
      <c r="A685">
        <v>2019</v>
      </c>
      <c r="B685" t="s">
        <v>45</v>
      </c>
      <c r="C685" t="s">
        <v>168</v>
      </c>
      <c r="D685" t="s">
        <v>169</v>
      </c>
      <c r="E685" t="s">
        <v>119</v>
      </c>
      <c r="F685" t="s">
        <v>83</v>
      </c>
      <c r="G685">
        <v>0</v>
      </c>
    </row>
    <row r="686" spans="1:7" x14ac:dyDescent="0.35">
      <c r="A686">
        <v>2019</v>
      </c>
      <c r="B686" t="s">
        <v>46</v>
      </c>
      <c r="C686" t="s">
        <v>168</v>
      </c>
      <c r="D686" t="s">
        <v>169</v>
      </c>
      <c r="E686" t="s">
        <v>76</v>
      </c>
      <c r="F686" t="s">
        <v>83</v>
      </c>
      <c r="G686">
        <v>6</v>
      </c>
    </row>
    <row r="687" spans="1:7" x14ac:dyDescent="0.35">
      <c r="A687">
        <v>2019</v>
      </c>
      <c r="B687" t="s">
        <v>46</v>
      </c>
      <c r="C687" t="s">
        <v>168</v>
      </c>
      <c r="D687" t="s">
        <v>169</v>
      </c>
      <c r="E687" t="s">
        <v>0</v>
      </c>
      <c r="F687" t="s">
        <v>83</v>
      </c>
      <c r="G687">
        <v>0</v>
      </c>
    </row>
    <row r="688" spans="1:7" x14ac:dyDescent="0.35">
      <c r="A688">
        <v>2019</v>
      </c>
      <c r="B688" t="s">
        <v>46</v>
      </c>
      <c r="C688" t="s">
        <v>168</v>
      </c>
      <c r="D688" t="s">
        <v>169</v>
      </c>
      <c r="E688" t="s">
        <v>118</v>
      </c>
      <c r="F688" t="s">
        <v>83</v>
      </c>
      <c r="G688">
        <v>2</v>
      </c>
    </row>
    <row r="689" spans="1:7" x14ac:dyDescent="0.35">
      <c r="A689">
        <v>2019</v>
      </c>
      <c r="B689" t="s">
        <v>46</v>
      </c>
      <c r="C689" t="s">
        <v>168</v>
      </c>
      <c r="D689" t="s">
        <v>169</v>
      </c>
      <c r="E689" t="s">
        <v>119</v>
      </c>
      <c r="F689" t="s">
        <v>83</v>
      </c>
      <c r="G689">
        <v>0</v>
      </c>
    </row>
    <row r="690" spans="1:7" x14ac:dyDescent="0.35">
      <c r="A690">
        <v>2019</v>
      </c>
      <c r="B690" t="s">
        <v>47</v>
      </c>
      <c r="C690" t="s">
        <v>168</v>
      </c>
      <c r="D690" t="s">
        <v>169</v>
      </c>
      <c r="E690" t="s">
        <v>76</v>
      </c>
      <c r="F690" t="s">
        <v>83</v>
      </c>
      <c r="G690">
        <v>1</v>
      </c>
    </row>
    <row r="691" spans="1:7" x14ac:dyDescent="0.35">
      <c r="A691">
        <v>2019</v>
      </c>
      <c r="B691" t="s">
        <v>47</v>
      </c>
      <c r="C691" t="s">
        <v>168</v>
      </c>
      <c r="D691" t="s">
        <v>169</v>
      </c>
      <c r="E691" t="s">
        <v>0</v>
      </c>
      <c r="F691" t="s">
        <v>83</v>
      </c>
      <c r="G691">
        <v>0</v>
      </c>
    </row>
    <row r="692" spans="1:7" x14ac:dyDescent="0.35">
      <c r="A692">
        <v>2019</v>
      </c>
      <c r="B692" t="s">
        <v>47</v>
      </c>
      <c r="C692" t="s">
        <v>168</v>
      </c>
      <c r="D692" t="s">
        <v>169</v>
      </c>
      <c r="E692" t="s">
        <v>118</v>
      </c>
      <c r="F692" t="s">
        <v>83</v>
      </c>
      <c r="G692">
        <v>3</v>
      </c>
    </row>
    <row r="693" spans="1:7" x14ac:dyDescent="0.35">
      <c r="A693">
        <v>2019</v>
      </c>
      <c r="B693" t="s">
        <v>47</v>
      </c>
      <c r="C693" t="s">
        <v>168</v>
      </c>
      <c r="D693" t="s">
        <v>169</v>
      </c>
      <c r="E693" t="s">
        <v>119</v>
      </c>
      <c r="F693" t="s">
        <v>83</v>
      </c>
      <c r="G693">
        <v>0</v>
      </c>
    </row>
    <row r="694" spans="1:7" x14ac:dyDescent="0.35">
      <c r="A694">
        <v>2019</v>
      </c>
      <c r="B694" t="s">
        <v>57</v>
      </c>
      <c r="C694" t="s">
        <v>168</v>
      </c>
      <c r="D694" t="s">
        <v>169</v>
      </c>
      <c r="E694" t="s">
        <v>76</v>
      </c>
      <c r="F694" t="s">
        <v>83</v>
      </c>
      <c r="G694">
        <v>0</v>
      </c>
    </row>
    <row r="695" spans="1:7" x14ac:dyDescent="0.35">
      <c r="A695">
        <v>2019</v>
      </c>
      <c r="B695" t="s">
        <v>57</v>
      </c>
      <c r="C695" t="s">
        <v>168</v>
      </c>
      <c r="D695" t="s">
        <v>169</v>
      </c>
      <c r="E695" t="s">
        <v>0</v>
      </c>
      <c r="F695" t="s">
        <v>83</v>
      </c>
      <c r="G695">
        <v>0</v>
      </c>
    </row>
    <row r="696" spans="1:7" x14ac:dyDescent="0.35">
      <c r="A696">
        <v>2019</v>
      </c>
      <c r="B696" t="s">
        <v>57</v>
      </c>
      <c r="C696" t="s">
        <v>168</v>
      </c>
      <c r="D696" t="s">
        <v>169</v>
      </c>
      <c r="E696" t="s">
        <v>118</v>
      </c>
      <c r="F696" t="s">
        <v>83</v>
      </c>
      <c r="G696">
        <v>4</v>
      </c>
    </row>
    <row r="697" spans="1:7" x14ac:dyDescent="0.35">
      <c r="A697">
        <v>2019</v>
      </c>
      <c r="B697" t="s">
        <v>57</v>
      </c>
      <c r="C697" t="s">
        <v>168</v>
      </c>
      <c r="D697" t="s">
        <v>169</v>
      </c>
      <c r="E697" t="s">
        <v>119</v>
      </c>
      <c r="F697" t="s">
        <v>83</v>
      </c>
      <c r="G697">
        <v>0</v>
      </c>
    </row>
    <row r="698" spans="1:7" x14ac:dyDescent="0.35">
      <c r="A698">
        <v>2019</v>
      </c>
      <c r="B698" t="s">
        <v>48</v>
      </c>
      <c r="C698" t="s">
        <v>168</v>
      </c>
      <c r="D698" t="s">
        <v>169</v>
      </c>
      <c r="E698" t="s">
        <v>76</v>
      </c>
      <c r="F698" t="s">
        <v>83</v>
      </c>
      <c r="G698">
        <v>3</v>
      </c>
    </row>
    <row r="699" spans="1:7" x14ac:dyDescent="0.35">
      <c r="A699">
        <v>2019</v>
      </c>
      <c r="B699" t="s">
        <v>48</v>
      </c>
      <c r="C699" t="s">
        <v>168</v>
      </c>
      <c r="D699" t="s">
        <v>169</v>
      </c>
      <c r="E699" t="s">
        <v>0</v>
      </c>
      <c r="F699" t="s">
        <v>83</v>
      </c>
      <c r="G699">
        <v>0</v>
      </c>
    </row>
    <row r="700" spans="1:7" x14ac:dyDescent="0.35">
      <c r="A700">
        <v>2019</v>
      </c>
      <c r="B700" t="s">
        <v>48</v>
      </c>
      <c r="C700" t="s">
        <v>168</v>
      </c>
      <c r="D700" t="s">
        <v>169</v>
      </c>
      <c r="E700" t="s">
        <v>118</v>
      </c>
      <c r="F700" t="s">
        <v>83</v>
      </c>
      <c r="G700">
        <v>5</v>
      </c>
    </row>
    <row r="701" spans="1:7" x14ac:dyDescent="0.35">
      <c r="A701">
        <v>2019</v>
      </c>
      <c r="B701" t="s">
        <v>48</v>
      </c>
      <c r="C701" t="s">
        <v>168</v>
      </c>
      <c r="D701" t="s">
        <v>169</v>
      </c>
      <c r="E701" t="s">
        <v>119</v>
      </c>
      <c r="F701" t="s">
        <v>83</v>
      </c>
      <c r="G701">
        <v>0</v>
      </c>
    </row>
    <row r="702" spans="1:7" x14ac:dyDescent="0.35">
      <c r="A702">
        <v>2019</v>
      </c>
      <c r="B702" t="s">
        <v>49</v>
      </c>
      <c r="C702" t="s">
        <v>168</v>
      </c>
      <c r="D702" t="s">
        <v>169</v>
      </c>
      <c r="E702" t="s">
        <v>76</v>
      </c>
      <c r="F702" t="s">
        <v>83</v>
      </c>
      <c r="G702">
        <v>4</v>
      </c>
    </row>
    <row r="703" spans="1:7" x14ac:dyDescent="0.35">
      <c r="A703">
        <v>2019</v>
      </c>
      <c r="B703" t="s">
        <v>49</v>
      </c>
      <c r="C703" t="s">
        <v>168</v>
      </c>
      <c r="D703" t="s">
        <v>169</v>
      </c>
      <c r="E703" t="s">
        <v>0</v>
      </c>
      <c r="F703" t="s">
        <v>83</v>
      </c>
      <c r="G703">
        <v>0</v>
      </c>
    </row>
    <row r="704" spans="1:7" x14ac:dyDescent="0.35">
      <c r="A704">
        <v>2019</v>
      </c>
      <c r="B704" t="s">
        <v>49</v>
      </c>
      <c r="C704" t="s">
        <v>168</v>
      </c>
      <c r="D704" t="s">
        <v>169</v>
      </c>
      <c r="E704" t="s">
        <v>118</v>
      </c>
      <c r="F704" t="s">
        <v>83</v>
      </c>
      <c r="G704">
        <v>0</v>
      </c>
    </row>
    <row r="705" spans="1:7" x14ac:dyDescent="0.35">
      <c r="A705">
        <v>2019</v>
      </c>
      <c r="B705" t="s">
        <v>49</v>
      </c>
      <c r="C705" t="s">
        <v>168</v>
      </c>
      <c r="D705" t="s">
        <v>169</v>
      </c>
      <c r="E705" t="s">
        <v>119</v>
      </c>
      <c r="F705" t="s">
        <v>83</v>
      </c>
      <c r="G705">
        <v>0</v>
      </c>
    </row>
    <row r="706" spans="1:7" x14ac:dyDescent="0.35">
      <c r="A706">
        <v>2019</v>
      </c>
      <c r="B706" t="s">
        <v>50</v>
      </c>
      <c r="C706" t="s">
        <v>168</v>
      </c>
      <c r="D706" t="s">
        <v>169</v>
      </c>
      <c r="E706" t="s">
        <v>76</v>
      </c>
      <c r="F706" t="s">
        <v>83</v>
      </c>
      <c r="G706">
        <v>0</v>
      </c>
    </row>
    <row r="707" spans="1:7" x14ac:dyDescent="0.35">
      <c r="A707">
        <v>2019</v>
      </c>
      <c r="B707" t="s">
        <v>50</v>
      </c>
      <c r="C707" t="s">
        <v>168</v>
      </c>
      <c r="D707" t="s">
        <v>169</v>
      </c>
      <c r="E707" t="s">
        <v>0</v>
      </c>
      <c r="F707" t="s">
        <v>83</v>
      </c>
      <c r="G707">
        <v>3</v>
      </c>
    </row>
    <row r="708" spans="1:7" x14ac:dyDescent="0.35">
      <c r="A708">
        <v>2019</v>
      </c>
      <c r="B708" t="s">
        <v>50</v>
      </c>
      <c r="C708" t="s">
        <v>168</v>
      </c>
      <c r="D708" t="s">
        <v>169</v>
      </c>
      <c r="E708" t="s">
        <v>118</v>
      </c>
      <c r="F708" t="s">
        <v>83</v>
      </c>
      <c r="G708">
        <v>15</v>
      </c>
    </row>
    <row r="709" spans="1:7" x14ac:dyDescent="0.35">
      <c r="A709">
        <v>2019</v>
      </c>
      <c r="B709" t="s">
        <v>50</v>
      </c>
      <c r="C709" t="s">
        <v>168</v>
      </c>
      <c r="D709" t="s">
        <v>169</v>
      </c>
      <c r="E709" t="s">
        <v>119</v>
      </c>
      <c r="F709" t="s">
        <v>83</v>
      </c>
      <c r="G709">
        <v>0</v>
      </c>
    </row>
    <row r="710" spans="1:7" x14ac:dyDescent="0.35">
      <c r="A710">
        <v>2019</v>
      </c>
      <c r="B710" t="s">
        <v>58</v>
      </c>
      <c r="C710" t="s">
        <v>168</v>
      </c>
      <c r="D710" t="s">
        <v>169</v>
      </c>
      <c r="E710" t="s">
        <v>76</v>
      </c>
      <c r="F710" t="s">
        <v>83</v>
      </c>
      <c r="G710">
        <v>0</v>
      </c>
    </row>
    <row r="711" spans="1:7" x14ac:dyDescent="0.35">
      <c r="A711">
        <v>2019</v>
      </c>
      <c r="B711" t="s">
        <v>58</v>
      </c>
      <c r="C711" t="s">
        <v>168</v>
      </c>
      <c r="D711" t="s">
        <v>169</v>
      </c>
      <c r="E711" t="s">
        <v>0</v>
      </c>
      <c r="F711" t="s">
        <v>83</v>
      </c>
      <c r="G711">
        <v>1</v>
      </c>
    </row>
    <row r="712" spans="1:7" x14ac:dyDescent="0.35">
      <c r="A712">
        <v>2019</v>
      </c>
      <c r="B712" t="s">
        <v>58</v>
      </c>
      <c r="C712" t="s">
        <v>168</v>
      </c>
      <c r="D712" t="s">
        <v>169</v>
      </c>
      <c r="E712" t="s">
        <v>118</v>
      </c>
      <c r="F712" t="s">
        <v>83</v>
      </c>
      <c r="G712">
        <v>5</v>
      </c>
    </row>
    <row r="713" spans="1:7" x14ac:dyDescent="0.35">
      <c r="A713">
        <v>2019</v>
      </c>
      <c r="B713" t="s">
        <v>58</v>
      </c>
      <c r="C713" t="s">
        <v>168</v>
      </c>
      <c r="D713" t="s">
        <v>169</v>
      </c>
      <c r="E713" t="s">
        <v>119</v>
      </c>
      <c r="F713" t="s">
        <v>83</v>
      </c>
      <c r="G713">
        <v>0</v>
      </c>
    </row>
    <row r="714" spans="1:7" x14ac:dyDescent="0.35">
      <c r="A714">
        <v>2019</v>
      </c>
      <c r="B714" t="s">
        <v>51</v>
      </c>
      <c r="C714" t="s">
        <v>168</v>
      </c>
      <c r="D714" t="s">
        <v>169</v>
      </c>
      <c r="E714" t="s">
        <v>76</v>
      </c>
      <c r="F714" t="s">
        <v>83</v>
      </c>
      <c r="G714">
        <v>1</v>
      </c>
    </row>
    <row r="715" spans="1:7" x14ac:dyDescent="0.35">
      <c r="A715">
        <v>2019</v>
      </c>
      <c r="B715" t="s">
        <v>51</v>
      </c>
      <c r="C715" t="s">
        <v>168</v>
      </c>
      <c r="D715" t="s">
        <v>169</v>
      </c>
      <c r="E715" t="s">
        <v>0</v>
      </c>
      <c r="F715" t="s">
        <v>83</v>
      </c>
      <c r="G715">
        <v>5</v>
      </c>
    </row>
    <row r="716" spans="1:7" x14ac:dyDescent="0.35">
      <c r="A716">
        <v>2019</v>
      </c>
      <c r="B716" t="s">
        <v>51</v>
      </c>
      <c r="C716" t="s">
        <v>168</v>
      </c>
      <c r="D716" t="s">
        <v>169</v>
      </c>
      <c r="E716" t="s">
        <v>118</v>
      </c>
      <c r="F716" t="s">
        <v>83</v>
      </c>
      <c r="G716">
        <v>7</v>
      </c>
    </row>
    <row r="717" spans="1:7" x14ac:dyDescent="0.35">
      <c r="A717">
        <v>2019</v>
      </c>
      <c r="B717" t="s">
        <v>51</v>
      </c>
      <c r="C717" t="s">
        <v>168</v>
      </c>
      <c r="D717" t="s">
        <v>169</v>
      </c>
      <c r="E717" t="s">
        <v>119</v>
      </c>
      <c r="F717" t="s">
        <v>83</v>
      </c>
      <c r="G717">
        <v>0</v>
      </c>
    </row>
    <row r="718" spans="1:7" x14ac:dyDescent="0.35">
      <c r="A718">
        <v>2019</v>
      </c>
      <c r="B718" t="s">
        <v>59</v>
      </c>
      <c r="C718" t="s">
        <v>168</v>
      </c>
      <c r="D718" t="s">
        <v>169</v>
      </c>
      <c r="E718" t="s">
        <v>76</v>
      </c>
      <c r="F718" t="s">
        <v>83</v>
      </c>
      <c r="G718">
        <v>0</v>
      </c>
    </row>
    <row r="719" spans="1:7" x14ac:dyDescent="0.35">
      <c r="A719">
        <v>2019</v>
      </c>
      <c r="B719" t="s">
        <v>59</v>
      </c>
      <c r="C719" t="s">
        <v>168</v>
      </c>
      <c r="D719" t="s">
        <v>169</v>
      </c>
      <c r="E719" t="s">
        <v>0</v>
      </c>
      <c r="F719" t="s">
        <v>83</v>
      </c>
      <c r="G719">
        <v>3</v>
      </c>
    </row>
    <row r="720" spans="1:7" x14ac:dyDescent="0.35">
      <c r="A720">
        <v>2019</v>
      </c>
      <c r="B720" t="s">
        <v>59</v>
      </c>
      <c r="C720" t="s">
        <v>168</v>
      </c>
      <c r="D720" t="s">
        <v>169</v>
      </c>
      <c r="E720" t="s">
        <v>118</v>
      </c>
      <c r="F720" t="s">
        <v>83</v>
      </c>
      <c r="G720">
        <v>8</v>
      </c>
    </row>
    <row r="721" spans="1:7" x14ac:dyDescent="0.35">
      <c r="A721">
        <v>2019</v>
      </c>
      <c r="B721" t="s">
        <v>59</v>
      </c>
      <c r="C721" t="s">
        <v>168</v>
      </c>
      <c r="D721" t="s">
        <v>169</v>
      </c>
      <c r="E721" t="s">
        <v>119</v>
      </c>
      <c r="F721" t="s">
        <v>83</v>
      </c>
      <c r="G721">
        <v>0</v>
      </c>
    </row>
    <row r="722" spans="1:7" x14ac:dyDescent="0.35">
      <c r="A722">
        <v>2019</v>
      </c>
      <c r="B722" t="s">
        <v>52</v>
      </c>
      <c r="C722" t="s">
        <v>168</v>
      </c>
      <c r="D722" t="s">
        <v>169</v>
      </c>
      <c r="E722" t="s">
        <v>76</v>
      </c>
      <c r="F722" t="s">
        <v>83</v>
      </c>
      <c r="G722">
        <v>4</v>
      </c>
    </row>
    <row r="723" spans="1:7" x14ac:dyDescent="0.35">
      <c r="A723">
        <v>2019</v>
      </c>
      <c r="B723" t="s">
        <v>52</v>
      </c>
      <c r="C723" t="s">
        <v>168</v>
      </c>
      <c r="D723" t="s">
        <v>169</v>
      </c>
      <c r="E723" t="s">
        <v>0</v>
      </c>
      <c r="F723" t="s">
        <v>83</v>
      </c>
      <c r="G723">
        <v>0</v>
      </c>
    </row>
    <row r="724" spans="1:7" x14ac:dyDescent="0.35">
      <c r="A724">
        <v>2019</v>
      </c>
      <c r="B724" t="s">
        <v>52</v>
      </c>
      <c r="C724" t="s">
        <v>168</v>
      </c>
      <c r="D724" t="s">
        <v>169</v>
      </c>
      <c r="E724" t="s">
        <v>118</v>
      </c>
      <c r="F724" t="s">
        <v>83</v>
      </c>
      <c r="G724">
        <v>4</v>
      </c>
    </row>
    <row r="725" spans="1:7" x14ac:dyDescent="0.35">
      <c r="A725">
        <v>2019</v>
      </c>
      <c r="B725" t="s">
        <v>52</v>
      </c>
      <c r="C725" t="s">
        <v>168</v>
      </c>
      <c r="D725" t="s">
        <v>169</v>
      </c>
      <c r="E725" t="s">
        <v>119</v>
      </c>
      <c r="F725" t="s">
        <v>83</v>
      </c>
      <c r="G725">
        <v>0</v>
      </c>
    </row>
    <row r="726" spans="1:7" x14ac:dyDescent="0.35">
      <c r="A726">
        <v>2019</v>
      </c>
      <c r="B726" t="s">
        <v>60</v>
      </c>
      <c r="C726" t="s">
        <v>168</v>
      </c>
      <c r="D726" t="s">
        <v>169</v>
      </c>
      <c r="E726" t="s">
        <v>76</v>
      </c>
      <c r="F726" t="s">
        <v>83</v>
      </c>
      <c r="G726">
        <v>2</v>
      </c>
    </row>
    <row r="727" spans="1:7" x14ac:dyDescent="0.35">
      <c r="A727">
        <v>2019</v>
      </c>
      <c r="B727" t="s">
        <v>60</v>
      </c>
      <c r="C727" t="s">
        <v>168</v>
      </c>
      <c r="D727" t="s">
        <v>169</v>
      </c>
      <c r="E727" t="s">
        <v>0</v>
      </c>
      <c r="F727" t="s">
        <v>83</v>
      </c>
      <c r="G727">
        <v>0</v>
      </c>
    </row>
    <row r="728" spans="1:7" x14ac:dyDescent="0.35">
      <c r="A728">
        <v>2019</v>
      </c>
      <c r="B728" t="s">
        <v>60</v>
      </c>
      <c r="C728" t="s">
        <v>168</v>
      </c>
      <c r="D728" t="s">
        <v>169</v>
      </c>
      <c r="E728" t="s">
        <v>118</v>
      </c>
      <c r="F728" t="s">
        <v>83</v>
      </c>
      <c r="G728">
        <v>10</v>
      </c>
    </row>
    <row r="729" spans="1:7" x14ac:dyDescent="0.35">
      <c r="A729">
        <v>2019</v>
      </c>
      <c r="B729" t="s">
        <v>60</v>
      </c>
      <c r="C729" t="s">
        <v>168</v>
      </c>
      <c r="D729" t="s">
        <v>169</v>
      </c>
      <c r="E729" t="s">
        <v>119</v>
      </c>
      <c r="F729" t="s">
        <v>83</v>
      </c>
      <c r="G729">
        <v>1</v>
      </c>
    </row>
    <row r="730" spans="1:7" x14ac:dyDescent="0.35">
      <c r="A730">
        <v>2019</v>
      </c>
      <c r="B730" t="s">
        <v>26</v>
      </c>
      <c r="C730" t="s">
        <v>168</v>
      </c>
      <c r="D730" t="s">
        <v>169</v>
      </c>
      <c r="E730" t="s">
        <v>76</v>
      </c>
      <c r="F730" t="s">
        <v>83</v>
      </c>
      <c r="G730">
        <v>2</v>
      </c>
    </row>
    <row r="731" spans="1:7" x14ac:dyDescent="0.35">
      <c r="A731">
        <v>2019</v>
      </c>
      <c r="B731" t="s">
        <v>26</v>
      </c>
      <c r="C731" t="s">
        <v>168</v>
      </c>
      <c r="D731" t="s">
        <v>169</v>
      </c>
      <c r="E731" t="s">
        <v>0</v>
      </c>
      <c r="F731" t="s">
        <v>83</v>
      </c>
      <c r="G731">
        <v>6</v>
      </c>
    </row>
    <row r="732" spans="1:7" x14ac:dyDescent="0.35">
      <c r="A732">
        <v>2019</v>
      </c>
      <c r="B732" t="s">
        <v>26</v>
      </c>
      <c r="C732" t="s">
        <v>168</v>
      </c>
      <c r="D732" t="s">
        <v>169</v>
      </c>
      <c r="E732" t="s">
        <v>118</v>
      </c>
      <c r="F732" t="s">
        <v>83</v>
      </c>
      <c r="G732">
        <v>14</v>
      </c>
    </row>
    <row r="733" spans="1:7" x14ac:dyDescent="0.35">
      <c r="A733">
        <v>2019</v>
      </c>
      <c r="B733" t="s">
        <v>26</v>
      </c>
      <c r="C733" t="s">
        <v>168</v>
      </c>
      <c r="D733" t="s">
        <v>169</v>
      </c>
      <c r="E733" t="s">
        <v>119</v>
      </c>
      <c r="F733" t="s">
        <v>83</v>
      </c>
      <c r="G733">
        <v>0</v>
      </c>
    </row>
    <row r="734" spans="1:7" x14ac:dyDescent="0.35">
      <c r="A734">
        <v>2019</v>
      </c>
      <c r="B734" t="s">
        <v>41</v>
      </c>
      <c r="C734" t="s">
        <v>168</v>
      </c>
      <c r="D734" t="s">
        <v>169</v>
      </c>
      <c r="E734" t="s">
        <v>76</v>
      </c>
      <c r="F734" t="s">
        <v>83</v>
      </c>
      <c r="G734">
        <v>0</v>
      </c>
    </row>
    <row r="735" spans="1:7" x14ac:dyDescent="0.35">
      <c r="A735">
        <v>2019</v>
      </c>
      <c r="B735" t="s">
        <v>41</v>
      </c>
      <c r="C735" t="s">
        <v>168</v>
      </c>
      <c r="D735" t="s">
        <v>169</v>
      </c>
      <c r="E735" t="s">
        <v>0</v>
      </c>
      <c r="F735" t="s">
        <v>83</v>
      </c>
      <c r="G735">
        <v>0</v>
      </c>
    </row>
    <row r="736" spans="1:7" x14ac:dyDescent="0.35">
      <c r="A736">
        <v>2019</v>
      </c>
      <c r="B736" t="s">
        <v>41</v>
      </c>
      <c r="C736" t="s">
        <v>168</v>
      </c>
      <c r="D736" t="s">
        <v>169</v>
      </c>
      <c r="E736" t="s">
        <v>118</v>
      </c>
      <c r="F736" t="s">
        <v>83</v>
      </c>
      <c r="G736">
        <v>1</v>
      </c>
    </row>
    <row r="737" spans="1:7" x14ac:dyDescent="0.35">
      <c r="A737">
        <v>2019</v>
      </c>
      <c r="B737" t="s">
        <v>41</v>
      </c>
      <c r="C737" t="s">
        <v>168</v>
      </c>
      <c r="D737" t="s">
        <v>169</v>
      </c>
      <c r="E737" t="s">
        <v>119</v>
      </c>
      <c r="F737" t="s">
        <v>83</v>
      </c>
      <c r="G737">
        <v>0</v>
      </c>
    </row>
    <row r="738" spans="1:7" x14ac:dyDescent="0.35">
      <c r="A738">
        <v>2019</v>
      </c>
      <c r="B738" t="s">
        <v>15</v>
      </c>
      <c r="C738" t="s">
        <v>168</v>
      </c>
      <c r="D738" t="s">
        <v>169</v>
      </c>
      <c r="E738" t="s">
        <v>76</v>
      </c>
      <c r="F738" t="s">
        <v>84</v>
      </c>
      <c r="G738">
        <v>1</v>
      </c>
    </row>
    <row r="739" spans="1:7" x14ac:dyDescent="0.35">
      <c r="A739">
        <v>2019</v>
      </c>
      <c r="B739" t="s">
        <v>15</v>
      </c>
      <c r="C739" t="s">
        <v>168</v>
      </c>
      <c r="D739" t="s">
        <v>169</v>
      </c>
      <c r="E739" t="s">
        <v>0</v>
      </c>
      <c r="F739" t="s">
        <v>84</v>
      </c>
      <c r="G739">
        <v>0</v>
      </c>
    </row>
    <row r="740" spans="1:7" x14ac:dyDescent="0.35">
      <c r="A740">
        <v>2019</v>
      </c>
      <c r="B740" t="s">
        <v>15</v>
      </c>
      <c r="C740" t="s">
        <v>168</v>
      </c>
      <c r="D740" t="s">
        <v>169</v>
      </c>
      <c r="E740" t="s">
        <v>118</v>
      </c>
      <c r="F740" t="s">
        <v>84</v>
      </c>
      <c r="G740">
        <v>3</v>
      </c>
    </row>
    <row r="741" spans="1:7" x14ac:dyDescent="0.35">
      <c r="A741">
        <v>2019</v>
      </c>
      <c r="B741" t="s">
        <v>15</v>
      </c>
      <c r="C741" t="s">
        <v>168</v>
      </c>
      <c r="D741" t="s">
        <v>169</v>
      </c>
      <c r="E741" t="s">
        <v>119</v>
      </c>
      <c r="F741" t="s">
        <v>84</v>
      </c>
      <c r="G741">
        <v>0</v>
      </c>
    </row>
    <row r="742" spans="1:7" x14ac:dyDescent="0.35">
      <c r="A742">
        <v>2019</v>
      </c>
      <c r="B742" t="s">
        <v>16</v>
      </c>
      <c r="C742" t="s">
        <v>168</v>
      </c>
      <c r="D742" t="s">
        <v>169</v>
      </c>
      <c r="E742" t="s">
        <v>76</v>
      </c>
      <c r="F742" t="s">
        <v>84</v>
      </c>
      <c r="G742">
        <v>0</v>
      </c>
    </row>
    <row r="743" spans="1:7" x14ac:dyDescent="0.35">
      <c r="A743">
        <v>2019</v>
      </c>
      <c r="B743" t="s">
        <v>16</v>
      </c>
      <c r="C743" t="s">
        <v>168</v>
      </c>
      <c r="D743" t="s">
        <v>169</v>
      </c>
      <c r="E743" t="s">
        <v>0</v>
      </c>
      <c r="F743" t="s">
        <v>84</v>
      </c>
      <c r="G743">
        <v>0</v>
      </c>
    </row>
    <row r="744" spans="1:7" x14ac:dyDescent="0.35">
      <c r="A744">
        <v>2019</v>
      </c>
      <c r="B744" t="s">
        <v>16</v>
      </c>
      <c r="C744" t="s">
        <v>168</v>
      </c>
      <c r="D744" t="s">
        <v>169</v>
      </c>
      <c r="E744" t="s">
        <v>118</v>
      </c>
      <c r="F744" t="s">
        <v>84</v>
      </c>
      <c r="G744">
        <v>3</v>
      </c>
    </row>
    <row r="745" spans="1:7" x14ac:dyDescent="0.35">
      <c r="A745">
        <v>2019</v>
      </c>
      <c r="B745" t="s">
        <v>16</v>
      </c>
      <c r="C745" t="s">
        <v>168</v>
      </c>
      <c r="D745" t="s">
        <v>169</v>
      </c>
      <c r="E745" t="s">
        <v>119</v>
      </c>
      <c r="F745" t="s">
        <v>84</v>
      </c>
      <c r="G745">
        <v>0</v>
      </c>
    </row>
    <row r="746" spans="1:7" x14ac:dyDescent="0.35">
      <c r="A746">
        <v>2019</v>
      </c>
      <c r="B746" t="s">
        <v>17</v>
      </c>
      <c r="C746" t="s">
        <v>168</v>
      </c>
      <c r="D746" t="s">
        <v>169</v>
      </c>
      <c r="E746" t="s">
        <v>76</v>
      </c>
      <c r="F746" t="s">
        <v>84</v>
      </c>
      <c r="G746">
        <v>0</v>
      </c>
    </row>
    <row r="747" spans="1:7" x14ac:dyDescent="0.35">
      <c r="A747">
        <v>2019</v>
      </c>
      <c r="B747" t="s">
        <v>17</v>
      </c>
      <c r="C747" t="s">
        <v>168</v>
      </c>
      <c r="D747" t="s">
        <v>169</v>
      </c>
      <c r="E747" t="s">
        <v>0</v>
      </c>
      <c r="F747" t="s">
        <v>84</v>
      </c>
      <c r="G747">
        <v>0</v>
      </c>
    </row>
    <row r="748" spans="1:7" x14ac:dyDescent="0.35">
      <c r="A748">
        <v>2019</v>
      </c>
      <c r="B748" t="s">
        <v>17</v>
      </c>
      <c r="C748" t="s">
        <v>168</v>
      </c>
      <c r="D748" t="s">
        <v>169</v>
      </c>
      <c r="E748" t="s">
        <v>118</v>
      </c>
      <c r="F748" t="s">
        <v>84</v>
      </c>
      <c r="G748">
        <v>3</v>
      </c>
    </row>
    <row r="749" spans="1:7" x14ac:dyDescent="0.35">
      <c r="A749">
        <v>2019</v>
      </c>
      <c r="B749" t="s">
        <v>17</v>
      </c>
      <c r="C749" t="s">
        <v>168</v>
      </c>
      <c r="D749" t="s">
        <v>169</v>
      </c>
      <c r="E749" t="s">
        <v>119</v>
      </c>
      <c r="F749" t="s">
        <v>84</v>
      </c>
      <c r="G749">
        <v>0</v>
      </c>
    </row>
    <row r="750" spans="1:7" x14ac:dyDescent="0.35">
      <c r="A750">
        <v>2019</v>
      </c>
      <c r="B750" t="s">
        <v>18</v>
      </c>
      <c r="C750" t="s">
        <v>168</v>
      </c>
      <c r="D750" t="s">
        <v>169</v>
      </c>
      <c r="E750" t="s">
        <v>76</v>
      </c>
      <c r="F750" t="s">
        <v>84</v>
      </c>
      <c r="G750">
        <v>0</v>
      </c>
    </row>
    <row r="751" spans="1:7" x14ac:dyDescent="0.35">
      <c r="A751">
        <v>2019</v>
      </c>
      <c r="B751" t="s">
        <v>18</v>
      </c>
      <c r="C751" t="s">
        <v>168</v>
      </c>
      <c r="D751" t="s">
        <v>169</v>
      </c>
      <c r="E751" t="s">
        <v>0</v>
      </c>
      <c r="F751" t="s">
        <v>84</v>
      </c>
      <c r="G751">
        <v>1</v>
      </c>
    </row>
    <row r="752" spans="1:7" x14ac:dyDescent="0.35">
      <c r="A752">
        <v>2019</v>
      </c>
      <c r="B752" t="s">
        <v>18</v>
      </c>
      <c r="C752" t="s">
        <v>168</v>
      </c>
      <c r="D752" t="s">
        <v>169</v>
      </c>
      <c r="E752" t="s">
        <v>118</v>
      </c>
      <c r="F752" t="s">
        <v>84</v>
      </c>
      <c r="G752">
        <v>2</v>
      </c>
    </row>
    <row r="753" spans="1:7" x14ac:dyDescent="0.35">
      <c r="A753">
        <v>2019</v>
      </c>
      <c r="B753" t="s">
        <v>18</v>
      </c>
      <c r="C753" t="s">
        <v>168</v>
      </c>
      <c r="D753" t="s">
        <v>169</v>
      </c>
      <c r="E753" t="s">
        <v>119</v>
      </c>
      <c r="F753" t="s">
        <v>84</v>
      </c>
      <c r="G753">
        <v>0</v>
      </c>
    </row>
    <row r="754" spans="1:7" x14ac:dyDescent="0.35">
      <c r="A754">
        <v>2019</v>
      </c>
      <c r="B754" t="s">
        <v>19</v>
      </c>
      <c r="C754" t="s">
        <v>168</v>
      </c>
      <c r="D754" t="s">
        <v>169</v>
      </c>
      <c r="E754" t="s">
        <v>76</v>
      </c>
      <c r="F754" t="s">
        <v>84</v>
      </c>
      <c r="G754">
        <v>0</v>
      </c>
    </row>
    <row r="755" spans="1:7" x14ac:dyDescent="0.35">
      <c r="A755">
        <v>2019</v>
      </c>
      <c r="B755" t="s">
        <v>19</v>
      </c>
      <c r="C755" t="s">
        <v>168</v>
      </c>
      <c r="D755" t="s">
        <v>169</v>
      </c>
      <c r="E755" t="s">
        <v>0</v>
      </c>
      <c r="F755" t="s">
        <v>84</v>
      </c>
      <c r="G755">
        <v>0</v>
      </c>
    </row>
    <row r="756" spans="1:7" x14ac:dyDescent="0.35">
      <c r="A756">
        <v>2019</v>
      </c>
      <c r="B756" t="s">
        <v>19</v>
      </c>
      <c r="C756" t="s">
        <v>168</v>
      </c>
      <c r="D756" t="s">
        <v>169</v>
      </c>
      <c r="E756" t="s">
        <v>118</v>
      </c>
      <c r="F756" t="s">
        <v>84</v>
      </c>
      <c r="G756">
        <v>0</v>
      </c>
    </row>
    <row r="757" spans="1:7" x14ac:dyDescent="0.35">
      <c r="A757">
        <v>2019</v>
      </c>
      <c r="B757" t="s">
        <v>19</v>
      </c>
      <c r="C757" t="s">
        <v>168</v>
      </c>
      <c r="D757" t="s">
        <v>169</v>
      </c>
      <c r="E757" t="s">
        <v>119</v>
      </c>
      <c r="F757" t="s">
        <v>84</v>
      </c>
      <c r="G757">
        <v>0</v>
      </c>
    </row>
    <row r="758" spans="1:7" x14ac:dyDescent="0.35">
      <c r="A758">
        <v>2019</v>
      </c>
      <c r="B758" t="s">
        <v>20</v>
      </c>
      <c r="C758" t="s">
        <v>168</v>
      </c>
      <c r="D758" t="s">
        <v>169</v>
      </c>
      <c r="E758" t="s">
        <v>76</v>
      </c>
      <c r="F758" t="s">
        <v>84</v>
      </c>
      <c r="G758">
        <v>0</v>
      </c>
    </row>
    <row r="759" spans="1:7" x14ac:dyDescent="0.35">
      <c r="A759">
        <v>2019</v>
      </c>
      <c r="B759" t="s">
        <v>20</v>
      </c>
      <c r="C759" t="s">
        <v>168</v>
      </c>
      <c r="D759" t="s">
        <v>169</v>
      </c>
      <c r="E759" t="s">
        <v>0</v>
      </c>
      <c r="F759" t="s">
        <v>84</v>
      </c>
      <c r="G759">
        <v>0</v>
      </c>
    </row>
    <row r="760" spans="1:7" x14ac:dyDescent="0.35">
      <c r="A760">
        <v>2019</v>
      </c>
      <c r="B760" t="s">
        <v>20</v>
      </c>
      <c r="C760" t="s">
        <v>168</v>
      </c>
      <c r="D760" t="s">
        <v>169</v>
      </c>
      <c r="E760" t="s">
        <v>118</v>
      </c>
      <c r="F760" t="s">
        <v>84</v>
      </c>
      <c r="G760">
        <v>5</v>
      </c>
    </row>
    <row r="761" spans="1:7" x14ac:dyDescent="0.35">
      <c r="A761">
        <v>2019</v>
      </c>
      <c r="B761" t="s">
        <v>20</v>
      </c>
      <c r="C761" t="s">
        <v>168</v>
      </c>
      <c r="D761" t="s">
        <v>169</v>
      </c>
      <c r="E761" t="s">
        <v>119</v>
      </c>
      <c r="F761" t="s">
        <v>84</v>
      </c>
      <c r="G761">
        <v>0</v>
      </c>
    </row>
    <row r="762" spans="1:7" x14ac:dyDescent="0.35">
      <c r="A762">
        <v>2019</v>
      </c>
      <c r="B762" t="s">
        <v>21</v>
      </c>
      <c r="C762" t="s">
        <v>168</v>
      </c>
      <c r="D762" t="s">
        <v>169</v>
      </c>
      <c r="E762" t="s">
        <v>76</v>
      </c>
      <c r="F762" t="s">
        <v>84</v>
      </c>
      <c r="G762">
        <v>0</v>
      </c>
    </row>
    <row r="763" spans="1:7" x14ac:dyDescent="0.35">
      <c r="A763">
        <v>2019</v>
      </c>
      <c r="B763" t="s">
        <v>21</v>
      </c>
      <c r="C763" t="s">
        <v>168</v>
      </c>
      <c r="D763" t="s">
        <v>169</v>
      </c>
      <c r="E763" t="s">
        <v>0</v>
      </c>
      <c r="F763" t="s">
        <v>84</v>
      </c>
      <c r="G763">
        <v>0</v>
      </c>
    </row>
    <row r="764" spans="1:7" x14ac:dyDescent="0.35">
      <c r="A764">
        <v>2019</v>
      </c>
      <c r="B764" t="s">
        <v>21</v>
      </c>
      <c r="C764" t="s">
        <v>168</v>
      </c>
      <c r="D764" t="s">
        <v>169</v>
      </c>
      <c r="E764" t="s">
        <v>118</v>
      </c>
      <c r="F764" t="s">
        <v>84</v>
      </c>
      <c r="G764">
        <v>1</v>
      </c>
    </row>
    <row r="765" spans="1:7" x14ac:dyDescent="0.35">
      <c r="A765">
        <v>2019</v>
      </c>
      <c r="B765" t="s">
        <v>21</v>
      </c>
      <c r="C765" t="s">
        <v>168</v>
      </c>
      <c r="D765" t="s">
        <v>169</v>
      </c>
      <c r="E765" t="s">
        <v>119</v>
      </c>
      <c r="F765" t="s">
        <v>84</v>
      </c>
      <c r="G765">
        <v>0</v>
      </c>
    </row>
    <row r="766" spans="1:7" x14ac:dyDescent="0.35">
      <c r="A766">
        <v>2019</v>
      </c>
      <c r="B766" t="s">
        <v>22</v>
      </c>
      <c r="C766" t="s">
        <v>168</v>
      </c>
      <c r="D766" t="s">
        <v>169</v>
      </c>
      <c r="E766" t="s">
        <v>76</v>
      </c>
      <c r="F766" t="s">
        <v>84</v>
      </c>
      <c r="G766">
        <v>3</v>
      </c>
    </row>
    <row r="767" spans="1:7" x14ac:dyDescent="0.35">
      <c r="A767">
        <v>2019</v>
      </c>
      <c r="B767" t="s">
        <v>22</v>
      </c>
      <c r="C767" t="s">
        <v>168</v>
      </c>
      <c r="D767" t="s">
        <v>169</v>
      </c>
      <c r="E767" t="s">
        <v>0</v>
      </c>
      <c r="F767" t="s">
        <v>84</v>
      </c>
      <c r="G767">
        <v>0</v>
      </c>
    </row>
    <row r="768" spans="1:7" x14ac:dyDescent="0.35">
      <c r="A768">
        <v>2019</v>
      </c>
      <c r="B768" t="s">
        <v>22</v>
      </c>
      <c r="C768" t="s">
        <v>168</v>
      </c>
      <c r="D768" t="s">
        <v>169</v>
      </c>
      <c r="E768" t="s">
        <v>118</v>
      </c>
      <c r="F768" t="s">
        <v>84</v>
      </c>
      <c r="G768">
        <v>2</v>
      </c>
    </row>
    <row r="769" spans="1:7" x14ac:dyDescent="0.35">
      <c r="A769">
        <v>2019</v>
      </c>
      <c r="B769" t="s">
        <v>22</v>
      </c>
      <c r="C769" t="s">
        <v>168</v>
      </c>
      <c r="D769" t="s">
        <v>169</v>
      </c>
      <c r="E769" t="s">
        <v>119</v>
      </c>
      <c r="F769" t="s">
        <v>84</v>
      </c>
      <c r="G769">
        <v>0</v>
      </c>
    </row>
    <row r="770" spans="1:7" x14ac:dyDescent="0.35">
      <c r="A770">
        <v>2019</v>
      </c>
      <c r="B770" t="s">
        <v>23</v>
      </c>
      <c r="C770" t="s">
        <v>168</v>
      </c>
      <c r="D770" t="s">
        <v>169</v>
      </c>
      <c r="E770" t="s">
        <v>76</v>
      </c>
      <c r="F770" t="s">
        <v>84</v>
      </c>
      <c r="G770">
        <v>1</v>
      </c>
    </row>
    <row r="771" spans="1:7" x14ac:dyDescent="0.35">
      <c r="A771">
        <v>2019</v>
      </c>
      <c r="B771" t="s">
        <v>23</v>
      </c>
      <c r="C771" t="s">
        <v>168</v>
      </c>
      <c r="D771" t="s">
        <v>169</v>
      </c>
      <c r="E771" t="s">
        <v>0</v>
      </c>
      <c r="F771" t="s">
        <v>84</v>
      </c>
      <c r="G771">
        <v>0</v>
      </c>
    </row>
    <row r="772" spans="1:7" x14ac:dyDescent="0.35">
      <c r="A772">
        <v>2019</v>
      </c>
      <c r="B772" t="s">
        <v>23</v>
      </c>
      <c r="C772" t="s">
        <v>168</v>
      </c>
      <c r="D772" t="s">
        <v>169</v>
      </c>
      <c r="E772" t="s">
        <v>118</v>
      </c>
      <c r="F772" t="s">
        <v>84</v>
      </c>
      <c r="G772">
        <v>2</v>
      </c>
    </row>
    <row r="773" spans="1:7" x14ac:dyDescent="0.35">
      <c r="A773">
        <v>2019</v>
      </c>
      <c r="B773" t="s">
        <v>23</v>
      </c>
      <c r="C773" t="s">
        <v>168</v>
      </c>
      <c r="D773" t="s">
        <v>169</v>
      </c>
      <c r="E773" t="s">
        <v>119</v>
      </c>
      <c r="F773" t="s">
        <v>84</v>
      </c>
      <c r="G773">
        <v>0</v>
      </c>
    </row>
    <row r="774" spans="1:7" x14ac:dyDescent="0.35">
      <c r="A774">
        <v>2019</v>
      </c>
      <c r="B774" t="s">
        <v>24</v>
      </c>
      <c r="C774" t="s">
        <v>168</v>
      </c>
      <c r="D774" t="s">
        <v>169</v>
      </c>
      <c r="E774" t="s">
        <v>76</v>
      </c>
      <c r="F774" t="s">
        <v>84</v>
      </c>
      <c r="G774">
        <v>1</v>
      </c>
    </row>
    <row r="775" spans="1:7" x14ac:dyDescent="0.35">
      <c r="A775">
        <v>2019</v>
      </c>
      <c r="B775" t="s">
        <v>24</v>
      </c>
      <c r="C775" t="s">
        <v>168</v>
      </c>
      <c r="D775" t="s">
        <v>169</v>
      </c>
      <c r="E775" t="s">
        <v>0</v>
      </c>
      <c r="F775" t="s">
        <v>84</v>
      </c>
      <c r="G775">
        <v>0</v>
      </c>
    </row>
    <row r="776" spans="1:7" x14ac:dyDescent="0.35">
      <c r="A776">
        <v>2019</v>
      </c>
      <c r="B776" t="s">
        <v>24</v>
      </c>
      <c r="C776" t="s">
        <v>168</v>
      </c>
      <c r="D776" t="s">
        <v>169</v>
      </c>
      <c r="E776" t="s">
        <v>118</v>
      </c>
      <c r="F776" t="s">
        <v>84</v>
      </c>
      <c r="G776">
        <v>1</v>
      </c>
    </row>
    <row r="777" spans="1:7" x14ac:dyDescent="0.35">
      <c r="A777">
        <v>2019</v>
      </c>
      <c r="B777" t="s">
        <v>24</v>
      </c>
      <c r="C777" t="s">
        <v>168</v>
      </c>
      <c r="D777" t="s">
        <v>169</v>
      </c>
      <c r="E777" t="s">
        <v>119</v>
      </c>
      <c r="F777" t="s">
        <v>84</v>
      </c>
      <c r="G777">
        <v>0</v>
      </c>
    </row>
    <row r="778" spans="1:7" x14ac:dyDescent="0.35">
      <c r="A778">
        <v>2019</v>
      </c>
      <c r="B778" t="s">
        <v>25</v>
      </c>
      <c r="C778" t="s">
        <v>168</v>
      </c>
      <c r="D778" t="s">
        <v>169</v>
      </c>
      <c r="E778" t="s">
        <v>76</v>
      </c>
      <c r="F778" t="s">
        <v>84</v>
      </c>
      <c r="G778">
        <v>6</v>
      </c>
    </row>
    <row r="779" spans="1:7" x14ac:dyDescent="0.35">
      <c r="A779">
        <v>2019</v>
      </c>
      <c r="B779" t="s">
        <v>25</v>
      </c>
      <c r="C779" t="s">
        <v>168</v>
      </c>
      <c r="D779" t="s">
        <v>169</v>
      </c>
      <c r="E779" t="s">
        <v>0</v>
      </c>
      <c r="F779" t="s">
        <v>84</v>
      </c>
      <c r="G779">
        <v>1</v>
      </c>
    </row>
    <row r="780" spans="1:7" x14ac:dyDescent="0.35">
      <c r="A780">
        <v>2019</v>
      </c>
      <c r="B780" t="s">
        <v>25</v>
      </c>
      <c r="C780" t="s">
        <v>168</v>
      </c>
      <c r="D780" t="s">
        <v>169</v>
      </c>
      <c r="E780" t="s">
        <v>118</v>
      </c>
      <c r="F780" t="s">
        <v>84</v>
      </c>
      <c r="G780">
        <v>2</v>
      </c>
    </row>
    <row r="781" spans="1:7" x14ac:dyDescent="0.35">
      <c r="A781">
        <v>2019</v>
      </c>
      <c r="B781" t="s">
        <v>25</v>
      </c>
      <c r="C781" t="s">
        <v>168</v>
      </c>
      <c r="D781" t="s">
        <v>169</v>
      </c>
      <c r="E781" t="s">
        <v>119</v>
      </c>
      <c r="F781" t="s">
        <v>84</v>
      </c>
      <c r="G781">
        <v>0</v>
      </c>
    </row>
    <row r="782" spans="1:7" x14ac:dyDescent="0.35">
      <c r="A782">
        <v>2019</v>
      </c>
      <c r="B782" t="s">
        <v>27</v>
      </c>
      <c r="C782" t="s">
        <v>168</v>
      </c>
      <c r="D782" t="s">
        <v>169</v>
      </c>
      <c r="E782" t="s">
        <v>76</v>
      </c>
      <c r="F782" t="s">
        <v>84</v>
      </c>
      <c r="G782">
        <v>0</v>
      </c>
    </row>
    <row r="783" spans="1:7" x14ac:dyDescent="0.35">
      <c r="A783">
        <v>2019</v>
      </c>
      <c r="B783" t="s">
        <v>27</v>
      </c>
      <c r="C783" t="s">
        <v>168</v>
      </c>
      <c r="D783" t="s">
        <v>169</v>
      </c>
      <c r="E783" t="s">
        <v>0</v>
      </c>
      <c r="F783" t="s">
        <v>84</v>
      </c>
      <c r="G783">
        <v>0</v>
      </c>
    </row>
    <row r="784" spans="1:7" x14ac:dyDescent="0.35">
      <c r="A784">
        <v>2019</v>
      </c>
      <c r="B784" t="s">
        <v>27</v>
      </c>
      <c r="C784" t="s">
        <v>168</v>
      </c>
      <c r="D784" t="s">
        <v>169</v>
      </c>
      <c r="E784" t="s">
        <v>118</v>
      </c>
      <c r="F784" t="s">
        <v>84</v>
      </c>
      <c r="G784">
        <v>0</v>
      </c>
    </row>
    <row r="785" spans="1:7" x14ac:dyDescent="0.35">
      <c r="A785">
        <v>2019</v>
      </c>
      <c r="B785" t="s">
        <v>27</v>
      </c>
      <c r="C785" t="s">
        <v>168</v>
      </c>
      <c r="D785" t="s">
        <v>169</v>
      </c>
      <c r="E785" t="s">
        <v>119</v>
      </c>
      <c r="F785" t="s">
        <v>84</v>
      </c>
      <c r="G785">
        <v>0</v>
      </c>
    </row>
    <row r="786" spans="1:7" x14ac:dyDescent="0.35">
      <c r="A786">
        <v>2019</v>
      </c>
      <c r="B786" t="s">
        <v>28</v>
      </c>
      <c r="C786" t="s">
        <v>168</v>
      </c>
      <c r="D786" t="s">
        <v>169</v>
      </c>
      <c r="E786" t="s">
        <v>76</v>
      </c>
      <c r="F786" t="s">
        <v>84</v>
      </c>
      <c r="G786">
        <v>0</v>
      </c>
    </row>
    <row r="787" spans="1:7" x14ac:dyDescent="0.35">
      <c r="A787">
        <v>2019</v>
      </c>
      <c r="B787" t="s">
        <v>28</v>
      </c>
      <c r="C787" t="s">
        <v>168</v>
      </c>
      <c r="D787" t="s">
        <v>169</v>
      </c>
      <c r="E787" t="s">
        <v>0</v>
      </c>
      <c r="F787" t="s">
        <v>84</v>
      </c>
      <c r="G787">
        <v>0</v>
      </c>
    </row>
    <row r="788" spans="1:7" x14ac:dyDescent="0.35">
      <c r="A788">
        <v>2019</v>
      </c>
      <c r="B788" t="s">
        <v>28</v>
      </c>
      <c r="C788" t="s">
        <v>168</v>
      </c>
      <c r="D788" t="s">
        <v>169</v>
      </c>
      <c r="E788" t="s">
        <v>118</v>
      </c>
      <c r="F788" t="s">
        <v>84</v>
      </c>
      <c r="G788">
        <v>2</v>
      </c>
    </row>
    <row r="789" spans="1:7" x14ac:dyDescent="0.35">
      <c r="A789">
        <v>2019</v>
      </c>
      <c r="B789" t="s">
        <v>28</v>
      </c>
      <c r="C789" t="s">
        <v>168</v>
      </c>
      <c r="D789" t="s">
        <v>169</v>
      </c>
      <c r="E789" t="s">
        <v>119</v>
      </c>
      <c r="F789" t="s">
        <v>84</v>
      </c>
      <c r="G789">
        <v>0</v>
      </c>
    </row>
    <row r="790" spans="1:7" x14ac:dyDescent="0.35">
      <c r="A790">
        <v>2019</v>
      </c>
      <c r="B790" t="s">
        <v>29</v>
      </c>
      <c r="C790" t="s">
        <v>168</v>
      </c>
      <c r="D790" t="s">
        <v>169</v>
      </c>
      <c r="E790" t="s">
        <v>76</v>
      </c>
      <c r="F790" t="s">
        <v>84</v>
      </c>
      <c r="G790">
        <v>1</v>
      </c>
    </row>
    <row r="791" spans="1:7" x14ac:dyDescent="0.35">
      <c r="A791">
        <v>2019</v>
      </c>
      <c r="B791" t="s">
        <v>29</v>
      </c>
      <c r="C791" t="s">
        <v>168</v>
      </c>
      <c r="D791" t="s">
        <v>169</v>
      </c>
      <c r="E791" t="s">
        <v>0</v>
      </c>
      <c r="F791" t="s">
        <v>84</v>
      </c>
      <c r="G791">
        <v>0</v>
      </c>
    </row>
    <row r="792" spans="1:7" x14ac:dyDescent="0.35">
      <c r="A792">
        <v>2019</v>
      </c>
      <c r="B792" t="s">
        <v>29</v>
      </c>
      <c r="C792" t="s">
        <v>168</v>
      </c>
      <c r="D792" t="s">
        <v>169</v>
      </c>
      <c r="E792" t="s">
        <v>118</v>
      </c>
      <c r="F792" t="s">
        <v>84</v>
      </c>
      <c r="G792">
        <v>2</v>
      </c>
    </row>
    <row r="793" spans="1:7" x14ac:dyDescent="0.35">
      <c r="A793">
        <v>2019</v>
      </c>
      <c r="B793" t="s">
        <v>29</v>
      </c>
      <c r="C793" t="s">
        <v>168</v>
      </c>
      <c r="D793" t="s">
        <v>169</v>
      </c>
      <c r="E793" t="s">
        <v>119</v>
      </c>
      <c r="F793" t="s">
        <v>84</v>
      </c>
      <c r="G793">
        <v>0</v>
      </c>
    </row>
    <row r="794" spans="1:7" x14ac:dyDescent="0.35">
      <c r="A794">
        <v>2019</v>
      </c>
      <c r="B794" t="s">
        <v>30</v>
      </c>
      <c r="C794" t="s">
        <v>168</v>
      </c>
      <c r="D794" t="s">
        <v>169</v>
      </c>
      <c r="E794" t="s">
        <v>76</v>
      </c>
      <c r="F794" t="s">
        <v>84</v>
      </c>
      <c r="G794">
        <v>2</v>
      </c>
    </row>
    <row r="795" spans="1:7" x14ac:dyDescent="0.35">
      <c r="A795">
        <v>2019</v>
      </c>
      <c r="B795" t="s">
        <v>30</v>
      </c>
      <c r="C795" t="s">
        <v>168</v>
      </c>
      <c r="D795" t="s">
        <v>169</v>
      </c>
      <c r="E795" t="s">
        <v>0</v>
      </c>
      <c r="F795" t="s">
        <v>84</v>
      </c>
      <c r="G795">
        <v>0</v>
      </c>
    </row>
    <row r="796" spans="1:7" x14ac:dyDescent="0.35">
      <c r="A796">
        <v>2019</v>
      </c>
      <c r="B796" t="s">
        <v>30</v>
      </c>
      <c r="C796" t="s">
        <v>168</v>
      </c>
      <c r="D796" t="s">
        <v>169</v>
      </c>
      <c r="E796" t="s">
        <v>118</v>
      </c>
      <c r="F796" t="s">
        <v>84</v>
      </c>
      <c r="G796">
        <v>1</v>
      </c>
    </row>
    <row r="797" spans="1:7" x14ac:dyDescent="0.35">
      <c r="A797">
        <v>2019</v>
      </c>
      <c r="B797" t="s">
        <v>30</v>
      </c>
      <c r="C797" t="s">
        <v>168</v>
      </c>
      <c r="D797" t="s">
        <v>169</v>
      </c>
      <c r="E797" t="s">
        <v>119</v>
      </c>
      <c r="F797" t="s">
        <v>84</v>
      </c>
      <c r="G797">
        <v>0</v>
      </c>
    </row>
    <row r="798" spans="1:7" x14ac:dyDescent="0.35">
      <c r="A798">
        <v>2019</v>
      </c>
      <c r="B798" t="s">
        <v>61</v>
      </c>
      <c r="C798" t="s">
        <v>168</v>
      </c>
      <c r="D798" t="s">
        <v>169</v>
      </c>
      <c r="E798" t="s">
        <v>76</v>
      </c>
      <c r="F798" t="s">
        <v>84</v>
      </c>
      <c r="G798">
        <v>0</v>
      </c>
    </row>
    <row r="799" spans="1:7" x14ac:dyDescent="0.35">
      <c r="A799">
        <v>2019</v>
      </c>
      <c r="B799" t="s">
        <v>61</v>
      </c>
      <c r="C799" t="s">
        <v>168</v>
      </c>
      <c r="D799" t="s">
        <v>169</v>
      </c>
      <c r="E799" t="s">
        <v>0</v>
      </c>
      <c r="F799" t="s">
        <v>84</v>
      </c>
      <c r="G799">
        <v>1</v>
      </c>
    </row>
    <row r="800" spans="1:7" x14ac:dyDescent="0.35">
      <c r="A800">
        <v>2019</v>
      </c>
      <c r="B800" t="s">
        <v>61</v>
      </c>
      <c r="C800" t="s">
        <v>168</v>
      </c>
      <c r="D800" t="s">
        <v>169</v>
      </c>
      <c r="E800" t="s">
        <v>118</v>
      </c>
      <c r="F800" t="s">
        <v>84</v>
      </c>
      <c r="G800">
        <v>15</v>
      </c>
    </row>
    <row r="801" spans="1:7" x14ac:dyDescent="0.35">
      <c r="A801">
        <v>2019</v>
      </c>
      <c r="B801" t="s">
        <v>61</v>
      </c>
      <c r="C801" t="s">
        <v>168</v>
      </c>
      <c r="D801" t="s">
        <v>169</v>
      </c>
      <c r="E801" t="s">
        <v>119</v>
      </c>
      <c r="F801" t="s">
        <v>84</v>
      </c>
      <c r="G801">
        <v>0</v>
      </c>
    </row>
    <row r="802" spans="1:7" x14ac:dyDescent="0.35">
      <c r="A802">
        <v>2019</v>
      </c>
      <c r="B802" t="s">
        <v>55</v>
      </c>
      <c r="C802" t="s">
        <v>168</v>
      </c>
      <c r="D802" t="s">
        <v>169</v>
      </c>
      <c r="E802" t="s">
        <v>76</v>
      </c>
      <c r="F802" t="s">
        <v>84</v>
      </c>
      <c r="G802">
        <v>0</v>
      </c>
    </row>
    <row r="803" spans="1:7" x14ac:dyDescent="0.35">
      <c r="A803">
        <v>2019</v>
      </c>
      <c r="B803" t="s">
        <v>55</v>
      </c>
      <c r="C803" t="s">
        <v>168</v>
      </c>
      <c r="D803" t="s">
        <v>169</v>
      </c>
      <c r="E803" t="s">
        <v>0</v>
      </c>
      <c r="F803" t="s">
        <v>84</v>
      </c>
      <c r="G803">
        <v>1</v>
      </c>
    </row>
    <row r="804" spans="1:7" x14ac:dyDescent="0.35">
      <c r="A804">
        <v>2019</v>
      </c>
      <c r="B804" t="s">
        <v>55</v>
      </c>
      <c r="C804" t="s">
        <v>168</v>
      </c>
      <c r="D804" t="s">
        <v>169</v>
      </c>
      <c r="E804" t="s">
        <v>118</v>
      </c>
      <c r="F804" t="s">
        <v>84</v>
      </c>
      <c r="G804">
        <v>8</v>
      </c>
    </row>
    <row r="805" spans="1:7" x14ac:dyDescent="0.35">
      <c r="A805">
        <v>2019</v>
      </c>
      <c r="B805" t="s">
        <v>55</v>
      </c>
      <c r="C805" t="s">
        <v>168</v>
      </c>
      <c r="D805" t="s">
        <v>169</v>
      </c>
      <c r="E805" t="s">
        <v>119</v>
      </c>
      <c r="F805" t="s">
        <v>84</v>
      </c>
      <c r="G805">
        <v>0</v>
      </c>
    </row>
    <row r="806" spans="1:7" x14ac:dyDescent="0.35">
      <c r="A806">
        <v>2019</v>
      </c>
      <c r="B806" t="s">
        <v>31</v>
      </c>
      <c r="C806" t="s">
        <v>168</v>
      </c>
      <c r="D806" t="s">
        <v>169</v>
      </c>
      <c r="E806" t="s">
        <v>76</v>
      </c>
      <c r="F806" t="s">
        <v>84</v>
      </c>
      <c r="G806">
        <v>3</v>
      </c>
    </row>
    <row r="807" spans="1:7" x14ac:dyDescent="0.35">
      <c r="A807">
        <v>2019</v>
      </c>
      <c r="B807" t="s">
        <v>31</v>
      </c>
      <c r="C807" t="s">
        <v>168</v>
      </c>
      <c r="D807" t="s">
        <v>169</v>
      </c>
      <c r="E807" t="s">
        <v>0</v>
      </c>
      <c r="F807" t="s">
        <v>84</v>
      </c>
      <c r="G807">
        <v>2</v>
      </c>
    </row>
    <row r="808" spans="1:7" x14ac:dyDescent="0.35">
      <c r="A808">
        <v>2019</v>
      </c>
      <c r="B808" t="s">
        <v>31</v>
      </c>
      <c r="C808" t="s">
        <v>168</v>
      </c>
      <c r="D808" t="s">
        <v>169</v>
      </c>
      <c r="E808" t="s">
        <v>118</v>
      </c>
      <c r="F808" t="s">
        <v>84</v>
      </c>
      <c r="G808">
        <v>1</v>
      </c>
    </row>
    <row r="809" spans="1:7" x14ac:dyDescent="0.35">
      <c r="A809">
        <v>2019</v>
      </c>
      <c r="B809" t="s">
        <v>31</v>
      </c>
      <c r="C809" t="s">
        <v>168</v>
      </c>
      <c r="D809" t="s">
        <v>169</v>
      </c>
      <c r="E809" t="s">
        <v>119</v>
      </c>
      <c r="F809" t="s">
        <v>84</v>
      </c>
      <c r="G809">
        <v>0</v>
      </c>
    </row>
    <row r="810" spans="1:7" x14ac:dyDescent="0.35">
      <c r="A810">
        <v>2019</v>
      </c>
      <c r="B810" t="s">
        <v>32</v>
      </c>
      <c r="C810" t="s">
        <v>168</v>
      </c>
      <c r="D810" t="s">
        <v>169</v>
      </c>
      <c r="E810" t="s">
        <v>76</v>
      </c>
      <c r="F810" t="s">
        <v>84</v>
      </c>
      <c r="G810">
        <v>2</v>
      </c>
    </row>
    <row r="811" spans="1:7" x14ac:dyDescent="0.35">
      <c r="A811">
        <v>2019</v>
      </c>
      <c r="B811" t="s">
        <v>32</v>
      </c>
      <c r="C811" t="s">
        <v>168</v>
      </c>
      <c r="D811" t="s">
        <v>169</v>
      </c>
      <c r="E811" t="s">
        <v>0</v>
      </c>
      <c r="F811" t="s">
        <v>84</v>
      </c>
      <c r="G811">
        <v>0</v>
      </c>
    </row>
    <row r="812" spans="1:7" x14ac:dyDescent="0.35">
      <c r="A812">
        <v>2019</v>
      </c>
      <c r="B812" t="s">
        <v>32</v>
      </c>
      <c r="C812" t="s">
        <v>168</v>
      </c>
      <c r="D812" t="s">
        <v>169</v>
      </c>
      <c r="E812" t="s">
        <v>118</v>
      </c>
      <c r="F812" t="s">
        <v>84</v>
      </c>
      <c r="G812">
        <v>5</v>
      </c>
    </row>
    <row r="813" spans="1:7" x14ac:dyDescent="0.35">
      <c r="A813">
        <v>2019</v>
      </c>
      <c r="B813" t="s">
        <v>32</v>
      </c>
      <c r="C813" t="s">
        <v>168</v>
      </c>
      <c r="D813" t="s">
        <v>169</v>
      </c>
      <c r="E813" t="s">
        <v>119</v>
      </c>
      <c r="F813" t="s">
        <v>84</v>
      </c>
      <c r="G813">
        <v>0</v>
      </c>
    </row>
    <row r="814" spans="1:7" x14ac:dyDescent="0.35">
      <c r="A814">
        <v>2019</v>
      </c>
      <c r="B814" t="s">
        <v>33</v>
      </c>
      <c r="C814" t="s">
        <v>168</v>
      </c>
      <c r="D814" t="s">
        <v>169</v>
      </c>
      <c r="E814" t="s">
        <v>76</v>
      </c>
      <c r="F814" t="s">
        <v>84</v>
      </c>
      <c r="G814">
        <v>1</v>
      </c>
    </row>
    <row r="815" spans="1:7" x14ac:dyDescent="0.35">
      <c r="A815">
        <v>2019</v>
      </c>
      <c r="B815" t="s">
        <v>33</v>
      </c>
      <c r="C815" t="s">
        <v>168</v>
      </c>
      <c r="D815" t="s">
        <v>169</v>
      </c>
      <c r="E815" t="s">
        <v>0</v>
      </c>
      <c r="F815" t="s">
        <v>84</v>
      </c>
      <c r="G815">
        <v>0</v>
      </c>
    </row>
    <row r="816" spans="1:7" x14ac:dyDescent="0.35">
      <c r="A816">
        <v>2019</v>
      </c>
      <c r="B816" t="s">
        <v>33</v>
      </c>
      <c r="C816" t="s">
        <v>168</v>
      </c>
      <c r="D816" t="s">
        <v>169</v>
      </c>
      <c r="E816" t="s">
        <v>118</v>
      </c>
      <c r="F816" t="s">
        <v>84</v>
      </c>
      <c r="G816">
        <v>2</v>
      </c>
    </row>
    <row r="817" spans="1:7" x14ac:dyDescent="0.35">
      <c r="A817">
        <v>2019</v>
      </c>
      <c r="B817" t="s">
        <v>33</v>
      </c>
      <c r="C817" t="s">
        <v>168</v>
      </c>
      <c r="D817" t="s">
        <v>169</v>
      </c>
      <c r="E817" t="s">
        <v>119</v>
      </c>
      <c r="F817" t="s">
        <v>84</v>
      </c>
      <c r="G817">
        <v>0</v>
      </c>
    </row>
    <row r="818" spans="1:7" x14ac:dyDescent="0.35">
      <c r="A818">
        <v>2019</v>
      </c>
      <c r="B818" t="s">
        <v>34</v>
      </c>
      <c r="C818" t="s">
        <v>168</v>
      </c>
      <c r="D818" t="s">
        <v>169</v>
      </c>
      <c r="E818" t="s">
        <v>76</v>
      </c>
      <c r="F818" t="s">
        <v>84</v>
      </c>
      <c r="G818">
        <v>0</v>
      </c>
    </row>
    <row r="819" spans="1:7" x14ac:dyDescent="0.35">
      <c r="A819">
        <v>2019</v>
      </c>
      <c r="B819" t="s">
        <v>34</v>
      </c>
      <c r="C819" t="s">
        <v>168</v>
      </c>
      <c r="D819" t="s">
        <v>169</v>
      </c>
      <c r="E819" t="s">
        <v>0</v>
      </c>
      <c r="F819" t="s">
        <v>84</v>
      </c>
      <c r="G819">
        <v>0</v>
      </c>
    </row>
    <row r="820" spans="1:7" x14ac:dyDescent="0.35">
      <c r="A820">
        <v>2019</v>
      </c>
      <c r="B820" t="s">
        <v>34</v>
      </c>
      <c r="C820" t="s">
        <v>168</v>
      </c>
      <c r="D820" t="s">
        <v>169</v>
      </c>
      <c r="E820" t="s">
        <v>118</v>
      </c>
      <c r="F820" t="s">
        <v>84</v>
      </c>
      <c r="G820">
        <v>1</v>
      </c>
    </row>
    <row r="821" spans="1:7" x14ac:dyDescent="0.35">
      <c r="A821">
        <v>2019</v>
      </c>
      <c r="B821" t="s">
        <v>34</v>
      </c>
      <c r="C821" t="s">
        <v>168</v>
      </c>
      <c r="D821" t="s">
        <v>169</v>
      </c>
      <c r="E821" t="s">
        <v>119</v>
      </c>
      <c r="F821" t="s">
        <v>84</v>
      </c>
      <c r="G821">
        <v>0</v>
      </c>
    </row>
    <row r="822" spans="1:7" x14ac:dyDescent="0.35">
      <c r="A822">
        <v>2019</v>
      </c>
      <c r="B822" t="s">
        <v>35</v>
      </c>
      <c r="C822" t="s">
        <v>168</v>
      </c>
      <c r="D822" t="s">
        <v>169</v>
      </c>
      <c r="E822" t="s">
        <v>76</v>
      </c>
      <c r="F822" t="s">
        <v>84</v>
      </c>
      <c r="G822">
        <v>0</v>
      </c>
    </row>
    <row r="823" spans="1:7" x14ac:dyDescent="0.35">
      <c r="A823">
        <v>2019</v>
      </c>
      <c r="B823" t="s">
        <v>35</v>
      </c>
      <c r="C823" t="s">
        <v>168</v>
      </c>
      <c r="D823" t="s">
        <v>169</v>
      </c>
      <c r="E823" t="s">
        <v>0</v>
      </c>
      <c r="F823" t="s">
        <v>84</v>
      </c>
      <c r="G823">
        <v>0</v>
      </c>
    </row>
    <row r="824" spans="1:7" x14ac:dyDescent="0.35">
      <c r="A824">
        <v>2019</v>
      </c>
      <c r="B824" t="s">
        <v>35</v>
      </c>
      <c r="C824" t="s">
        <v>168</v>
      </c>
      <c r="D824" t="s">
        <v>169</v>
      </c>
      <c r="E824" t="s">
        <v>118</v>
      </c>
      <c r="F824" t="s">
        <v>84</v>
      </c>
      <c r="G824">
        <v>0</v>
      </c>
    </row>
    <row r="825" spans="1:7" x14ac:dyDescent="0.35">
      <c r="A825">
        <v>2019</v>
      </c>
      <c r="B825" t="s">
        <v>35</v>
      </c>
      <c r="C825" t="s">
        <v>168</v>
      </c>
      <c r="D825" t="s">
        <v>169</v>
      </c>
      <c r="E825" t="s">
        <v>119</v>
      </c>
      <c r="F825" t="s">
        <v>84</v>
      </c>
      <c r="G825">
        <v>0</v>
      </c>
    </row>
    <row r="826" spans="1:7" x14ac:dyDescent="0.35">
      <c r="A826">
        <v>2019</v>
      </c>
      <c r="B826" t="s">
        <v>53</v>
      </c>
      <c r="C826" t="s">
        <v>168</v>
      </c>
      <c r="D826" t="s">
        <v>169</v>
      </c>
      <c r="E826" t="s">
        <v>76</v>
      </c>
      <c r="F826" t="s">
        <v>84</v>
      </c>
      <c r="G826">
        <v>0</v>
      </c>
    </row>
    <row r="827" spans="1:7" x14ac:dyDescent="0.35">
      <c r="A827">
        <v>2019</v>
      </c>
      <c r="B827" t="s">
        <v>53</v>
      </c>
      <c r="C827" t="s">
        <v>168</v>
      </c>
      <c r="D827" t="s">
        <v>169</v>
      </c>
      <c r="E827" t="s">
        <v>0</v>
      </c>
      <c r="F827" t="s">
        <v>84</v>
      </c>
      <c r="G827">
        <v>0</v>
      </c>
    </row>
    <row r="828" spans="1:7" x14ac:dyDescent="0.35">
      <c r="A828">
        <v>2019</v>
      </c>
      <c r="B828" t="s">
        <v>53</v>
      </c>
      <c r="C828" t="s">
        <v>168</v>
      </c>
      <c r="D828" t="s">
        <v>169</v>
      </c>
      <c r="E828" t="s">
        <v>118</v>
      </c>
      <c r="F828" t="s">
        <v>84</v>
      </c>
      <c r="G828">
        <v>1</v>
      </c>
    </row>
    <row r="829" spans="1:7" x14ac:dyDescent="0.35">
      <c r="A829">
        <v>2019</v>
      </c>
      <c r="B829" t="s">
        <v>53</v>
      </c>
      <c r="C829" t="s">
        <v>168</v>
      </c>
      <c r="D829" t="s">
        <v>169</v>
      </c>
      <c r="E829" t="s">
        <v>119</v>
      </c>
      <c r="F829" t="s">
        <v>84</v>
      </c>
      <c r="G829">
        <v>0</v>
      </c>
    </row>
    <row r="830" spans="1:7" x14ac:dyDescent="0.35">
      <c r="A830">
        <v>2019</v>
      </c>
      <c r="B830" t="s">
        <v>36</v>
      </c>
      <c r="C830" t="s">
        <v>168</v>
      </c>
      <c r="D830" t="s">
        <v>169</v>
      </c>
      <c r="E830" t="s">
        <v>76</v>
      </c>
      <c r="F830" t="s">
        <v>84</v>
      </c>
      <c r="G830">
        <v>2</v>
      </c>
    </row>
    <row r="831" spans="1:7" x14ac:dyDescent="0.35">
      <c r="A831">
        <v>2019</v>
      </c>
      <c r="B831" t="s">
        <v>36</v>
      </c>
      <c r="C831" t="s">
        <v>168</v>
      </c>
      <c r="D831" t="s">
        <v>169</v>
      </c>
      <c r="E831" t="s">
        <v>0</v>
      </c>
      <c r="F831" t="s">
        <v>84</v>
      </c>
      <c r="G831">
        <v>0</v>
      </c>
    </row>
    <row r="832" spans="1:7" x14ac:dyDescent="0.35">
      <c r="A832">
        <v>2019</v>
      </c>
      <c r="B832" t="s">
        <v>36</v>
      </c>
      <c r="C832" t="s">
        <v>168</v>
      </c>
      <c r="D832" t="s">
        <v>169</v>
      </c>
      <c r="E832" t="s">
        <v>118</v>
      </c>
      <c r="F832" t="s">
        <v>84</v>
      </c>
      <c r="G832">
        <v>9</v>
      </c>
    </row>
    <row r="833" spans="1:7" x14ac:dyDescent="0.35">
      <c r="A833">
        <v>2019</v>
      </c>
      <c r="B833" t="s">
        <v>36</v>
      </c>
      <c r="C833" t="s">
        <v>168</v>
      </c>
      <c r="D833" t="s">
        <v>169</v>
      </c>
      <c r="E833" t="s">
        <v>119</v>
      </c>
      <c r="F833" t="s">
        <v>84</v>
      </c>
      <c r="G833">
        <v>0</v>
      </c>
    </row>
    <row r="834" spans="1:7" x14ac:dyDescent="0.35">
      <c r="A834">
        <v>2019</v>
      </c>
      <c r="B834" t="s">
        <v>37</v>
      </c>
      <c r="C834" t="s">
        <v>168</v>
      </c>
      <c r="D834" t="s">
        <v>169</v>
      </c>
      <c r="E834" t="s">
        <v>76</v>
      </c>
      <c r="F834" t="s">
        <v>84</v>
      </c>
      <c r="G834">
        <v>0</v>
      </c>
    </row>
    <row r="835" spans="1:7" x14ac:dyDescent="0.35">
      <c r="A835">
        <v>2019</v>
      </c>
      <c r="B835" t="s">
        <v>37</v>
      </c>
      <c r="C835" t="s">
        <v>168</v>
      </c>
      <c r="D835" t="s">
        <v>169</v>
      </c>
      <c r="E835" t="s">
        <v>0</v>
      </c>
      <c r="F835" t="s">
        <v>84</v>
      </c>
      <c r="G835">
        <v>0</v>
      </c>
    </row>
    <row r="836" spans="1:7" x14ac:dyDescent="0.35">
      <c r="A836">
        <v>2019</v>
      </c>
      <c r="B836" t="s">
        <v>37</v>
      </c>
      <c r="C836" t="s">
        <v>168</v>
      </c>
      <c r="D836" t="s">
        <v>169</v>
      </c>
      <c r="E836" t="s">
        <v>118</v>
      </c>
      <c r="F836" t="s">
        <v>84</v>
      </c>
      <c r="G836">
        <v>1</v>
      </c>
    </row>
    <row r="837" spans="1:7" x14ac:dyDescent="0.35">
      <c r="A837">
        <v>2019</v>
      </c>
      <c r="B837" t="s">
        <v>37</v>
      </c>
      <c r="C837" t="s">
        <v>168</v>
      </c>
      <c r="D837" t="s">
        <v>169</v>
      </c>
      <c r="E837" t="s">
        <v>119</v>
      </c>
      <c r="F837" t="s">
        <v>84</v>
      </c>
      <c r="G837">
        <v>0</v>
      </c>
    </row>
    <row r="838" spans="1:7" x14ac:dyDescent="0.35">
      <c r="A838">
        <v>2019</v>
      </c>
      <c r="B838" t="s">
        <v>38</v>
      </c>
      <c r="C838" t="s">
        <v>168</v>
      </c>
      <c r="D838" t="s">
        <v>169</v>
      </c>
      <c r="E838" t="s">
        <v>76</v>
      </c>
      <c r="F838" t="s">
        <v>84</v>
      </c>
      <c r="G838">
        <v>0</v>
      </c>
    </row>
    <row r="839" spans="1:7" x14ac:dyDescent="0.35">
      <c r="A839">
        <v>2019</v>
      </c>
      <c r="B839" t="s">
        <v>38</v>
      </c>
      <c r="C839" t="s">
        <v>168</v>
      </c>
      <c r="D839" t="s">
        <v>169</v>
      </c>
      <c r="E839" t="s">
        <v>0</v>
      </c>
      <c r="F839" t="s">
        <v>84</v>
      </c>
      <c r="G839">
        <v>0</v>
      </c>
    </row>
    <row r="840" spans="1:7" x14ac:dyDescent="0.35">
      <c r="A840">
        <v>2019</v>
      </c>
      <c r="B840" t="s">
        <v>38</v>
      </c>
      <c r="C840" t="s">
        <v>168</v>
      </c>
      <c r="D840" t="s">
        <v>169</v>
      </c>
      <c r="E840" t="s">
        <v>118</v>
      </c>
      <c r="F840" t="s">
        <v>84</v>
      </c>
      <c r="G840">
        <v>1</v>
      </c>
    </row>
    <row r="841" spans="1:7" x14ac:dyDescent="0.35">
      <c r="A841">
        <v>2019</v>
      </c>
      <c r="B841" t="s">
        <v>38</v>
      </c>
      <c r="C841" t="s">
        <v>168</v>
      </c>
      <c r="D841" t="s">
        <v>169</v>
      </c>
      <c r="E841" t="s">
        <v>119</v>
      </c>
      <c r="F841" t="s">
        <v>84</v>
      </c>
      <c r="G841">
        <v>0</v>
      </c>
    </row>
    <row r="842" spans="1:7" x14ac:dyDescent="0.35">
      <c r="A842">
        <v>2019</v>
      </c>
      <c r="B842" t="s">
        <v>39</v>
      </c>
      <c r="C842" t="s">
        <v>168</v>
      </c>
      <c r="D842" t="s">
        <v>169</v>
      </c>
      <c r="E842" t="s">
        <v>76</v>
      </c>
      <c r="F842" t="s">
        <v>84</v>
      </c>
      <c r="G842">
        <v>1</v>
      </c>
    </row>
    <row r="843" spans="1:7" x14ac:dyDescent="0.35">
      <c r="A843">
        <v>2019</v>
      </c>
      <c r="B843" t="s">
        <v>39</v>
      </c>
      <c r="C843" t="s">
        <v>168</v>
      </c>
      <c r="D843" t="s">
        <v>169</v>
      </c>
      <c r="E843" t="s">
        <v>0</v>
      </c>
      <c r="F843" t="s">
        <v>84</v>
      </c>
      <c r="G843">
        <v>0</v>
      </c>
    </row>
    <row r="844" spans="1:7" x14ac:dyDescent="0.35">
      <c r="A844">
        <v>2019</v>
      </c>
      <c r="B844" t="s">
        <v>39</v>
      </c>
      <c r="C844" t="s">
        <v>168</v>
      </c>
      <c r="D844" t="s">
        <v>169</v>
      </c>
      <c r="E844" t="s">
        <v>118</v>
      </c>
      <c r="F844" t="s">
        <v>84</v>
      </c>
      <c r="G844">
        <v>2</v>
      </c>
    </row>
    <row r="845" spans="1:7" x14ac:dyDescent="0.35">
      <c r="A845">
        <v>2019</v>
      </c>
      <c r="B845" t="s">
        <v>39</v>
      </c>
      <c r="C845" t="s">
        <v>168</v>
      </c>
      <c r="D845" t="s">
        <v>169</v>
      </c>
      <c r="E845" t="s">
        <v>119</v>
      </c>
      <c r="F845" t="s">
        <v>84</v>
      </c>
      <c r="G845">
        <v>0</v>
      </c>
    </row>
    <row r="846" spans="1:7" x14ac:dyDescent="0.35">
      <c r="A846">
        <v>2019</v>
      </c>
      <c r="B846" t="s">
        <v>56</v>
      </c>
      <c r="C846" t="s">
        <v>168</v>
      </c>
      <c r="D846" t="s">
        <v>169</v>
      </c>
      <c r="E846" t="s">
        <v>76</v>
      </c>
      <c r="F846" t="s">
        <v>84</v>
      </c>
      <c r="G846">
        <v>0</v>
      </c>
    </row>
    <row r="847" spans="1:7" x14ac:dyDescent="0.35">
      <c r="A847">
        <v>2019</v>
      </c>
      <c r="B847" t="s">
        <v>56</v>
      </c>
      <c r="C847" t="s">
        <v>168</v>
      </c>
      <c r="D847" t="s">
        <v>169</v>
      </c>
      <c r="E847" t="s">
        <v>0</v>
      </c>
      <c r="F847" t="s">
        <v>84</v>
      </c>
      <c r="G847">
        <v>0</v>
      </c>
    </row>
    <row r="848" spans="1:7" x14ac:dyDescent="0.35">
      <c r="A848">
        <v>2019</v>
      </c>
      <c r="B848" t="s">
        <v>56</v>
      </c>
      <c r="C848" t="s">
        <v>168</v>
      </c>
      <c r="D848" t="s">
        <v>169</v>
      </c>
      <c r="E848" t="s">
        <v>118</v>
      </c>
      <c r="F848" t="s">
        <v>84</v>
      </c>
      <c r="G848">
        <v>2</v>
      </c>
    </row>
    <row r="849" spans="1:7" x14ac:dyDescent="0.35">
      <c r="A849">
        <v>2019</v>
      </c>
      <c r="B849" t="s">
        <v>56</v>
      </c>
      <c r="C849" t="s">
        <v>168</v>
      </c>
      <c r="D849" t="s">
        <v>169</v>
      </c>
      <c r="E849" t="s">
        <v>119</v>
      </c>
      <c r="F849" t="s">
        <v>84</v>
      </c>
      <c r="G849">
        <v>2</v>
      </c>
    </row>
    <row r="850" spans="1:7" x14ac:dyDescent="0.35">
      <c r="A850">
        <v>2019</v>
      </c>
      <c r="B850" t="s">
        <v>40</v>
      </c>
      <c r="C850" t="s">
        <v>168</v>
      </c>
      <c r="D850" t="s">
        <v>169</v>
      </c>
      <c r="E850" t="s">
        <v>76</v>
      </c>
      <c r="F850" t="s">
        <v>84</v>
      </c>
      <c r="G850">
        <v>0</v>
      </c>
    </row>
    <row r="851" spans="1:7" x14ac:dyDescent="0.35">
      <c r="A851">
        <v>2019</v>
      </c>
      <c r="B851" t="s">
        <v>40</v>
      </c>
      <c r="C851" t="s">
        <v>168</v>
      </c>
      <c r="D851" t="s">
        <v>169</v>
      </c>
      <c r="E851" t="s">
        <v>0</v>
      </c>
      <c r="F851" t="s">
        <v>84</v>
      </c>
      <c r="G851">
        <v>0</v>
      </c>
    </row>
    <row r="852" spans="1:7" x14ac:dyDescent="0.35">
      <c r="A852">
        <v>2019</v>
      </c>
      <c r="B852" t="s">
        <v>40</v>
      </c>
      <c r="C852" t="s">
        <v>168</v>
      </c>
      <c r="D852" t="s">
        <v>169</v>
      </c>
      <c r="E852" t="s">
        <v>118</v>
      </c>
      <c r="F852" t="s">
        <v>84</v>
      </c>
      <c r="G852">
        <v>2</v>
      </c>
    </row>
    <row r="853" spans="1:7" x14ac:dyDescent="0.35">
      <c r="A853">
        <v>2019</v>
      </c>
      <c r="B853" t="s">
        <v>40</v>
      </c>
      <c r="C853" t="s">
        <v>168</v>
      </c>
      <c r="D853" t="s">
        <v>169</v>
      </c>
      <c r="E853" t="s">
        <v>119</v>
      </c>
      <c r="F853" t="s">
        <v>84</v>
      </c>
      <c r="G853">
        <v>0</v>
      </c>
    </row>
    <row r="854" spans="1:7" x14ac:dyDescent="0.35">
      <c r="A854">
        <v>2019</v>
      </c>
      <c r="B854" t="s">
        <v>42</v>
      </c>
      <c r="C854" t="s">
        <v>168</v>
      </c>
      <c r="D854" t="s">
        <v>169</v>
      </c>
      <c r="E854" t="s">
        <v>76</v>
      </c>
      <c r="F854" t="s">
        <v>84</v>
      </c>
      <c r="G854">
        <v>0</v>
      </c>
    </row>
    <row r="855" spans="1:7" x14ac:dyDescent="0.35">
      <c r="A855">
        <v>2019</v>
      </c>
      <c r="B855" t="s">
        <v>42</v>
      </c>
      <c r="C855" t="s">
        <v>168</v>
      </c>
      <c r="D855" t="s">
        <v>169</v>
      </c>
      <c r="E855" t="s">
        <v>0</v>
      </c>
      <c r="F855" t="s">
        <v>84</v>
      </c>
      <c r="G855">
        <v>0</v>
      </c>
    </row>
    <row r="856" spans="1:7" x14ac:dyDescent="0.35">
      <c r="A856">
        <v>2019</v>
      </c>
      <c r="B856" t="s">
        <v>42</v>
      </c>
      <c r="C856" t="s">
        <v>168</v>
      </c>
      <c r="D856" t="s">
        <v>169</v>
      </c>
      <c r="E856" t="s">
        <v>118</v>
      </c>
      <c r="F856" t="s">
        <v>84</v>
      </c>
      <c r="G856">
        <v>0</v>
      </c>
    </row>
    <row r="857" spans="1:7" x14ac:dyDescent="0.35">
      <c r="A857">
        <v>2019</v>
      </c>
      <c r="B857" t="s">
        <v>42</v>
      </c>
      <c r="C857" t="s">
        <v>168</v>
      </c>
      <c r="D857" t="s">
        <v>169</v>
      </c>
      <c r="E857" t="s">
        <v>119</v>
      </c>
      <c r="F857" t="s">
        <v>84</v>
      </c>
      <c r="G857">
        <v>0</v>
      </c>
    </row>
    <row r="858" spans="1:7" x14ac:dyDescent="0.35">
      <c r="A858">
        <v>2019</v>
      </c>
      <c r="B858" t="s">
        <v>43</v>
      </c>
      <c r="C858" t="s">
        <v>168</v>
      </c>
      <c r="D858" t="s">
        <v>169</v>
      </c>
      <c r="E858" t="s">
        <v>76</v>
      </c>
      <c r="F858" t="s">
        <v>84</v>
      </c>
      <c r="G858">
        <v>1</v>
      </c>
    </row>
    <row r="859" spans="1:7" x14ac:dyDescent="0.35">
      <c r="A859">
        <v>2019</v>
      </c>
      <c r="B859" t="s">
        <v>43</v>
      </c>
      <c r="C859" t="s">
        <v>168</v>
      </c>
      <c r="D859" t="s">
        <v>169</v>
      </c>
      <c r="E859" t="s">
        <v>0</v>
      </c>
      <c r="F859" t="s">
        <v>84</v>
      </c>
      <c r="G859">
        <v>0</v>
      </c>
    </row>
    <row r="860" spans="1:7" x14ac:dyDescent="0.35">
      <c r="A860">
        <v>2019</v>
      </c>
      <c r="B860" t="s">
        <v>43</v>
      </c>
      <c r="C860" t="s">
        <v>168</v>
      </c>
      <c r="D860" t="s">
        <v>169</v>
      </c>
      <c r="E860" t="s">
        <v>118</v>
      </c>
      <c r="F860" t="s">
        <v>84</v>
      </c>
      <c r="G860">
        <v>1</v>
      </c>
    </row>
    <row r="861" spans="1:7" x14ac:dyDescent="0.35">
      <c r="A861">
        <v>2019</v>
      </c>
      <c r="B861" t="s">
        <v>43</v>
      </c>
      <c r="C861" t="s">
        <v>168</v>
      </c>
      <c r="D861" t="s">
        <v>169</v>
      </c>
      <c r="E861" t="s">
        <v>119</v>
      </c>
      <c r="F861" t="s">
        <v>84</v>
      </c>
      <c r="G861">
        <v>0</v>
      </c>
    </row>
    <row r="862" spans="1:7" x14ac:dyDescent="0.35">
      <c r="A862">
        <v>2019</v>
      </c>
      <c r="B862" t="s">
        <v>44</v>
      </c>
      <c r="C862" t="s">
        <v>168</v>
      </c>
      <c r="D862" t="s">
        <v>169</v>
      </c>
      <c r="E862" t="s">
        <v>76</v>
      </c>
      <c r="F862" t="s">
        <v>84</v>
      </c>
      <c r="G862">
        <v>0</v>
      </c>
    </row>
    <row r="863" spans="1:7" x14ac:dyDescent="0.35">
      <c r="A863">
        <v>2019</v>
      </c>
      <c r="B863" t="s">
        <v>44</v>
      </c>
      <c r="C863" t="s">
        <v>168</v>
      </c>
      <c r="D863" t="s">
        <v>169</v>
      </c>
      <c r="E863" t="s">
        <v>0</v>
      </c>
      <c r="F863" t="s">
        <v>84</v>
      </c>
      <c r="G863">
        <v>0</v>
      </c>
    </row>
    <row r="864" spans="1:7" x14ac:dyDescent="0.35">
      <c r="A864">
        <v>2019</v>
      </c>
      <c r="B864" t="s">
        <v>44</v>
      </c>
      <c r="C864" t="s">
        <v>168</v>
      </c>
      <c r="D864" t="s">
        <v>169</v>
      </c>
      <c r="E864" t="s">
        <v>118</v>
      </c>
      <c r="F864" t="s">
        <v>84</v>
      </c>
      <c r="G864">
        <v>0</v>
      </c>
    </row>
    <row r="865" spans="1:7" x14ac:dyDescent="0.35">
      <c r="A865">
        <v>2019</v>
      </c>
      <c r="B865" t="s">
        <v>44</v>
      </c>
      <c r="C865" t="s">
        <v>168</v>
      </c>
      <c r="D865" t="s">
        <v>169</v>
      </c>
      <c r="E865" t="s">
        <v>119</v>
      </c>
      <c r="F865" t="s">
        <v>84</v>
      </c>
      <c r="G865">
        <v>0</v>
      </c>
    </row>
    <row r="866" spans="1:7" x14ac:dyDescent="0.35">
      <c r="A866">
        <v>2019</v>
      </c>
      <c r="B866" t="s">
        <v>45</v>
      </c>
      <c r="C866" t="s">
        <v>168</v>
      </c>
      <c r="D866" t="s">
        <v>169</v>
      </c>
      <c r="E866" t="s">
        <v>76</v>
      </c>
      <c r="F866" t="s">
        <v>84</v>
      </c>
      <c r="G866">
        <v>0</v>
      </c>
    </row>
    <row r="867" spans="1:7" x14ac:dyDescent="0.35">
      <c r="A867">
        <v>2019</v>
      </c>
      <c r="B867" t="s">
        <v>45</v>
      </c>
      <c r="C867" t="s">
        <v>168</v>
      </c>
      <c r="D867" t="s">
        <v>169</v>
      </c>
      <c r="E867" t="s">
        <v>0</v>
      </c>
      <c r="F867" t="s">
        <v>84</v>
      </c>
      <c r="G867">
        <v>0</v>
      </c>
    </row>
    <row r="868" spans="1:7" x14ac:dyDescent="0.35">
      <c r="A868">
        <v>2019</v>
      </c>
      <c r="B868" t="s">
        <v>45</v>
      </c>
      <c r="C868" t="s">
        <v>168</v>
      </c>
      <c r="D868" t="s">
        <v>169</v>
      </c>
      <c r="E868" t="s">
        <v>118</v>
      </c>
      <c r="F868" t="s">
        <v>84</v>
      </c>
      <c r="G868">
        <v>1</v>
      </c>
    </row>
    <row r="869" spans="1:7" x14ac:dyDescent="0.35">
      <c r="A869">
        <v>2019</v>
      </c>
      <c r="B869" t="s">
        <v>45</v>
      </c>
      <c r="C869" t="s">
        <v>168</v>
      </c>
      <c r="D869" t="s">
        <v>169</v>
      </c>
      <c r="E869" t="s">
        <v>119</v>
      </c>
      <c r="F869" t="s">
        <v>84</v>
      </c>
      <c r="G869">
        <v>0</v>
      </c>
    </row>
    <row r="870" spans="1:7" x14ac:dyDescent="0.35">
      <c r="A870">
        <v>2019</v>
      </c>
      <c r="B870" t="s">
        <v>46</v>
      </c>
      <c r="C870" t="s">
        <v>168</v>
      </c>
      <c r="D870" t="s">
        <v>169</v>
      </c>
      <c r="E870" t="s">
        <v>76</v>
      </c>
      <c r="F870" t="s">
        <v>84</v>
      </c>
      <c r="G870">
        <v>1</v>
      </c>
    </row>
    <row r="871" spans="1:7" x14ac:dyDescent="0.35">
      <c r="A871">
        <v>2019</v>
      </c>
      <c r="B871" t="s">
        <v>46</v>
      </c>
      <c r="C871" t="s">
        <v>168</v>
      </c>
      <c r="D871" t="s">
        <v>169</v>
      </c>
      <c r="E871" t="s">
        <v>0</v>
      </c>
      <c r="F871" t="s">
        <v>84</v>
      </c>
      <c r="G871">
        <v>0</v>
      </c>
    </row>
    <row r="872" spans="1:7" x14ac:dyDescent="0.35">
      <c r="A872">
        <v>2019</v>
      </c>
      <c r="B872" t="s">
        <v>46</v>
      </c>
      <c r="C872" t="s">
        <v>168</v>
      </c>
      <c r="D872" t="s">
        <v>169</v>
      </c>
      <c r="E872" t="s">
        <v>118</v>
      </c>
      <c r="F872" t="s">
        <v>84</v>
      </c>
      <c r="G872">
        <v>2</v>
      </c>
    </row>
    <row r="873" spans="1:7" x14ac:dyDescent="0.35">
      <c r="A873">
        <v>2019</v>
      </c>
      <c r="B873" t="s">
        <v>46</v>
      </c>
      <c r="C873" t="s">
        <v>168</v>
      </c>
      <c r="D873" t="s">
        <v>169</v>
      </c>
      <c r="E873" t="s">
        <v>119</v>
      </c>
      <c r="F873" t="s">
        <v>84</v>
      </c>
      <c r="G873">
        <v>0</v>
      </c>
    </row>
    <row r="874" spans="1:7" x14ac:dyDescent="0.35">
      <c r="A874">
        <v>2019</v>
      </c>
      <c r="B874" t="s">
        <v>47</v>
      </c>
      <c r="C874" t="s">
        <v>168</v>
      </c>
      <c r="D874" t="s">
        <v>169</v>
      </c>
      <c r="E874" t="s">
        <v>76</v>
      </c>
      <c r="F874" t="s">
        <v>84</v>
      </c>
      <c r="G874">
        <v>0</v>
      </c>
    </row>
    <row r="875" spans="1:7" x14ac:dyDescent="0.35">
      <c r="A875">
        <v>2019</v>
      </c>
      <c r="B875" t="s">
        <v>47</v>
      </c>
      <c r="C875" t="s">
        <v>168</v>
      </c>
      <c r="D875" t="s">
        <v>169</v>
      </c>
      <c r="E875" t="s">
        <v>0</v>
      </c>
      <c r="F875" t="s">
        <v>84</v>
      </c>
      <c r="G875">
        <v>0</v>
      </c>
    </row>
    <row r="876" spans="1:7" x14ac:dyDescent="0.35">
      <c r="A876">
        <v>2019</v>
      </c>
      <c r="B876" t="s">
        <v>47</v>
      </c>
      <c r="C876" t="s">
        <v>168</v>
      </c>
      <c r="D876" t="s">
        <v>169</v>
      </c>
      <c r="E876" t="s">
        <v>118</v>
      </c>
      <c r="F876" t="s">
        <v>84</v>
      </c>
      <c r="G876">
        <v>1</v>
      </c>
    </row>
    <row r="877" spans="1:7" x14ac:dyDescent="0.35">
      <c r="A877">
        <v>2019</v>
      </c>
      <c r="B877" t="s">
        <v>47</v>
      </c>
      <c r="C877" t="s">
        <v>168</v>
      </c>
      <c r="D877" t="s">
        <v>169</v>
      </c>
      <c r="E877" t="s">
        <v>119</v>
      </c>
      <c r="F877" t="s">
        <v>84</v>
      </c>
      <c r="G877">
        <v>0</v>
      </c>
    </row>
    <row r="878" spans="1:7" x14ac:dyDescent="0.35">
      <c r="A878">
        <v>2019</v>
      </c>
      <c r="B878" t="s">
        <v>57</v>
      </c>
      <c r="C878" t="s">
        <v>168</v>
      </c>
      <c r="D878" t="s">
        <v>169</v>
      </c>
      <c r="E878" t="s">
        <v>76</v>
      </c>
      <c r="F878" t="s">
        <v>84</v>
      </c>
      <c r="G878">
        <v>0</v>
      </c>
    </row>
    <row r="879" spans="1:7" x14ac:dyDescent="0.35">
      <c r="A879">
        <v>2019</v>
      </c>
      <c r="B879" t="s">
        <v>57</v>
      </c>
      <c r="C879" t="s">
        <v>168</v>
      </c>
      <c r="D879" t="s">
        <v>169</v>
      </c>
      <c r="E879" t="s">
        <v>0</v>
      </c>
      <c r="F879" t="s">
        <v>84</v>
      </c>
      <c r="G879">
        <v>0</v>
      </c>
    </row>
    <row r="880" spans="1:7" x14ac:dyDescent="0.35">
      <c r="A880">
        <v>2019</v>
      </c>
      <c r="B880" t="s">
        <v>57</v>
      </c>
      <c r="C880" t="s">
        <v>168</v>
      </c>
      <c r="D880" t="s">
        <v>169</v>
      </c>
      <c r="E880" t="s">
        <v>118</v>
      </c>
      <c r="F880" t="s">
        <v>84</v>
      </c>
      <c r="G880">
        <v>2</v>
      </c>
    </row>
    <row r="881" spans="1:7" x14ac:dyDescent="0.35">
      <c r="A881">
        <v>2019</v>
      </c>
      <c r="B881" t="s">
        <v>57</v>
      </c>
      <c r="C881" t="s">
        <v>168</v>
      </c>
      <c r="D881" t="s">
        <v>169</v>
      </c>
      <c r="E881" t="s">
        <v>119</v>
      </c>
      <c r="F881" t="s">
        <v>84</v>
      </c>
      <c r="G881">
        <v>0</v>
      </c>
    </row>
    <row r="882" spans="1:7" x14ac:dyDescent="0.35">
      <c r="A882">
        <v>2019</v>
      </c>
      <c r="B882" t="s">
        <v>48</v>
      </c>
      <c r="C882" t="s">
        <v>168</v>
      </c>
      <c r="D882" t="s">
        <v>169</v>
      </c>
      <c r="E882" t="s">
        <v>76</v>
      </c>
      <c r="F882" t="s">
        <v>84</v>
      </c>
      <c r="G882">
        <v>1</v>
      </c>
    </row>
    <row r="883" spans="1:7" x14ac:dyDescent="0.35">
      <c r="A883">
        <v>2019</v>
      </c>
      <c r="B883" t="s">
        <v>48</v>
      </c>
      <c r="C883" t="s">
        <v>168</v>
      </c>
      <c r="D883" t="s">
        <v>169</v>
      </c>
      <c r="E883" t="s">
        <v>0</v>
      </c>
      <c r="F883" t="s">
        <v>84</v>
      </c>
      <c r="G883">
        <v>0</v>
      </c>
    </row>
    <row r="884" spans="1:7" x14ac:dyDescent="0.35">
      <c r="A884">
        <v>2019</v>
      </c>
      <c r="B884" t="s">
        <v>48</v>
      </c>
      <c r="C884" t="s">
        <v>168</v>
      </c>
      <c r="D884" t="s">
        <v>169</v>
      </c>
      <c r="E884" t="s">
        <v>118</v>
      </c>
      <c r="F884" t="s">
        <v>84</v>
      </c>
      <c r="G884">
        <v>5</v>
      </c>
    </row>
    <row r="885" spans="1:7" x14ac:dyDescent="0.35">
      <c r="A885">
        <v>2019</v>
      </c>
      <c r="B885" t="s">
        <v>48</v>
      </c>
      <c r="C885" t="s">
        <v>168</v>
      </c>
      <c r="D885" t="s">
        <v>169</v>
      </c>
      <c r="E885" t="s">
        <v>119</v>
      </c>
      <c r="F885" t="s">
        <v>84</v>
      </c>
      <c r="G885">
        <v>0</v>
      </c>
    </row>
    <row r="886" spans="1:7" x14ac:dyDescent="0.35">
      <c r="A886">
        <v>2019</v>
      </c>
      <c r="B886" t="s">
        <v>49</v>
      </c>
      <c r="C886" t="s">
        <v>168</v>
      </c>
      <c r="D886" t="s">
        <v>169</v>
      </c>
      <c r="E886" t="s">
        <v>76</v>
      </c>
      <c r="F886" t="s">
        <v>84</v>
      </c>
      <c r="G886">
        <v>1</v>
      </c>
    </row>
    <row r="887" spans="1:7" x14ac:dyDescent="0.35">
      <c r="A887">
        <v>2019</v>
      </c>
      <c r="B887" t="s">
        <v>49</v>
      </c>
      <c r="C887" t="s">
        <v>168</v>
      </c>
      <c r="D887" t="s">
        <v>169</v>
      </c>
      <c r="E887" t="s">
        <v>0</v>
      </c>
      <c r="F887" t="s">
        <v>84</v>
      </c>
      <c r="G887">
        <v>0</v>
      </c>
    </row>
    <row r="888" spans="1:7" x14ac:dyDescent="0.35">
      <c r="A888">
        <v>2019</v>
      </c>
      <c r="B888" t="s">
        <v>49</v>
      </c>
      <c r="C888" t="s">
        <v>168</v>
      </c>
      <c r="D888" t="s">
        <v>169</v>
      </c>
      <c r="E888" t="s">
        <v>118</v>
      </c>
      <c r="F888" t="s">
        <v>84</v>
      </c>
      <c r="G888">
        <v>2</v>
      </c>
    </row>
    <row r="889" spans="1:7" x14ac:dyDescent="0.35">
      <c r="A889">
        <v>2019</v>
      </c>
      <c r="B889" t="s">
        <v>49</v>
      </c>
      <c r="C889" t="s">
        <v>168</v>
      </c>
      <c r="D889" t="s">
        <v>169</v>
      </c>
      <c r="E889" t="s">
        <v>119</v>
      </c>
      <c r="F889" t="s">
        <v>84</v>
      </c>
      <c r="G889">
        <v>0</v>
      </c>
    </row>
    <row r="890" spans="1:7" x14ac:dyDescent="0.35">
      <c r="A890">
        <v>2019</v>
      </c>
      <c r="B890" t="s">
        <v>50</v>
      </c>
      <c r="C890" t="s">
        <v>168</v>
      </c>
      <c r="D890" t="s">
        <v>169</v>
      </c>
      <c r="E890" t="s">
        <v>76</v>
      </c>
      <c r="F890" t="s">
        <v>84</v>
      </c>
      <c r="G890">
        <v>0</v>
      </c>
    </row>
    <row r="891" spans="1:7" x14ac:dyDescent="0.35">
      <c r="A891">
        <v>2019</v>
      </c>
      <c r="B891" t="s">
        <v>50</v>
      </c>
      <c r="C891" t="s">
        <v>168</v>
      </c>
      <c r="D891" t="s">
        <v>169</v>
      </c>
      <c r="E891" t="s">
        <v>0</v>
      </c>
      <c r="F891" t="s">
        <v>84</v>
      </c>
      <c r="G891">
        <v>0</v>
      </c>
    </row>
    <row r="892" spans="1:7" x14ac:dyDescent="0.35">
      <c r="A892">
        <v>2019</v>
      </c>
      <c r="B892" t="s">
        <v>50</v>
      </c>
      <c r="C892" t="s">
        <v>168</v>
      </c>
      <c r="D892" t="s">
        <v>169</v>
      </c>
      <c r="E892" t="s">
        <v>118</v>
      </c>
      <c r="F892" t="s">
        <v>84</v>
      </c>
      <c r="G892">
        <v>0</v>
      </c>
    </row>
    <row r="893" spans="1:7" x14ac:dyDescent="0.35">
      <c r="A893">
        <v>2019</v>
      </c>
      <c r="B893" t="s">
        <v>50</v>
      </c>
      <c r="C893" t="s">
        <v>168</v>
      </c>
      <c r="D893" t="s">
        <v>169</v>
      </c>
      <c r="E893" t="s">
        <v>119</v>
      </c>
      <c r="F893" t="s">
        <v>84</v>
      </c>
      <c r="G893">
        <v>0</v>
      </c>
    </row>
    <row r="894" spans="1:7" x14ac:dyDescent="0.35">
      <c r="A894">
        <v>2019</v>
      </c>
      <c r="B894" t="s">
        <v>58</v>
      </c>
      <c r="C894" t="s">
        <v>168</v>
      </c>
      <c r="D894" t="s">
        <v>169</v>
      </c>
      <c r="E894" t="s">
        <v>76</v>
      </c>
      <c r="F894" t="s">
        <v>84</v>
      </c>
      <c r="G894">
        <v>0</v>
      </c>
    </row>
    <row r="895" spans="1:7" x14ac:dyDescent="0.35">
      <c r="A895">
        <v>2019</v>
      </c>
      <c r="B895" t="s">
        <v>58</v>
      </c>
      <c r="C895" t="s">
        <v>168</v>
      </c>
      <c r="D895" t="s">
        <v>169</v>
      </c>
      <c r="E895" t="s">
        <v>0</v>
      </c>
      <c r="F895" t="s">
        <v>84</v>
      </c>
      <c r="G895">
        <v>0</v>
      </c>
    </row>
    <row r="896" spans="1:7" x14ac:dyDescent="0.35">
      <c r="A896">
        <v>2019</v>
      </c>
      <c r="B896" t="s">
        <v>58</v>
      </c>
      <c r="C896" t="s">
        <v>168</v>
      </c>
      <c r="D896" t="s">
        <v>169</v>
      </c>
      <c r="E896" t="s">
        <v>118</v>
      </c>
      <c r="F896" t="s">
        <v>84</v>
      </c>
      <c r="G896">
        <v>6</v>
      </c>
    </row>
    <row r="897" spans="1:7" x14ac:dyDescent="0.35">
      <c r="A897">
        <v>2019</v>
      </c>
      <c r="B897" t="s">
        <v>58</v>
      </c>
      <c r="C897" t="s">
        <v>168</v>
      </c>
      <c r="D897" t="s">
        <v>169</v>
      </c>
      <c r="E897" t="s">
        <v>119</v>
      </c>
      <c r="F897" t="s">
        <v>84</v>
      </c>
      <c r="G897">
        <v>0</v>
      </c>
    </row>
    <row r="898" spans="1:7" x14ac:dyDescent="0.35">
      <c r="A898">
        <v>2019</v>
      </c>
      <c r="B898" t="s">
        <v>51</v>
      </c>
      <c r="C898" t="s">
        <v>168</v>
      </c>
      <c r="D898" t="s">
        <v>169</v>
      </c>
      <c r="E898" t="s">
        <v>76</v>
      </c>
      <c r="F898" t="s">
        <v>84</v>
      </c>
      <c r="G898">
        <v>0</v>
      </c>
    </row>
    <row r="899" spans="1:7" x14ac:dyDescent="0.35">
      <c r="A899">
        <v>2019</v>
      </c>
      <c r="B899" t="s">
        <v>51</v>
      </c>
      <c r="C899" t="s">
        <v>168</v>
      </c>
      <c r="D899" t="s">
        <v>169</v>
      </c>
      <c r="E899" t="s">
        <v>0</v>
      </c>
      <c r="F899" t="s">
        <v>84</v>
      </c>
      <c r="G899">
        <v>1</v>
      </c>
    </row>
    <row r="900" spans="1:7" x14ac:dyDescent="0.35">
      <c r="A900">
        <v>2019</v>
      </c>
      <c r="B900" t="s">
        <v>51</v>
      </c>
      <c r="C900" t="s">
        <v>168</v>
      </c>
      <c r="D900" t="s">
        <v>169</v>
      </c>
      <c r="E900" t="s">
        <v>118</v>
      </c>
      <c r="F900" t="s">
        <v>84</v>
      </c>
      <c r="G900">
        <v>2</v>
      </c>
    </row>
    <row r="901" spans="1:7" x14ac:dyDescent="0.35">
      <c r="A901">
        <v>2019</v>
      </c>
      <c r="B901" t="s">
        <v>51</v>
      </c>
      <c r="C901" t="s">
        <v>168</v>
      </c>
      <c r="D901" t="s">
        <v>169</v>
      </c>
      <c r="E901" t="s">
        <v>119</v>
      </c>
      <c r="F901" t="s">
        <v>84</v>
      </c>
      <c r="G901">
        <v>0</v>
      </c>
    </row>
    <row r="902" spans="1:7" x14ac:dyDescent="0.35">
      <c r="A902">
        <v>2019</v>
      </c>
      <c r="B902" t="s">
        <v>59</v>
      </c>
      <c r="C902" t="s">
        <v>168</v>
      </c>
      <c r="D902" t="s">
        <v>169</v>
      </c>
      <c r="E902" t="s">
        <v>76</v>
      </c>
      <c r="F902" t="s">
        <v>84</v>
      </c>
      <c r="G902">
        <v>0</v>
      </c>
    </row>
    <row r="903" spans="1:7" x14ac:dyDescent="0.35">
      <c r="A903">
        <v>2019</v>
      </c>
      <c r="B903" t="s">
        <v>59</v>
      </c>
      <c r="C903" t="s">
        <v>168</v>
      </c>
      <c r="D903" t="s">
        <v>169</v>
      </c>
      <c r="E903" t="s">
        <v>0</v>
      </c>
      <c r="F903" t="s">
        <v>84</v>
      </c>
      <c r="G903">
        <v>0</v>
      </c>
    </row>
    <row r="904" spans="1:7" x14ac:dyDescent="0.35">
      <c r="A904">
        <v>2019</v>
      </c>
      <c r="B904" t="s">
        <v>59</v>
      </c>
      <c r="C904" t="s">
        <v>168</v>
      </c>
      <c r="D904" t="s">
        <v>169</v>
      </c>
      <c r="E904" t="s">
        <v>118</v>
      </c>
      <c r="F904" t="s">
        <v>84</v>
      </c>
      <c r="G904">
        <v>1</v>
      </c>
    </row>
    <row r="905" spans="1:7" x14ac:dyDescent="0.35">
      <c r="A905">
        <v>2019</v>
      </c>
      <c r="B905" t="s">
        <v>59</v>
      </c>
      <c r="C905" t="s">
        <v>168</v>
      </c>
      <c r="D905" t="s">
        <v>169</v>
      </c>
      <c r="E905" t="s">
        <v>119</v>
      </c>
      <c r="F905" t="s">
        <v>84</v>
      </c>
      <c r="G905">
        <v>0</v>
      </c>
    </row>
    <row r="906" spans="1:7" x14ac:dyDescent="0.35">
      <c r="A906">
        <v>2019</v>
      </c>
      <c r="B906" t="s">
        <v>52</v>
      </c>
      <c r="C906" t="s">
        <v>168</v>
      </c>
      <c r="D906" t="s">
        <v>169</v>
      </c>
      <c r="E906" t="s">
        <v>76</v>
      </c>
      <c r="F906" t="s">
        <v>84</v>
      </c>
      <c r="G906">
        <v>0</v>
      </c>
    </row>
    <row r="907" spans="1:7" x14ac:dyDescent="0.35">
      <c r="A907">
        <v>2019</v>
      </c>
      <c r="B907" t="s">
        <v>52</v>
      </c>
      <c r="C907" t="s">
        <v>168</v>
      </c>
      <c r="D907" t="s">
        <v>169</v>
      </c>
      <c r="E907" t="s">
        <v>0</v>
      </c>
      <c r="F907" t="s">
        <v>84</v>
      </c>
      <c r="G907">
        <v>0</v>
      </c>
    </row>
    <row r="908" spans="1:7" x14ac:dyDescent="0.35">
      <c r="A908">
        <v>2019</v>
      </c>
      <c r="B908" t="s">
        <v>52</v>
      </c>
      <c r="C908" t="s">
        <v>168</v>
      </c>
      <c r="D908" t="s">
        <v>169</v>
      </c>
      <c r="E908" t="s">
        <v>118</v>
      </c>
      <c r="F908" t="s">
        <v>84</v>
      </c>
      <c r="G908">
        <v>0</v>
      </c>
    </row>
    <row r="909" spans="1:7" x14ac:dyDescent="0.35">
      <c r="A909">
        <v>2019</v>
      </c>
      <c r="B909" t="s">
        <v>52</v>
      </c>
      <c r="C909" t="s">
        <v>168</v>
      </c>
      <c r="D909" t="s">
        <v>169</v>
      </c>
      <c r="E909" t="s">
        <v>119</v>
      </c>
      <c r="F909" t="s">
        <v>84</v>
      </c>
      <c r="G909">
        <v>0</v>
      </c>
    </row>
    <row r="910" spans="1:7" x14ac:dyDescent="0.35">
      <c r="A910">
        <v>2019</v>
      </c>
      <c r="B910" t="s">
        <v>60</v>
      </c>
      <c r="C910" t="s">
        <v>168</v>
      </c>
      <c r="D910" t="s">
        <v>169</v>
      </c>
      <c r="E910" t="s">
        <v>76</v>
      </c>
      <c r="F910" t="s">
        <v>84</v>
      </c>
      <c r="G910">
        <v>1</v>
      </c>
    </row>
    <row r="911" spans="1:7" x14ac:dyDescent="0.35">
      <c r="A911">
        <v>2019</v>
      </c>
      <c r="B911" t="s">
        <v>60</v>
      </c>
      <c r="C911" t="s">
        <v>168</v>
      </c>
      <c r="D911" t="s">
        <v>169</v>
      </c>
      <c r="E911" t="s">
        <v>0</v>
      </c>
      <c r="F911" t="s">
        <v>84</v>
      </c>
      <c r="G911">
        <v>0</v>
      </c>
    </row>
    <row r="912" spans="1:7" x14ac:dyDescent="0.35">
      <c r="A912">
        <v>2019</v>
      </c>
      <c r="B912" t="s">
        <v>60</v>
      </c>
      <c r="C912" t="s">
        <v>168</v>
      </c>
      <c r="D912" t="s">
        <v>169</v>
      </c>
      <c r="E912" t="s">
        <v>118</v>
      </c>
      <c r="F912" t="s">
        <v>84</v>
      </c>
      <c r="G912">
        <v>3</v>
      </c>
    </row>
    <row r="913" spans="1:7" x14ac:dyDescent="0.35">
      <c r="A913">
        <v>2019</v>
      </c>
      <c r="B913" t="s">
        <v>60</v>
      </c>
      <c r="C913" t="s">
        <v>168</v>
      </c>
      <c r="D913" t="s">
        <v>169</v>
      </c>
      <c r="E913" t="s">
        <v>119</v>
      </c>
      <c r="F913" t="s">
        <v>84</v>
      </c>
      <c r="G913">
        <v>0</v>
      </c>
    </row>
    <row r="914" spans="1:7" x14ac:dyDescent="0.35">
      <c r="A914">
        <v>2019</v>
      </c>
      <c r="B914" t="s">
        <v>26</v>
      </c>
      <c r="C914" t="s">
        <v>168</v>
      </c>
      <c r="D914" t="s">
        <v>169</v>
      </c>
      <c r="E914" t="s">
        <v>76</v>
      </c>
      <c r="F914" t="s">
        <v>84</v>
      </c>
      <c r="G914">
        <v>0</v>
      </c>
    </row>
    <row r="915" spans="1:7" x14ac:dyDescent="0.35">
      <c r="A915">
        <v>2019</v>
      </c>
      <c r="B915" t="s">
        <v>26</v>
      </c>
      <c r="C915" t="s">
        <v>168</v>
      </c>
      <c r="D915" t="s">
        <v>169</v>
      </c>
      <c r="E915" t="s">
        <v>0</v>
      </c>
      <c r="F915" t="s">
        <v>84</v>
      </c>
      <c r="G915">
        <v>0</v>
      </c>
    </row>
    <row r="916" spans="1:7" x14ac:dyDescent="0.35">
      <c r="A916">
        <v>2019</v>
      </c>
      <c r="B916" t="s">
        <v>26</v>
      </c>
      <c r="C916" t="s">
        <v>168</v>
      </c>
      <c r="D916" t="s">
        <v>169</v>
      </c>
      <c r="E916" t="s">
        <v>118</v>
      </c>
      <c r="F916" t="s">
        <v>84</v>
      </c>
      <c r="G916">
        <v>5</v>
      </c>
    </row>
    <row r="917" spans="1:7" x14ac:dyDescent="0.35">
      <c r="A917">
        <v>2019</v>
      </c>
      <c r="B917" t="s">
        <v>26</v>
      </c>
      <c r="C917" t="s">
        <v>168</v>
      </c>
      <c r="D917" t="s">
        <v>169</v>
      </c>
      <c r="E917" t="s">
        <v>119</v>
      </c>
      <c r="F917" t="s">
        <v>84</v>
      </c>
      <c r="G917">
        <v>0</v>
      </c>
    </row>
    <row r="918" spans="1:7" x14ac:dyDescent="0.35">
      <c r="A918">
        <v>2019</v>
      </c>
      <c r="B918" t="s">
        <v>41</v>
      </c>
      <c r="C918" t="s">
        <v>168</v>
      </c>
      <c r="D918" t="s">
        <v>169</v>
      </c>
      <c r="E918" t="s">
        <v>76</v>
      </c>
      <c r="F918" t="s">
        <v>84</v>
      </c>
      <c r="G918">
        <v>0</v>
      </c>
    </row>
    <row r="919" spans="1:7" x14ac:dyDescent="0.35">
      <c r="A919">
        <v>2019</v>
      </c>
      <c r="B919" t="s">
        <v>41</v>
      </c>
      <c r="C919" t="s">
        <v>168</v>
      </c>
      <c r="D919" t="s">
        <v>169</v>
      </c>
      <c r="E919" t="s">
        <v>0</v>
      </c>
      <c r="F919" t="s">
        <v>84</v>
      </c>
      <c r="G919">
        <v>0</v>
      </c>
    </row>
    <row r="920" spans="1:7" x14ac:dyDescent="0.35">
      <c r="A920">
        <v>2019</v>
      </c>
      <c r="B920" t="s">
        <v>41</v>
      </c>
      <c r="C920" t="s">
        <v>168</v>
      </c>
      <c r="D920" t="s">
        <v>169</v>
      </c>
      <c r="E920" t="s">
        <v>118</v>
      </c>
      <c r="F920" t="s">
        <v>84</v>
      </c>
      <c r="G920">
        <v>0</v>
      </c>
    </row>
    <row r="921" spans="1:7" x14ac:dyDescent="0.35">
      <c r="A921">
        <v>2019</v>
      </c>
      <c r="B921" t="s">
        <v>41</v>
      </c>
      <c r="C921" t="s">
        <v>168</v>
      </c>
      <c r="D921" t="s">
        <v>169</v>
      </c>
      <c r="E921" t="s">
        <v>119</v>
      </c>
      <c r="F921" t="s">
        <v>84</v>
      </c>
      <c r="G921">
        <v>0</v>
      </c>
    </row>
    <row r="922" spans="1:7" x14ac:dyDescent="0.35">
      <c r="A922">
        <v>2019</v>
      </c>
      <c r="B922" t="s">
        <v>15</v>
      </c>
      <c r="C922" t="s">
        <v>168</v>
      </c>
      <c r="D922" t="s">
        <v>169</v>
      </c>
      <c r="E922" t="s">
        <v>76</v>
      </c>
      <c r="F922" t="s">
        <v>85</v>
      </c>
      <c r="G922">
        <v>0</v>
      </c>
    </row>
    <row r="923" spans="1:7" x14ac:dyDescent="0.35">
      <c r="A923">
        <v>2019</v>
      </c>
      <c r="B923" t="s">
        <v>15</v>
      </c>
      <c r="C923" t="s">
        <v>168</v>
      </c>
      <c r="D923" t="s">
        <v>169</v>
      </c>
      <c r="E923" t="s">
        <v>0</v>
      </c>
      <c r="F923" t="s">
        <v>85</v>
      </c>
      <c r="G923">
        <v>0</v>
      </c>
    </row>
    <row r="924" spans="1:7" x14ac:dyDescent="0.35">
      <c r="A924">
        <v>2019</v>
      </c>
      <c r="B924" t="s">
        <v>15</v>
      </c>
      <c r="C924" t="s">
        <v>168</v>
      </c>
      <c r="D924" t="s">
        <v>169</v>
      </c>
      <c r="E924" t="s">
        <v>118</v>
      </c>
      <c r="F924" t="s">
        <v>85</v>
      </c>
      <c r="G924">
        <v>0</v>
      </c>
    </row>
    <row r="925" spans="1:7" x14ac:dyDescent="0.35">
      <c r="A925">
        <v>2019</v>
      </c>
      <c r="B925" t="s">
        <v>15</v>
      </c>
      <c r="C925" t="s">
        <v>168</v>
      </c>
      <c r="D925" t="s">
        <v>169</v>
      </c>
      <c r="E925" t="s">
        <v>119</v>
      </c>
      <c r="F925" t="s">
        <v>85</v>
      </c>
      <c r="G925">
        <v>0</v>
      </c>
    </row>
    <row r="926" spans="1:7" x14ac:dyDescent="0.35">
      <c r="A926">
        <v>2019</v>
      </c>
      <c r="B926" t="s">
        <v>16</v>
      </c>
      <c r="C926" t="s">
        <v>168</v>
      </c>
      <c r="D926" t="s">
        <v>169</v>
      </c>
      <c r="E926" t="s">
        <v>76</v>
      </c>
      <c r="F926" t="s">
        <v>85</v>
      </c>
      <c r="G926">
        <v>0</v>
      </c>
    </row>
    <row r="927" spans="1:7" x14ac:dyDescent="0.35">
      <c r="A927">
        <v>2019</v>
      </c>
      <c r="B927" t="s">
        <v>16</v>
      </c>
      <c r="C927" t="s">
        <v>168</v>
      </c>
      <c r="D927" t="s">
        <v>169</v>
      </c>
      <c r="E927" t="s">
        <v>0</v>
      </c>
      <c r="F927" t="s">
        <v>85</v>
      </c>
      <c r="G927">
        <v>0</v>
      </c>
    </row>
    <row r="928" spans="1:7" x14ac:dyDescent="0.35">
      <c r="A928">
        <v>2019</v>
      </c>
      <c r="B928" t="s">
        <v>16</v>
      </c>
      <c r="C928" t="s">
        <v>168</v>
      </c>
      <c r="D928" t="s">
        <v>169</v>
      </c>
      <c r="E928" t="s">
        <v>118</v>
      </c>
      <c r="F928" t="s">
        <v>85</v>
      </c>
      <c r="G928">
        <v>1</v>
      </c>
    </row>
    <row r="929" spans="1:7" x14ac:dyDescent="0.35">
      <c r="A929">
        <v>2019</v>
      </c>
      <c r="B929" t="s">
        <v>16</v>
      </c>
      <c r="C929" t="s">
        <v>168</v>
      </c>
      <c r="D929" t="s">
        <v>169</v>
      </c>
      <c r="E929" t="s">
        <v>119</v>
      </c>
      <c r="F929" t="s">
        <v>85</v>
      </c>
      <c r="G929">
        <v>0</v>
      </c>
    </row>
    <row r="930" spans="1:7" x14ac:dyDescent="0.35">
      <c r="A930">
        <v>2019</v>
      </c>
      <c r="B930" t="s">
        <v>17</v>
      </c>
      <c r="C930" t="s">
        <v>168</v>
      </c>
      <c r="D930" t="s">
        <v>169</v>
      </c>
      <c r="E930" t="s">
        <v>76</v>
      </c>
      <c r="F930" t="s">
        <v>85</v>
      </c>
      <c r="G930">
        <v>0</v>
      </c>
    </row>
    <row r="931" spans="1:7" x14ac:dyDescent="0.35">
      <c r="A931">
        <v>2019</v>
      </c>
      <c r="B931" t="s">
        <v>17</v>
      </c>
      <c r="C931" t="s">
        <v>168</v>
      </c>
      <c r="D931" t="s">
        <v>169</v>
      </c>
      <c r="E931" t="s">
        <v>0</v>
      </c>
      <c r="F931" t="s">
        <v>85</v>
      </c>
      <c r="G931">
        <v>0</v>
      </c>
    </row>
    <row r="932" spans="1:7" x14ac:dyDescent="0.35">
      <c r="A932">
        <v>2019</v>
      </c>
      <c r="B932" t="s">
        <v>17</v>
      </c>
      <c r="C932" t="s">
        <v>168</v>
      </c>
      <c r="D932" t="s">
        <v>169</v>
      </c>
      <c r="E932" t="s">
        <v>118</v>
      </c>
      <c r="F932" t="s">
        <v>85</v>
      </c>
      <c r="G932">
        <v>0</v>
      </c>
    </row>
    <row r="933" spans="1:7" x14ac:dyDescent="0.35">
      <c r="A933">
        <v>2019</v>
      </c>
      <c r="B933" t="s">
        <v>17</v>
      </c>
      <c r="C933" t="s">
        <v>168</v>
      </c>
      <c r="D933" t="s">
        <v>169</v>
      </c>
      <c r="E933" t="s">
        <v>119</v>
      </c>
      <c r="F933" t="s">
        <v>85</v>
      </c>
      <c r="G933">
        <v>0</v>
      </c>
    </row>
    <row r="934" spans="1:7" x14ac:dyDescent="0.35">
      <c r="A934">
        <v>2019</v>
      </c>
      <c r="B934" t="s">
        <v>18</v>
      </c>
      <c r="C934" t="s">
        <v>168</v>
      </c>
      <c r="D934" t="s">
        <v>169</v>
      </c>
      <c r="E934" t="s">
        <v>76</v>
      </c>
      <c r="F934" t="s">
        <v>85</v>
      </c>
      <c r="G934">
        <v>0</v>
      </c>
    </row>
    <row r="935" spans="1:7" x14ac:dyDescent="0.35">
      <c r="A935">
        <v>2019</v>
      </c>
      <c r="B935" t="s">
        <v>18</v>
      </c>
      <c r="C935" t="s">
        <v>168</v>
      </c>
      <c r="D935" t="s">
        <v>169</v>
      </c>
      <c r="E935" t="s">
        <v>0</v>
      </c>
      <c r="F935" t="s">
        <v>85</v>
      </c>
      <c r="G935">
        <v>0</v>
      </c>
    </row>
    <row r="936" spans="1:7" x14ac:dyDescent="0.35">
      <c r="A936">
        <v>2019</v>
      </c>
      <c r="B936" t="s">
        <v>18</v>
      </c>
      <c r="C936" t="s">
        <v>168</v>
      </c>
      <c r="D936" t="s">
        <v>169</v>
      </c>
      <c r="E936" t="s">
        <v>118</v>
      </c>
      <c r="F936" t="s">
        <v>85</v>
      </c>
      <c r="G936">
        <v>0</v>
      </c>
    </row>
    <row r="937" spans="1:7" x14ac:dyDescent="0.35">
      <c r="A937">
        <v>2019</v>
      </c>
      <c r="B937" t="s">
        <v>18</v>
      </c>
      <c r="C937" t="s">
        <v>168</v>
      </c>
      <c r="D937" t="s">
        <v>169</v>
      </c>
      <c r="E937" t="s">
        <v>119</v>
      </c>
      <c r="F937" t="s">
        <v>85</v>
      </c>
      <c r="G937">
        <v>0</v>
      </c>
    </row>
    <row r="938" spans="1:7" x14ac:dyDescent="0.35">
      <c r="A938">
        <v>2019</v>
      </c>
      <c r="B938" t="s">
        <v>19</v>
      </c>
      <c r="C938" t="s">
        <v>168</v>
      </c>
      <c r="D938" t="s">
        <v>169</v>
      </c>
      <c r="E938" t="s">
        <v>76</v>
      </c>
      <c r="F938" t="s">
        <v>85</v>
      </c>
      <c r="G938">
        <v>0</v>
      </c>
    </row>
    <row r="939" spans="1:7" x14ac:dyDescent="0.35">
      <c r="A939">
        <v>2019</v>
      </c>
      <c r="B939" t="s">
        <v>19</v>
      </c>
      <c r="C939" t="s">
        <v>168</v>
      </c>
      <c r="D939" t="s">
        <v>169</v>
      </c>
      <c r="E939" t="s">
        <v>0</v>
      </c>
      <c r="F939" t="s">
        <v>85</v>
      </c>
      <c r="G939">
        <v>0</v>
      </c>
    </row>
    <row r="940" spans="1:7" x14ac:dyDescent="0.35">
      <c r="A940">
        <v>2019</v>
      </c>
      <c r="B940" t="s">
        <v>19</v>
      </c>
      <c r="C940" t="s">
        <v>168</v>
      </c>
      <c r="D940" t="s">
        <v>169</v>
      </c>
      <c r="E940" t="s">
        <v>118</v>
      </c>
      <c r="F940" t="s">
        <v>85</v>
      </c>
      <c r="G940">
        <v>0</v>
      </c>
    </row>
    <row r="941" spans="1:7" x14ac:dyDescent="0.35">
      <c r="A941">
        <v>2019</v>
      </c>
      <c r="B941" t="s">
        <v>19</v>
      </c>
      <c r="C941" t="s">
        <v>168</v>
      </c>
      <c r="D941" t="s">
        <v>169</v>
      </c>
      <c r="E941" t="s">
        <v>119</v>
      </c>
      <c r="F941" t="s">
        <v>85</v>
      </c>
      <c r="G941">
        <v>0</v>
      </c>
    </row>
    <row r="942" spans="1:7" x14ac:dyDescent="0.35">
      <c r="A942">
        <v>2019</v>
      </c>
      <c r="B942" t="s">
        <v>20</v>
      </c>
      <c r="C942" t="s">
        <v>168</v>
      </c>
      <c r="D942" t="s">
        <v>169</v>
      </c>
      <c r="E942" t="s">
        <v>76</v>
      </c>
      <c r="F942" t="s">
        <v>85</v>
      </c>
      <c r="G942">
        <v>0</v>
      </c>
    </row>
    <row r="943" spans="1:7" x14ac:dyDescent="0.35">
      <c r="A943">
        <v>2019</v>
      </c>
      <c r="B943" t="s">
        <v>20</v>
      </c>
      <c r="C943" t="s">
        <v>168</v>
      </c>
      <c r="D943" t="s">
        <v>169</v>
      </c>
      <c r="E943" t="s">
        <v>0</v>
      </c>
      <c r="F943" t="s">
        <v>85</v>
      </c>
      <c r="G943">
        <v>0</v>
      </c>
    </row>
    <row r="944" spans="1:7" x14ac:dyDescent="0.35">
      <c r="A944">
        <v>2019</v>
      </c>
      <c r="B944" t="s">
        <v>20</v>
      </c>
      <c r="C944" t="s">
        <v>168</v>
      </c>
      <c r="D944" t="s">
        <v>169</v>
      </c>
      <c r="E944" t="s">
        <v>118</v>
      </c>
      <c r="F944" t="s">
        <v>85</v>
      </c>
      <c r="G944">
        <v>0</v>
      </c>
    </row>
    <row r="945" spans="1:7" x14ac:dyDescent="0.35">
      <c r="A945">
        <v>2019</v>
      </c>
      <c r="B945" t="s">
        <v>20</v>
      </c>
      <c r="C945" t="s">
        <v>168</v>
      </c>
      <c r="D945" t="s">
        <v>169</v>
      </c>
      <c r="E945" t="s">
        <v>119</v>
      </c>
      <c r="F945" t="s">
        <v>85</v>
      </c>
      <c r="G945">
        <v>0</v>
      </c>
    </row>
    <row r="946" spans="1:7" x14ac:dyDescent="0.35">
      <c r="A946">
        <v>2019</v>
      </c>
      <c r="B946" t="s">
        <v>21</v>
      </c>
      <c r="C946" t="s">
        <v>168</v>
      </c>
      <c r="D946" t="s">
        <v>169</v>
      </c>
      <c r="E946" t="s">
        <v>76</v>
      </c>
      <c r="F946" t="s">
        <v>85</v>
      </c>
      <c r="G946">
        <v>0</v>
      </c>
    </row>
    <row r="947" spans="1:7" x14ac:dyDescent="0.35">
      <c r="A947">
        <v>2019</v>
      </c>
      <c r="B947" t="s">
        <v>21</v>
      </c>
      <c r="C947" t="s">
        <v>168</v>
      </c>
      <c r="D947" t="s">
        <v>169</v>
      </c>
      <c r="E947" t="s">
        <v>0</v>
      </c>
      <c r="F947" t="s">
        <v>85</v>
      </c>
      <c r="G947">
        <v>0</v>
      </c>
    </row>
    <row r="948" spans="1:7" x14ac:dyDescent="0.35">
      <c r="A948">
        <v>2019</v>
      </c>
      <c r="B948" t="s">
        <v>21</v>
      </c>
      <c r="C948" t="s">
        <v>168</v>
      </c>
      <c r="D948" t="s">
        <v>169</v>
      </c>
      <c r="E948" t="s">
        <v>118</v>
      </c>
      <c r="F948" t="s">
        <v>85</v>
      </c>
      <c r="G948">
        <v>0</v>
      </c>
    </row>
    <row r="949" spans="1:7" x14ac:dyDescent="0.35">
      <c r="A949">
        <v>2019</v>
      </c>
      <c r="B949" t="s">
        <v>21</v>
      </c>
      <c r="C949" t="s">
        <v>168</v>
      </c>
      <c r="D949" t="s">
        <v>169</v>
      </c>
      <c r="E949" t="s">
        <v>119</v>
      </c>
      <c r="F949" t="s">
        <v>85</v>
      </c>
      <c r="G949">
        <v>0</v>
      </c>
    </row>
    <row r="950" spans="1:7" x14ac:dyDescent="0.35">
      <c r="A950">
        <v>2019</v>
      </c>
      <c r="B950" t="s">
        <v>22</v>
      </c>
      <c r="C950" t="s">
        <v>168</v>
      </c>
      <c r="D950" t="s">
        <v>169</v>
      </c>
      <c r="E950" t="s">
        <v>76</v>
      </c>
      <c r="F950" t="s">
        <v>85</v>
      </c>
      <c r="G950">
        <v>0</v>
      </c>
    </row>
    <row r="951" spans="1:7" x14ac:dyDescent="0.35">
      <c r="A951">
        <v>2019</v>
      </c>
      <c r="B951" t="s">
        <v>22</v>
      </c>
      <c r="C951" t="s">
        <v>168</v>
      </c>
      <c r="D951" t="s">
        <v>169</v>
      </c>
      <c r="E951" t="s">
        <v>0</v>
      </c>
      <c r="F951" t="s">
        <v>85</v>
      </c>
      <c r="G951">
        <v>0</v>
      </c>
    </row>
    <row r="952" spans="1:7" x14ac:dyDescent="0.35">
      <c r="A952">
        <v>2019</v>
      </c>
      <c r="B952" t="s">
        <v>22</v>
      </c>
      <c r="C952" t="s">
        <v>168</v>
      </c>
      <c r="D952" t="s">
        <v>169</v>
      </c>
      <c r="E952" t="s">
        <v>118</v>
      </c>
      <c r="F952" t="s">
        <v>85</v>
      </c>
      <c r="G952">
        <v>0</v>
      </c>
    </row>
    <row r="953" spans="1:7" x14ac:dyDescent="0.35">
      <c r="A953">
        <v>2019</v>
      </c>
      <c r="B953" t="s">
        <v>22</v>
      </c>
      <c r="C953" t="s">
        <v>168</v>
      </c>
      <c r="D953" t="s">
        <v>169</v>
      </c>
      <c r="E953" t="s">
        <v>119</v>
      </c>
      <c r="F953" t="s">
        <v>85</v>
      </c>
      <c r="G953">
        <v>0</v>
      </c>
    </row>
    <row r="954" spans="1:7" x14ac:dyDescent="0.35">
      <c r="A954">
        <v>2019</v>
      </c>
      <c r="B954" t="s">
        <v>23</v>
      </c>
      <c r="C954" t="s">
        <v>168</v>
      </c>
      <c r="D954" t="s">
        <v>169</v>
      </c>
      <c r="E954" t="s">
        <v>76</v>
      </c>
      <c r="F954" t="s">
        <v>85</v>
      </c>
      <c r="G954">
        <v>0</v>
      </c>
    </row>
    <row r="955" spans="1:7" x14ac:dyDescent="0.35">
      <c r="A955">
        <v>2019</v>
      </c>
      <c r="B955" t="s">
        <v>23</v>
      </c>
      <c r="C955" t="s">
        <v>168</v>
      </c>
      <c r="D955" t="s">
        <v>169</v>
      </c>
      <c r="E955" t="s">
        <v>0</v>
      </c>
      <c r="F955" t="s">
        <v>85</v>
      </c>
      <c r="G955">
        <v>0</v>
      </c>
    </row>
    <row r="956" spans="1:7" x14ac:dyDescent="0.35">
      <c r="A956">
        <v>2019</v>
      </c>
      <c r="B956" t="s">
        <v>23</v>
      </c>
      <c r="C956" t="s">
        <v>168</v>
      </c>
      <c r="D956" t="s">
        <v>169</v>
      </c>
      <c r="E956" t="s">
        <v>118</v>
      </c>
      <c r="F956" t="s">
        <v>85</v>
      </c>
      <c r="G956">
        <v>0</v>
      </c>
    </row>
    <row r="957" spans="1:7" x14ac:dyDescent="0.35">
      <c r="A957">
        <v>2019</v>
      </c>
      <c r="B957" t="s">
        <v>23</v>
      </c>
      <c r="C957" t="s">
        <v>168</v>
      </c>
      <c r="D957" t="s">
        <v>169</v>
      </c>
      <c r="E957" t="s">
        <v>119</v>
      </c>
      <c r="F957" t="s">
        <v>85</v>
      </c>
      <c r="G957">
        <v>0</v>
      </c>
    </row>
    <row r="958" spans="1:7" x14ac:dyDescent="0.35">
      <c r="A958">
        <v>2019</v>
      </c>
      <c r="B958" t="s">
        <v>24</v>
      </c>
      <c r="C958" t="s">
        <v>168</v>
      </c>
      <c r="D958" t="s">
        <v>169</v>
      </c>
      <c r="E958" t="s">
        <v>76</v>
      </c>
      <c r="F958" t="s">
        <v>85</v>
      </c>
      <c r="G958">
        <v>0</v>
      </c>
    </row>
    <row r="959" spans="1:7" x14ac:dyDescent="0.35">
      <c r="A959">
        <v>2019</v>
      </c>
      <c r="B959" t="s">
        <v>24</v>
      </c>
      <c r="C959" t="s">
        <v>168</v>
      </c>
      <c r="D959" t="s">
        <v>169</v>
      </c>
      <c r="E959" t="s">
        <v>0</v>
      </c>
      <c r="F959" t="s">
        <v>85</v>
      </c>
      <c r="G959">
        <v>0</v>
      </c>
    </row>
    <row r="960" spans="1:7" x14ac:dyDescent="0.35">
      <c r="A960">
        <v>2019</v>
      </c>
      <c r="B960" t="s">
        <v>24</v>
      </c>
      <c r="C960" t="s">
        <v>168</v>
      </c>
      <c r="D960" t="s">
        <v>169</v>
      </c>
      <c r="E960" t="s">
        <v>118</v>
      </c>
      <c r="F960" t="s">
        <v>85</v>
      </c>
      <c r="G960">
        <v>0</v>
      </c>
    </row>
    <row r="961" spans="1:7" x14ac:dyDescent="0.35">
      <c r="A961">
        <v>2019</v>
      </c>
      <c r="B961" t="s">
        <v>24</v>
      </c>
      <c r="C961" t="s">
        <v>168</v>
      </c>
      <c r="D961" t="s">
        <v>169</v>
      </c>
      <c r="E961" t="s">
        <v>119</v>
      </c>
      <c r="F961" t="s">
        <v>85</v>
      </c>
      <c r="G961">
        <v>0</v>
      </c>
    </row>
    <row r="962" spans="1:7" x14ac:dyDescent="0.35">
      <c r="A962">
        <v>2019</v>
      </c>
      <c r="B962" t="s">
        <v>25</v>
      </c>
      <c r="C962" t="s">
        <v>168</v>
      </c>
      <c r="D962" t="s">
        <v>169</v>
      </c>
      <c r="E962" t="s">
        <v>76</v>
      </c>
      <c r="F962" t="s">
        <v>85</v>
      </c>
      <c r="G962">
        <v>0</v>
      </c>
    </row>
    <row r="963" spans="1:7" x14ac:dyDescent="0.35">
      <c r="A963">
        <v>2019</v>
      </c>
      <c r="B963" t="s">
        <v>25</v>
      </c>
      <c r="C963" t="s">
        <v>168</v>
      </c>
      <c r="D963" t="s">
        <v>169</v>
      </c>
      <c r="E963" t="s">
        <v>0</v>
      </c>
      <c r="F963" t="s">
        <v>85</v>
      </c>
      <c r="G963">
        <v>0</v>
      </c>
    </row>
    <row r="964" spans="1:7" x14ac:dyDescent="0.35">
      <c r="A964">
        <v>2019</v>
      </c>
      <c r="B964" t="s">
        <v>25</v>
      </c>
      <c r="C964" t="s">
        <v>168</v>
      </c>
      <c r="D964" t="s">
        <v>169</v>
      </c>
      <c r="E964" t="s">
        <v>118</v>
      </c>
      <c r="F964" t="s">
        <v>85</v>
      </c>
      <c r="G964">
        <v>0</v>
      </c>
    </row>
    <row r="965" spans="1:7" x14ac:dyDescent="0.35">
      <c r="A965">
        <v>2019</v>
      </c>
      <c r="B965" t="s">
        <v>25</v>
      </c>
      <c r="C965" t="s">
        <v>168</v>
      </c>
      <c r="D965" t="s">
        <v>169</v>
      </c>
      <c r="E965" t="s">
        <v>119</v>
      </c>
      <c r="F965" t="s">
        <v>85</v>
      </c>
      <c r="G965">
        <v>0</v>
      </c>
    </row>
    <row r="966" spans="1:7" x14ac:dyDescent="0.35">
      <c r="A966">
        <v>2019</v>
      </c>
      <c r="B966" t="s">
        <v>27</v>
      </c>
      <c r="C966" t="s">
        <v>168</v>
      </c>
      <c r="D966" t="s">
        <v>169</v>
      </c>
      <c r="E966" t="s">
        <v>76</v>
      </c>
      <c r="F966" t="s">
        <v>85</v>
      </c>
      <c r="G966">
        <v>0</v>
      </c>
    </row>
    <row r="967" spans="1:7" x14ac:dyDescent="0.35">
      <c r="A967">
        <v>2019</v>
      </c>
      <c r="B967" t="s">
        <v>27</v>
      </c>
      <c r="C967" t="s">
        <v>168</v>
      </c>
      <c r="D967" t="s">
        <v>169</v>
      </c>
      <c r="E967" t="s">
        <v>0</v>
      </c>
      <c r="F967" t="s">
        <v>85</v>
      </c>
      <c r="G967">
        <v>0</v>
      </c>
    </row>
    <row r="968" spans="1:7" x14ac:dyDescent="0.35">
      <c r="A968">
        <v>2019</v>
      </c>
      <c r="B968" t="s">
        <v>27</v>
      </c>
      <c r="C968" t="s">
        <v>168</v>
      </c>
      <c r="D968" t="s">
        <v>169</v>
      </c>
      <c r="E968" t="s">
        <v>118</v>
      </c>
      <c r="F968" t="s">
        <v>85</v>
      </c>
      <c r="G968">
        <v>0</v>
      </c>
    </row>
    <row r="969" spans="1:7" x14ac:dyDescent="0.35">
      <c r="A969">
        <v>2019</v>
      </c>
      <c r="B969" t="s">
        <v>27</v>
      </c>
      <c r="C969" t="s">
        <v>168</v>
      </c>
      <c r="D969" t="s">
        <v>169</v>
      </c>
      <c r="E969" t="s">
        <v>119</v>
      </c>
      <c r="F969" t="s">
        <v>85</v>
      </c>
      <c r="G969">
        <v>0</v>
      </c>
    </row>
    <row r="970" spans="1:7" x14ac:dyDescent="0.35">
      <c r="A970">
        <v>2019</v>
      </c>
      <c r="B970" t="s">
        <v>28</v>
      </c>
      <c r="C970" t="s">
        <v>168</v>
      </c>
      <c r="D970" t="s">
        <v>169</v>
      </c>
      <c r="E970" t="s">
        <v>76</v>
      </c>
      <c r="F970" t="s">
        <v>85</v>
      </c>
      <c r="G970">
        <v>0</v>
      </c>
    </row>
    <row r="971" spans="1:7" x14ac:dyDescent="0.35">
      <c r="A971">
        <v>2019</v>
      </c>
      <c r="B971" t="s">
        <v>28</v>
      </c>
      <c r="C971" t="s">
        <v>168</v>
      </c>
      <c r="D971" t="s">
        <v>169</v>
      </c>
      <c r="E971" t="s">
        <v>0</v>
      </c>
      <c r="F971" t="s">
        <v>85</v>
      </c>
      <c r="G971">
        <v>0</v>
      </c>
    </row>
    <row r="972" spans="1:7" x14ac:dyDescent="0.35">
      <c r="A972">
        <v>2019</v>
      </c>
      <c r="B972" t="s">
        <v>28</v>
      </c>
      <c r="C972" t="s">
        <v>168</v>
      </c>
      <c r="D972" t="s">
        <v>169</v>
      </c>
      <c r="E972" t="s">
        <v>118</v>
      </c>
      <c r="F972" t="s">
        <v>85</v>
      </c>
      <c r="G972">
        <v>0</v>
      </c>
    </row>
    <row r="973" spans="1:7" x14ac:dyDescent="0.35">
      <c r="A973">
        <v>2019</v>
      </c>
      <c r="B973" t="s">
        <v>28</v>
      </c>
      <c r="C973" t="s">
        <v>168</v>
      </c>
      <c r="D973" t="s">
        <v>169</v>
      </c>
      <c r="E973" t="s">
        <v>119</v>
      </c>
      <c r="F973" t="s">
        <v>85</v>
      </c>
      <c r="G973">
        <v>0</v>
      </c>
    </row>
    <row r="974" spans="1:7" x14ac:dyDescent="0.35">
      <c r="A974">
        <v>2019</v>
      </c>
      <c r="B974" t="s">
        <v>29</v>
      </c>
      <c r="C974" t="s">
        <v>168</v>
      </c>
      <c r="D974" t="s">
        <v>169</v>
      </c>
      <c r="E974" t="s">
        <v>76</v>
      </c>
      <c r="F974" t="s">
        <v>85</v>
      </c>
      <c r="G974">
        <v>0</v>
      </c>
    </row>
    <row r="975" spans="1:7" x14ac:dyDescent="0.35">
      <c r="A975">
        <v>2019</v>
      </c>
      <c r="B975" t="s">
        <v>29</v>
      </c>
      <c r="C975" t="s">
        <v>168</v>
      </c>
      <c r="D975" t="s">
        <v>169</v>
      </c>
      <c r="E975" t="s">
        <v>0</v>
      </c>
      <c r="F975" t="s">
        <v>85</v>
      </c>
      <c r="G975">
        <v>0</v>
      </c>
    </row>
    <row r="976" spans="1:7" x14ac:dyDescent="0.35">
      <c r="A976">
        <v>2019</v>
      </c>
      <c r="B976" t="s">
        <v>29</v>
      </c>
      <c r="C976" t="s">
        <v>168</v>
      </c>
      <c r="D976" t="s">
        <v>169</v>
      </c>
      <c r="E976" t="s">
        <v>118</v>
      </c>
      <c r="F976" t="s">
        <v>85</v>
      </c>
      <c r="G976">
        <v>0</v>
      </c>
    </row>
    <row r="977" spans="1:7" x14ac:dyDescent="0.35">
      <c r="A977">
        <v>2019</v>
      </c>
      <c r="B977" t="s">
        <v>29</v>
      </c>
      <c r="C977" t="s">
        <v>168</v>
      </c>
      <c r="D977" t="s">
        <v>169</v>
      </c>
      <c r="E977" t="s">
        <v>119</v>
      </c>
      <c r="F977" t="s">
        <v>85</v>
      </c>
      <c r="G977">
        <v>0</v>
      </c>
    </row>
    <row r="978" spans="1:7" x14ac:dyDescent="0.35">
      <c r="A978">
        <v>2019</v>
      </c>
      <c r="B978" t="s">
        <v>30</v>
      </c>
      <c r="C978" t="s">
        <v>168</v>
      </c>
      <c r="D978" t="s">
        <v>169</v>
      </c>
      <c r="E978" t="s">
        <v>76</v>
      </c>
      <c r="F978" t="s">
        <v>85</v>
      </c>
      <c r="G978">
        <v>0</v>
      </c>
    </row>
    <row r="979" spans="1:7" x14ac:dyDescent="0.35">
      <c r="A979">
        <v>2019</v>
      </c>
      <c r="B979" t="s">
        <v>30</v>
      </c>
      <c r="C979" t="s">
        <v>168</v>
      </c>
      <c r="D979" t="s">
        <v>169</v>
      </c>
      <c r="E979" t="s">
        <v>0</v>
      </c>
      <c r="F979" t="s">
        <v>85</v>
      </c>
      <c r="G979">
        <v>0</v>
      </c>
    </row>
    <row r="980" spans="1:7" x14ac:dyDescent="0.35">
      <c r="A980">
        <v>2019</v>
      </c>
      <c r="B980" t="s">
        <v>30</v>
      </c>
      <c r="C980" t="s">
        <v>168</v>
      </c>
      <c r="D980" t="s">
        <v>169</v>
      </c>
      <c r="E980" t="s">
        <v>118</v>
      </c>
      <c r="F980" t="s">
        <v>85</v>
      </c>
      <c r="G980">
        <v>0</v>
      </c>
    </row>
    <row r="981" spans="1:7" x14ac:dyDescent="0.35">
      <c r="A981">
        <v>2019</v>
      </c>
      <c r="B981" t="s">
        <v>30</v>
      </c>
      <c r="C981" t="s">
        <v>168</v>
      </c>
      <c r="D981" t="s">
        <v>169</v>
      </c>
      <c r="E981" t="s">
        <v>119</v>
      </c>
      <c r="F981" t="s">
        <v>85</v>
      </c>
      <c r="G981">
        <v>0</v>
      </c>
    </row>
    <row r="982" spans="1:7" x14ac:dyDescent="0.35">
      <c r="A982">
        <v>2019</v>
      </c>
      <c r="B982" t="s">
        <v>61</v>
      </c>
      <c r="C982" t="s">
        <v>168</v>
      </c>
      <c r="D982" t="s">
        <v>169</v>
      </c>
      <c r="E982" t="s">
        <v>76</v>
      </c>
      <c r="F982" t="s">
        <v>85</v>
      </c>
      <c r="G982">
        <v>0</v>
      </c>
    </row>
    <row r="983" spans="1:7" x14ac:dyDescent="0.35">
      <c r="A983">
        <v>2019</v>
      </c>
      <c r="B983" t="s">
        <v>61</v>
      </c>
      <c r="C983" t="s">
        <v>168</v>
      </c>
      <c r="D983" t="s">
        <v>169</v>
      </c>
      <c r="E983" t="s">
        <v>0</v>
      </c>
      <c r="F983" t="s">
        <v>85</v>
      </c>
      <c r="G983">
        <v>0</v>
      </c>
    </row>
    <row r="984" spans="1:7" x14ac:dyDescent="0.35">
      <c r="A984">
        <v>2019</v>
      </c>
      <c r="B984" t="s">
        <v>61</v>
      </c>
      <c r="C984" t="s">
        <v>168</v>
      </c>
      <c r="D984" t="s">
        <v>169</v>
      </c>
      <c r="E984" t="s">
        <v>118</v>
      </c>
      <c r="F984" t="s">
        <v>85</v>
      </c>
      <c r="G984">
        <v>1</v>
      </c>
    </row>
    <row r="985" spans="1:7" x14ac:dyDescent="0.35">
      <c r="A985">
        <v>2019</v>
      </c>
      <c r="B985" t="s">
        <v>61</v>
      </c>
      <c r="C985" t="s">
        <v>168</v>
      </c>
      <c r="D985" t="s">
        <v>169</v>
      </c>
      <c r="E985" t="s">
        <v>119</v>
      </c>
      <c r="F985" t="s">
        <v>85</v>
      </c>
      <c r="G985">
        <v>0</v>
      </c>
    </row>
    <row r="986" spans="1:7" x14ac:dyDescent="0.35">
      <c r="A986">
        <v>2019</v>
      </c>
      <c r="B986" t="s">
        <v>55</v>
      </c>
      <c r="C986" t="s">
        <v>168</v>
      </c>
      <c r="D986" t="s">
        <v>169</v>
      </c>
      <c r="E986" t="s">
        <v>76</v>
      </c>
      <c r="F986" t="s">
        <v>85</v>
      </c>
      <c r="G986">
        <v>0</v>
      </c>
    </row>
    <row r="987" spans="1:7" x14ac:dyDescent="0.35">
      <c r="A987">
        <v>2019</v>
      </c>
      <c r="B987" t="s">
        <v>55</v>
      </c>
      <c r="C987" t="s">
        <v>168</v>
      </c>
      <c r="D987" t="s">
        <v>169</v>
      </c>
      <c r="E987" t="s">
        <v>0</v>
      </c>
      <c r="F987" t="s">
        <v>85</v>
      </c>
      <c r="G987">
        <v>0</v>
      </c>
    </row>
    <row r="988" spans="1:7" x14ac:dyDescent="0.35">
      <c r="A988">
        <v>2019</v>
      </c>
      <c r="B988" t="s">
        <v>55</v>
      </c>
      <c r="C988" t="s">
        <v>168</v>
      </c>
      <c r="D988" t="s">
        <v>169</v>
      </c>
      <c r="E988" t="s">
        <v>118</v>
      </c>
      <c r="F988" t="s">
        <v>85</v>
      </c>
      <c r="G988">
        <v>0</v>
      </c>
    </row>
    <row r="989" spans="1:7" x14ac:dyDescent="0.35">
      <c r="A989">
        <v>2019</v>
      </c>
      <c r="B989" t="s">
        <v>55</v>
      </c>
      <c r="C989" t="s">
        <v>168</v>
      </c>
      <c r="D989" t="s">
        <v>169</v>
      </c>
      <c r="E989" t="s">
        <v>119</v>
      </c>
      <c r="F989" t="s">
        <v>85</v>
      </c>
      <c r="G989">
        <v>0</v>
      </c>
    </row>
    <row r="990" spans="1:7" x14ac:dyDescent="0.35">
      <c r="A990">
        <v>2019</v>
      </c>
      <c r="B990" t="s">
        <v>31</v>
      </c>
      <c r="C990" t="s">
        <v>168</v>
      </c>
      <c r="D990" t="s">
        <v>169</v>
      </c>
      <c r="E990" t="s">
        <v>76</v>
      </c>
      <c r="F990" t="s">
        <v>85</v>
      </c>
      <c r="G990">
        <v>0</v>
      </c>
    </row>
    <row r="991" spans="1:7" x14ac:dyDescent="0.35">
      <c r="A991">
        <v>2019</v>
      </c>
      <c r="B991" t="s">
        <v>31</v>
      </c>
      <c r="C991" t="s">
        <v>168</v>
      </c>
      <c r="D991" t="s">
        <v>169</v>
      </c>
      <c r="E991" t="s">
        <v>0</v>
      </c>
      <c r="F991" t="s">
        <v>85</v>
      </c>
      <c r="G991">
        <v>0</v>
      </c>
    </row>
    <row r="992" spans="1:7" x14ac:dyDescent="0.35">
      <c r="A992">
        <v>2019</v>
      </c>
      <c r="B992" t="s">
        <v>31</v>
      </c>
      <c r="C992" t="s">
        <v>168</v>
      </c>
      <c r="D992" t="s">
        <v>169</v>
      </c>
      <c r="E992" t="s">
        <v>118</v>
      </c>
      <c r="F992" t="s">
        <v>85</v>
      </c>
      <c r="G992">
        <v>0</v>
      </c>
    </row>
    <row r="993" spans="1:7" x14ac:dyDescent="0.35">
      <c r="A993">
        <v>2019</v>
      </c>
      <c r="B993" t="s">
        <v>31</v>
      </c>
      <c r="C993" t="s">
        <v>168</v>
      </c>
      <c r="D993" t="s">
        <v>169</v>
      </c>
      <c r="E993" t="s">
        <v>119</v>
      </c>
      <c r="F993" t="s">
        <v>85</v>
      </c>
      <c r="G993">
        <v>0</v>
      </c>
    </row>
    <row r="994" spans="1:7" x14ac:dyDescent="0.35">
      <c r="A994">
        <v>2019</v>
      </c>
      <c r="B994" t="s">
        <v>32</v>
      </c>
      <c r="C994" t="s">
        <v>168</v>
      </c>
      <c r="D994" t="s">
        <v>169</v>
      </c>
      <c r="E994" t="s">
        <v>76</v>
      </c>
      <c r="F994" t="s">
        <v>85</v>
      </c>
      <c r="G994">
        <v>0</v>
      </c>
    </row>
    <row r="995" spans="1:7" x14ac:dyDescent="0.35">
      <c r="A995">
        <v>2019</v>
      </c>
      <c r="B995" t="s">
        <v>32</v>
      </c>
      <c r="C995" t="s">
        <v>168</v>
      </c>
      <c r="D995" t="s">
        <v>169</v>
      </c>
      <c r="E995" t="s">
        <v>0</v>
      </c>
      <c r="F995" t="s">
        <v>85</v>
      </c>
      <c r="G995">
        <v>0</v>
      </c>
    </row>
    <row r="996" spans="1:7" x14ac:dyDescent="0.35">
      <c r="A996">
        <v>2019</v>
      </c>
      <c r="B996" t="s">
        <v>32</v>
      </c>
      <c r="C996" t="s">
        <v>168</v>
      </c>
      <c r="D996" t="s">
        <v>169</v>
      </c>
      <c r="E996" t="s">
        <v>118</v>
      </c>
      <c r="F996" t="s">
        <v>85</v>
      </c>
      <c r="G996">
        <v>0</v>
      </c>
    </row>
    <row r="997" spans="1:7" x14ac:dyDescent="0.35">
      <c r="A997">
        <v>2019</v>
      </c>
      <c r="B997" t="s">
        <v>32</v>
      </c>
      <c r="C997" t="s">
        <v>168</v>
      </c>
      <c r="D997" t="s">
        <v>169</v>
      </c>
      <c r="E997" t="s">
        <v>119</v>
      </c>
      <c r="F997" t="s">
        <v>85</v>
      </c>
      <c r="G997">
        <v>0</v>
      </c>
    </row>
    <row r="998" spans="1:7" x14ac:dyDescent="0.35">
      <c r="A998">
        <v>2019</v>
      </c>
      <c r="B998" t="s">
        <v>33</v>
      </c>
      <c r="C998" t="s">
        <v>168</v>
      </c>
      <c r="D998" t="s">
        <v>169</v>
      </c>
      <c r="E998" t="s">
        <v>76</v>
      </c>
      <c r="F998" t="s">
        <v>85</v>
      </c>
      <c r="G998">
        <v>0</v>
      </c>
    </row>
    <row r="999" spans="1:7" x14ac:dyDescent="0.35">
      <c r="A999">
        <v>2019</v>
      </c>
      <c r="B999" t="s">
        <v>33</v>
      </c>
      <c r="C999" t="s">
        <v>168</v>
      </c>
      <c r="D999" t="s">
        <v>169</v>
      </c>
      <c r="E999" t="s">
        <v>0</v>
      </c>
      <c r="F999" t="s">
        <v>85</v>
      </c>
      <c r="G999">
        <v>0</v>
      </c>
    </row>
    <row r="1000" spans="1:7" x14ac:dyDescent="0.35">
      <c r="A1000">
        <v>2019</v>
      </c>
      <c r="B1000" t="s">
        <v>33</v>
      </c>
      <c r="C1000" t="s">
        <v>168</v>
      </c>
      <c r="D1000" t="s">
        <v>169</v>
      </c>
      <c r="E1000" t="s">
        <v>118</v>
      </c>
      <c r="F1000" t="s">
        <v>85</v>
      </c>
      <c r="G1000">
        <v>0</v>
      </c>
    </row>
    <row r="1001" spans="1:7" x14ac:dyDescent="0.35">
      <c r="A1001">
        <v>2019</v>
      </c>
      <c r="B1001" t="s">
        <v>33</v>
      </c>
      <c r="C1001" t="s">
        <v>168</v>
      </c>
      <c r="D1001" t="s">
        <v>169</v>
      </c>
      <c r="E1001" t="s">
        <v>119</v>
      </c>
      <c r="F1001" t="s">
        <v>85</v>
      </c>
      <c r="G1001">
        <v>0</v>
      </c>
    </row>
    <row r="1002" spans="1:7" x14ac:dyDescent="0.35">
      <c r="A1002">
        <v>2019</v>
      </c>
      <c r="B1002" t="s">
        <v>34</v>
      </c>
      <c r="C1002" t="s">
        <v>168</v>
      </c>
      <c r="D1002" t="s">
        <v>169</v>
      </c>
      <c r="E1002" t="s">
        <v>76</v>
      </c>
      <c r="F1002" t="s">
        <v>85</v>
      </c>
      <c r="G1002">
        <v>0</v>
      </c>
    </row>
    <row r="1003" spans="1:7" x14ac:dyDescent="0.35">
      <c r="A1003">
        <v>2019</v>
      </c>
      <c r="B1003" t="s">
        <v>34</v>
      </c>
      <c r="C1003" t="s">
        <v>168</v>
      </c>
      <c r="D1003" t="s">
        <v>169</v>
      </c>
      <c r="E1003" t="s">
        <v>0</v>
      </c>
      <c r="F1003" t="s">
        <v>85</v>
      </c>
      <c r="G1003">
        <v>0</v>
      </c>
    </row>
    <row r="1004" spans="1:7" x14ac:dyDescent="0.35">
      <c r="A1004">
        <v>2019</v>
      </c>
      <c r="B1004" t="s">
        <v>34</v>
      </c>
      <c r="C1004" t="s">
        <v>168</v>
      </c>
      <c r="D1004" t="s">
        <v>169</v>
      </c>
      <c r="E1004" t="s">
        <v>118</v>
      </c>
      <c r="F1004" t="s">
        <v>85</v>
      </c>
      <c r="G1004">
        <v>0</v>
      </c>
    </row>
    <row r="1005" spans="1:7" x14ac:dyDescent="0.35">
      <c r="A1005">
        <v>2019</v>
      </c>
      <c r="B1005" t="s">
        <v>34</v>
      </c>
      <c r="C1005" t="s">
        <v>168</v>
      </c>
      <c r="D1005" t="s">
        <v>169</v>
      </c>
      <c r="E1005" t="s">
        <v>119</v>
      </c>
      <c r="F1005" t="s">
        <v>85</v>
      </c>
      <c r="G1005">
        <v>0</v>
      </c>
    </row>
    <row r="1006" spans="1:7" x14ac:dyDescent="0.35">
      <c r="A1006">
        <v>2019</v>
      </c>
      <c r="B1006" t="s">
        <v>35</v>
      </c>
      <c r="C1006" t="s">
        <v>168</v>
      </c>
      <c r="D1006" t="s">
        <v>169</v>
      </c>
      <c r="E1006" t="s">
        <v>76</v>
      </c>
      <c r="F1006" t="s">
        <v>85</v>
      </c>
      <c r="G1006">
        <v>0</v>
      </c>
    </row>
    <row r="1007" spans="1:7" x14ac:dyDescent="0.35">
      <c r="A1007">
        <v>2019</v>
      </c>
      <c r="B1007" t="s">
        <v>35</v>
      </c>
      <c r="C1007" t="s">
        <v>168</v>
      </c>
      <c r="D1007" t="s">
        <v>169</v>
      </c>
      <c r="E1007" t="s">
        <v>0</v>
      </c>
      <c r="F1007" t="s">
        <v>85</v>
      </c>
      <c r="G1007">
        <v>0</v>
      </c>
    </row>
    <row r="1008" spans="1:7" x14ac:dyDescent="0.35">
      <c r="A1008">
        <v>2019</v>
      </c>
      <c r="B1008" t="s">
        <v>35</v>
      </c>
      <c r="C1008" t="s">
        <v>168</v>
      </c>
      <c r="D1008" t="s">
        <v>169</v>
      </c>
      <c r="E1008" t="s">
        <v>118</v>
      </c>
      <c r="F1008" t="s">
        <v>85</v>
      </c>
      <c r="G1008">
        <v>0</v>
      </c>
    </row>
    <row r="1009" spans="1:7" x14ac:dyDescent="0.35">
      <c r="A1009">
        <v>2019</v>
      </c>
      <c r="B1009" t="s">
        <v>35</v>
      </c>
      <c r="C1009" t="s">
        <v>168</v>
      </c>
      <c r="D1009" t="s">
        <v>169</v>
      </c>
      <c r="E1009" t="s">
        <v>119</v>
      </c>
      <c r="F1009" t="s">
        <v>85</v>
      </c>
      <c r="G1009">
        <v>0</v>
      </c>
    </row>
    <row r="1010" spans="1:7" x14ac:dyDescent="0.35">
      <c r="A1010">
        <v>2019</v>
      </c>
      <c r="B1010" t="s">
        <v>53</v>
      </c>
      <c r="C1010" t="s">
        <v>168</v>
      </c>
      <c r="D1010" t="s">
        <v>169</v>
      </c>
      <c r="E1010" t="s">
        <v>76</v>
      </c>
      <c r="F1010" t="s">
        <v>85</v>
      </c>
      <c r="G1010">
        <v>0</v>
      </c>
    </row>
    <row r="1011" spans="1:7" x14ac:dyDescent="0.35">
      <c r="A1011">
        <v>2019</v>
      </c>
      <c r="B1011" t="s">
        <v>53</v>
      </c>
      <c r="C1011" t="s">
        <v>168</v>
      </c>
      <c r="D1011" t="s">
        <v>169</v>
      </c>
      <c r="E1011" t="s">
        <v>0</v>
      </c>
      <c r="F1011" t="s">
        <v>85</v>
      </c>
      <c r="G1011">
        <v>0</v>
      </c>
    </row>
    <row r="1012" spans="1:7" x14ac:dyDescent="0.35">
      <c r="A1012">
        <v>2019</v>
      </c>
      <c r="B1012" t="s">
        <v>53</v>
      </c>
      <c r="C1012" t="s">
        <v>168</v>
      </c>
      <c r="D1012" t="s">
        <v>169</v>
      </c>
      <c r="E1012" t="s">
        <v>118</v>
      </c>
      <c r="F1012" t="s">
        <v>85</v>
      </c>
      <c r="G1012">
        <v>0</v>
      </c>
    </row>
    <row r="1013" spans="1:7" x14ac:dyDescent="0.35">
      <c r="A1013">
        <v>2019</v>
      </c>
      <c r="B1013" t="s">
        <v>53</v>
      </c>
      <c r="C1013" t="s">
        <v>168</v>
      </c>
      <c r="D1013" t="s">
        <v>169</v>
      </c>
      <c r="E1013" t="s">
        <v>119</v>
      </c>
      <c r="F1013" t="s">
        <v>85</v>
      </c>
      <c r="G1013">
        <v>0</v>
      </c>
    </row>
    <row r="1014" spans="1:7" x14ac:dyDescent="0.35">
      <c r="A1014">
        <v>2019</v>
      </c>
      <c r="B1014" t="s">
        <v>36</v>
      </c>
      <c r="C1014" t="s">
        <v>168</v>
      </c>
      <c r="D1014" t="s">
        <v>169</v>
      </c>
      <c r="E1014" t="s">
        <v>76</v>
      </c>
      <c r="F1014" t="s">
        <v>85</v>
      </c>
      <c r="G1014">
        <v>0</v>
      </c>
    </row>
    <row r="1015" spans="1:7" x14ac:dyDescent="0.35">
      <c r="A1015">
        <v>2019</v>
      </c>
      <c r="B1015" t="s">
        <v>36</v>
      </c>
      <c r="C1015" t="s">
        <v>168</v>
      </c>
      <c r="D1015" t="s">
        <v>169</v>
      </c>
      <c r="E1015" t="s">
        <v>0</v>
      </c>
      <c r="F1015" t="s">
        <v>85</v>
      </c>
      <c r="G1015">
        <v>0</v>
      </c>
    </row>
    <row r="1016" spans="1:7" x14ac:dyDescent="0.35">
      <c r="A1016">
        <v>2019</v>
      </c>
      <c r="B1016" t="s">
        <v>36</v>
      </c>
      <c r="C1016" t="s">
        <v>168</v>
      </c>
      <c r="D1016" t="s">
        <v>169</v>
      </c>
      <c r="E1016" t="s">
        <v>118</v>
      </c>
      <c r="F1016" t="s">
        <v>85</v>
      </c>
      <c r="G1016">
        <v>0</v>
      </c>
    </row>
    <row r="1017" spans="1:7" x14ac:dyDescent="0.35">
      <c r="A1017">
        <v>2019</v>
      </c>
      <c r="B1017" t="s">
        <v>36</v>
      </c>
      <c r="C1017" t="s">
        <v>168</v>
      </c>
      <c r="D1017" t="s">
        <v>169</v>
      </c>
      <c r="E1017" t="s">
        <v>119</v>
      </c>
      <c r="F1017" t="s">
        <v>85</v>
      </c>
      <c r="G1017">
        <v>0</v>
      </c>
    </row>
    <row r="1018" spans="1:7" x14ac:dyDescent="0.35">
      <c r="A1018">
        <v>2019</v>
      </c>
      <c r="B1018" t="s">
        <v>37</v>
      </c>
      <c r="C1018" t="s">
        <v>168</v>
      </c>
      <c r="D1018" t="s">
        <v>169</v>
      </c>
      <c r="E1018" t="s">
        <v>76</v>
      </c>
      <c r="F1018" t="s">
        <v>85</v>
      </c>
      <c r="G1018">
        <v>0</v>
      </c>
    </row>
    <row r="1019" spans="1:7" x14ac:dyDescent="0.35">
      <c r="A1019">
        <v>2019</v>
      </c>
      <c r="B1019" t="s">
        <v>37</v>
      </c>
      <c r="C1019" t="s">
        <v>168</v>
      </c>
      <c r="D1019" t="s">
        <v>169</v>
      </c>
      <c r="E1019" t="s">
        <v>0</v>
      </c>
      <c r="F1019" t="s">
        <v>85</v>
      </c>
      <c r="G1019">
        <v>0</v>
      </c>
    </row>
    <row r="1020" spans="1:7" x14ac:dyDescent="0.35">
      <c r="A1020">
        <v>2019</v>
      </c>
      <c r="B1020" t="s">
        <v>37</v>
      </c>
      <c r="C1020" t="s">
        <v>168</v>
      </c>
      <c r="D1020" t="s">
        <v>169</v>
      </c>
      <c r="E1020" t="s">
        <v>118</v>
      </c>
      <c r="F1020" t="s">
        <v>85</v>
      </c>
      <c r="G1020">
        <v>0</v>
      </c>
    </row>
    <row r="1021" spans="1:7" x14ac:dyDescent="0.35">
      <c r="A1021">
        <v>2019</v>
      </c>
      <c r="B1021" t="s">
        <v>37</v>
      </c>
      <c r="C1021" t="s">
        <v>168</v>
      </c>
      <c r="D1021" t="s">
        <v>169</v>
      </c>
      <c r="E1021" t="s">
        <v>119</v>
      </c>
      <c r="F1021" t="s">
        <v>85</v>
      </c>
      <c r="G1021">
        <v>0</v>
      </c>
    </row>
    <row r="1022" spans="1:7" x14ac:dyDescent="0.35">
      <c r="A1022">
        <v>2019</v>
      </c>
      <c r="B1022" t="s">
        <v>38</v>
      </c>
      <c r="C1022" t="s">
        <v>168</v>
      </c>
      <c r="D1022" t="s">
        <v>169</v>
      </c>
      <c r="E1022" t="s">
        <v>76</v>
      </c>
      <c r="F1022" t="s">
        <v>85</v>
      </c>
      <c r="G1022">
        <v>0</v>
      </c>
    </row>
    <row r="1023" spans="1:7" x14ac:dyDescent="0.35">
      <c r="A1023">
        <v>2019</v>
      </c>
      <c r="B1023" t="s">
        <v>38</v>
      </c>
      <c r="C1023" t="s">
        <v>168</v>
      </c>
      <c r="D1023" t="s">
        <v>169</v>
      </c>
      <c r="E1023" t="s">
        <v>0</v>
      </c>
      <c r="F1023" t="s">
        <v>85</v>
      </c>
      <c r="G1023">
        <v>0</v>
      </c>
    </row>
    <row r="1024" spans="1:7" x14ac:dyDescent="0.35">
      <c r="A1024">
        <v>2019</v>
      </c>
      <c r="B1024" t="s">
        <v>38</v>
      </c>
      <c r="C1024" t="s">
        <v>168</v>
      </c>
      <c r="D1024" t="s">
        <v>169</v>
      </c>
      <c r="E1024" t="s">
        <v>118</v>
      </c>
      <c r="F1024" t="s">
        <v>85</v>
      </c>
      <c r="G1024">
        <v>0</v>
      </c>
    </row>
    <row r="1025" spans="1:7" x14ac:dyDescent="0.35">
      <c r="A1025">
        <v>2019</v>
      </c>
      <c r="B1025" t="s">
        <v>38</v>
      </c>
      <c r="C1025" t="s">
        <v>168</v>
      </c>
      <c r="D1025" t="s">
        <v>169</v>
      </c>
      <c r="E1025" t="s">
        <v>119</v>
      </c>
      <c r="F1025" t="s">
        <v>85</v>
      </c>
      <c r="G1025">
        <v>0</v>
      </c>
    </row>
    <row r="1026" spans="1:7" x14ac:dyDescent="0.35">
      <c r="A1026">
        <v>2019</v>
      </c>
      <c r="B1026" t="s">
        <v>39</v>
      </c>
      <c r="C1026" t="s">
        <v>168</v>
      </c>
      <c r="D1026" t="s">
        <v>169</v>
      </c>
      <c r="E1026" t="s">
        <v>76</v>
      </c>
      <c r="F1026" t="s">
        <v>85</v>
      </c>
      <c r="G1026">
        <v>0</v>
      </c>
    </row>
    <row r="1027" spans="1:7" x14ac:dyDescent="0.35">
      <c r="A1027">
        <v>2019</v>
      </c>
      <c r="B1027" t="s">
        <v>39</v>
      </c>
      <c r="C1027" t="s">
        <v>168</v>
      </c>
      <c r="D1027" t="s">
        <v>169</v>
      </c>
      <c r="E1027" t="s">
        <v>0</v>
      </c>
      <c r="F1027" t="s">
        <v>85</v>
      </c>
      <c r="G1027">
        <v>0</v>
      </c>
    </row>
    <row r="1028" spans="1:7" x14ac:dyDescent="0.35">
      <c r="A1028">
        <v>2019</v>
      </c>
      <c r="B1028" t="s">
        <v>39</v>
      </c>
      <c r="C1028" t="s">
        <v>168</v>
      </c>
      <c r="D1028" t="s">
        <v>169</v>
      </c>
      <c r="E1028" t="s">
        <v>118</v>
      </c>
      <c r="F1028" t="s">
        <v>85</v>
      </c>
      <c r="G1028">
        <v>0</v>
      </c>
    </row>
    <row r="1029" spans="1:7" x14ac:dyDescent="0.35">
      <c r="A1029">
        <v>2019</v>
      </c>
      <c r="B1029" t="s">
        <v>39</v>
      </c>
      <c r="C1029" t="s">
        <v>168</v>
      </c>
      <c r="D1029" t="s">
        <v>169</v>
      </c>
      <c r="E1029" t="s">
        <v>119</v>
      </c>
      <c r="F1029" t="s">
        <v>85</v>
      </c>
      <c r="G1029">
        <v>0</v>
      </c>
    </row>
    <row r="1030" spans="1:7" x14ac:dyDescent="0.35">
      <c r="A1030">
        <v>2019</v>
      </c>
      <c r="B1030" t="s">
        <v>56</v>
      </c>
      <c r="C1030" t="s">
        <v>168</v>
      </c>
      <c r="D1030" t="s">
        <v>169</v>
      </c>
      <c r="E1030" t="s">
        <v>76</v>
      </c>
      <c r="F1030" t="s">
        <v>85</v>
      </c>
      <c r="G1030">
        <v>0</v>
      </c>
    </row>
    <row r="1031" spans="1:7" x14ac:dyDescent="0.35">
      <c r="A1031">
        <v>2019</v>
      </c>
      <c r="B1031" t="s">
        <v>56</v>
      </c>
      <c r="C1031" t="s">
        <v>168</v>
      </c>
      <c r="D1031" t="s">
        <v>169</v>
      </c>
      <c r="E1031" t="s">
        <v>0</v>
      </c>
      <c r="F1031" t="s">
        <v>85</v>
      </c>
      <c r="G1031">
        <v>0</v>
      </c>
    </row>
    <row r="1032" spans="1:7" x14ac:dyDescent="0.35">
      <c r="A1032">
        <v>2019</v>
      </c>
      <c r="B1032" t="s">
        <v>56</v>
      </c>
      <c r="C1032" t="s">
        <v>168</v>
      </c>
      <c r="D1032" t="s">
        <v>169</v>
      </c>
      <c r="E1032" t="s">
        <v>118</v>
      </c>
      <c r="F1032" t="s">
        <v>85</v>
      </c>
      <c r="G1032">
        <v>1</v>
      </c>
    </row>
    <row r="1033" spans="1:7" x14ac:dyDescent="0.35">
      <c r="A1033">
        <v>2019</v>
      </c>
      <c r="B1033" t="s">
        <v>56</v>
      </c>
      <c r="C1033" t="s">
        <v>168</v>
      </c>
      <c r="D1033" t="s">
        <v>169</v>
      </c>
      <c r="E1033" t="s">
        <v>119</v>
      </c>
      <c r="F1033" t="s">
        <v>85</v>
      </c>
      <c r="G1033">
        <v>0</v>
      </c>
    </row>
    <row r="1034" spans="1:7" x14ac:dyDescent="0.35">
      <c r="A1034">
        <v>2019</v>
      </c>
      <c r="B1034" t="s">
        <v>40</v>
      </c>
      <c r="C1034" t="s">
        <v>168</v>
      </c>
      <c r="D1034" t="s">
        <v>169</v>
      </c>
      <c r="E1034" t="s">
        <v>76</v>
      </c>
      <c r="F1034" t="s">
        <v>85</v>
      </c>
      <c r="G1034">
        <v>0</v>
      </c>
    </row>
    <row r="1035" spans="1:7" x14ac:dyDescent="0.35">
      <c r="A1035">
        <v>2019</v>
      </c>
      <c r="B1035" t="s">
        <v>40</v>
      </c>
      <c r="C1035" t="s">
        <v>168</v>
      </c>
      <c r="D1035" t="s">
        <v>169</v>
      </c>
      <c r="E1035" t="s">
        <v>0</v>
      </c>
      <c r="F1035" t="s">
        <v>85</v>
      </c>
      <c r="G1035">
        <v>0</v>
      </c>
    </row>
    <row r="1036" spans="1:7" x14ac:dyDescent="0.35">
      <c r="A1036">
        <v>2019</v>
      </c>
      <c r="B1036" t="s">
        <v>40</v>
      </c>
      <c r="C1036" t="s">
        <v>168</v>
      </c>
      <c r="D1036" t="s">
        <v>169</v>
      </c>
      <c r="E1036" t="s">
        <v>118</v>
      </c>
      <c r="F1036" t="s">
        <v>85</v>
      </c>
      <c r="G1036">
        <v>0</v>
      </c>
    </row>
    <row r="1037" spans="1:7" x14ac:dyDescent="0.35">
      <c r="A1037">
        <v>2019</v>
      </c>
      <c r="B1037" t="s">
        <v>40</v>
      </c>
      <c r="C1037" t="s">
        <v>168</v>
      </c>
      <c r="D1037" t="s">
        <v>169</v>
      </c>
      <c r="E1037" t="s">
        <v>119</v>
      </c>
      <c r="F1037" t="s">
        <v>85</v>
      </c>
      <c r="G1037">
        <v>0</v>
      </c>
    </row>
    <row r="1038" spans="1:7" x14ac:dyDescent="0.35">
      <c r="A1038">
        <v>2019</v>
      </c>
      <c r="B1038" t="s">
        <v>42</v>
      </c>
      <c r="C1038" t="s">
        <v>168</v>
      </c>
      <c r="D1038" t="s">
        <v>169</v>
      </c>
      <c r="E1038" t="s">
        <v>76</v>
      </c>
      <c r="F1038" t="s">
        <v>85</v>
      </c>
      <c r="G1038">
        <v>0</v>
      </c>
    </row>
    <row r="1039" spans="1:7" x14ac:dyDescent="0.35">
      <c r="A1039">
        <v>2019</v>
      </c>
      <c r="B1039" t="s">
        <v>42</v>
      </c>
      <c r="C1039" t="s">
        <v>168</v>
      </c>
      <c r="D1039" t="s">
        <v>169</v>
      </c>
      <c r="E1039" t="s">
        <v>0</v>
      </c>
      <c r="F1039" t="s">
        <v>85</v>
      </c>
      <c r="G1039">
        <v>0</v>
      </c>
    </row>
    <row r="1040" spans="1:7" x14ac:dyDescent="0.35">
      <c r="A1040">
        <v>2019</v>
      </c>
      <c r="B1040" t="s">
        <v>42</v>
      </c>
      <c r="C1040" t="s">
        <v>168</v>
      </c>
      <c r="D1040" t="s">
        <v>169</v>
      </c>
      <c r="E1040" t="s">
        <v>118</v>
      </c>
      <c r="F1040" t="s">
        <v>85</v>
      </c>
      <c r="G1040">
        <v>0</v>
      </c>
    </row>
    <row r="1041" spans="1:7" x14ac:dyDescent="0.35">
      <c r="A1041">
        <v>2019</v>
      </c>
      <c r="B1041" t="s">
        <v>42</v>
      </c>
      <c r="C1041" t="s">
        <v>168</v>
      </c>
      <c r="D1041" t="s">
        <v>169</v>
      </c>
      <c r="E1041" t="s">
        <v>119</v>
      </c>
      <c r="F1041" t="s">
        <v>85</v>
      </c>
      <c r="G1041">
        <v>0</v>
      </c>
    </row>
    <row r="1042" spans="1:7" x14ac:dyDescent="0.35">
      <c r="A1042">
        <v>2019</v>
      </c>
      <c r="B1042" t="s">
        <v>43</v>
      </c>
      <c r="C1042" t="s">
        <v>168</v>
      </c>
      <c r="D1042" t="s">
        <v>169</v>
      </c>
      <c r="E1042" t="s">
        <v>76</v>
      </c>
      <c r="F1042" t="s">
        <v>85</v>
      </c>
      <c r="G1042">
        <v>0</v>
      </c>
    </row>
    <row r="1043" spans="1:7" x14ac:dyDescent="0.35">
      <c r="A1043">
        <v>2019</v>
      </c>
      <c r="B1043" t="s">
        <v>43</v>
      </c>
      <c r="C1043" t="s">
        <v>168</v>
      </c>
      <c r="D1043" t="s">
        <v>169</v>
      </c>
      <c r="E1043" t="s">
        <v>0</v>
      </c>
      <c r="F1043" t="s">
        <v>85</v>
      </c>
      <c r="G1043">
        <v>0</v>
      </c>
    </row>
    <row r="1044" spans="1:7" x14ac:dyDescent="0.35">
      <c r="A1044">
        <v>2019</v>
      </c>
      <c r="B1044" t="s">
        <v>43</v>
      </c>
      <c r="C1044" t="s">
        <v>168</v>
      </c>
      <c r="D1044" t="s">
        <v>169</v>
      </c>
      <c r="E1044" t="s">
        <v>118</v>
      </c>
      <c r="F1044" t="s">
        <v>85</v>
      </c>
      <c r="G1044">
        <v>0</v>
      </c>
    </row>
    <row r="1045" spans="1:7" x14ac:dyDescent="0.35">
      <c r="A1045">
        <v>2019</v>
      </c>
      <c r="B1045" t="s">
        <v>43</v>
      </c>
      <c r="C1045" t="s">
        <v>168</v>
      </c>
      <c r="D1045" t="s">
        <v>169</v>
      </c>
      <c r="E1045" t="s">
        <v>119</v>
      </c>
      <c r="F1045" t="s">
        <v>85</v>
      </c>
      <c r="G1045">
        <v>0</v>
      </c>
    </row>
    <row r="1046" spans="1:7" x14ac:dyDescent="0.35">
      <c r="A1046">
        <v>2019</v>
      </c>
      <c r="B1046" t="s">
        <v>44</v>
      </c>
      <c r="C1046" t="s">
        <v>168</v>
      </c>
      <c r="D1046" t="s">
        <v>169</v>
      </c>
      <c r="E1046" t="s">
        <v>76</v>
      </c>
      <c r="F1046" t="s">
        <v>85</v>
      </c>
      <c r="G1046">
        <v>0</v>
      </c>
    </row>
    <row r="1047" spans="1:7" x14ac:dyDescent="0.35">
      <c r="A1047">
        <v>2019</v>
      </c>
      <c r="B1047" t="s">
        <v>44</v>
      </c>
      <c r="C1047" t="s">
        <v>168</v>
      </c>
      <c r="D1047" t="s">
        <v>169</v>
      </c>
      <c r="E1047" t="s">
        <v>0</v>
      </c>
      <c r="F1047" t="s">
        <v>85</v>
      </c>
      <c r="G1047">
        <v>0</v>
      </c>
    </row>
    <row r="1048" spans="1:7" x14ac:dyDescent="0.35">
      <c r="A1048">
        <v>2019</v>
      </c>
      <c r="B1048" t="s">
        <v>44</v>
      </c>
      <c r="C1048" t="s">
        <v>168</v>
      </c>
      <c r="D1048" t="s">
        <v>169</v>
      </c>
      <c r="E1048" t="s">
        <v>118</v>
      </c>
      <c r="F1048" t="s">
        <v>85</v>
      </c>
      <c r="G1048">
        <v>0</v>
      </c>
    </row>
    <row r="1049" spans="1:7" x14ac:dyDescent="0.35">
      <c r="A1049">
        <v>2019</v>
      </c>
      <c r="B1049" t="s">
        <v>44</v>
      </c>
      <c r="C1049" t="s">
        <v>168</v>
      </c>
      <c r="D1049" t="s">
        <v>169</v>
      </c>
      <c r="E1049" t="s">
        <v>119</v>
      </c>
      <c r="F1049" t="s">
        <v>85</v>
      </c>
      <c r="G1049">
        <v>0</v>
      </c>
    </row>
    <row r="1050" spans="1:7" x14ac:dyDescent="0.35">
      <c r="A1050">
        <v>2019</v>
      </c>
      <c r="B1050" t="s">
        <v>45</v>
      </c>
      <c r="C1050" t="s">
        <v>168</v>
      </c>
      <c r="D1050" t="s">
        <v>169</v>
      </c>
      <c r="E1050" t="s">
        <v>76</v>
      </c>
      <c r="F1050" t="s">
        <v>85</v>
      </c>
      <c r="G1050">
        <v>0</v>
      </c>
    </row>
    <row r="1051" spans="1:7" x14ac:dyDescent="0.35">
      <c r="A1051">
        <v>2019</v>
      </c>
      <c r="B1051" t="s">
        <v>45</v>
      </c>
      <c r="C1051" t="s">
        <v>168</v>
      </c>
      <c r="D1051" t="s">
        <v>169</v>
      </c>
      <c r="E1051" t="s">
        <v>0</v>
      </c>
      <c r="F1051" t="s">
        <v>85</v>
      </c>
      <c r="G1051">
        <v>0</v>
      </c>
    </row>
    <row r="1052" spans="1:7" x14ac:dyDescent="0.35">
      <c r="A1052">
        <v>2019</v>
      </c>
      <c r="B1052" t="s">
        <v>45</v>
      </c>
      <c r="C1052" t="s">
        <v>168</v>
      </c>
      <c r="D1052" t="s">
        <v>169</v>
      </c>
      <c r="E1052" t="s">
        <v>118</v>
      </c>
      <c r="F1052" t="s">
        <v>85</v>
      </c>
      <c r="G1052">
        <v>0</v>
      </c>
    </row>
    <row r="1053" spans="1:7" x14ac:dyDescent="0.35">
      <c r="A1053">
        <v>2019</v>
      </c>
      <c r="B1053" t="s">
        <v>45</v>
      </c>
      <c r="C1053" t="s">
        <v>168</v>
      </c>
      <c r="D1053" t="s">
        <v>169</v>
      </c>
      <c r="E1053" t="s">
        <v>119</v>
      </c>
      <c r="F1053" t="s">
        <v>85</v>
      </c>
      <c r="G1053">
        <v>0</v>
      </c>
    </row>
    <row r="1054" spans="1:7" x14ac:dyDescent="0.35">
      <c r="A1054">
        <v>2019</v>
      </c>
      <c r="B1054" t="s">
        <v>46</v>
      </c>
      <c r="C1054" t="s">
        <v>168</v>
      </c>
      <c r="D1054" t="s">
        <v>169</v>
      </c>
      <c r="E1054" t="s">
        <v>76</v>
      </c>
      <c r="F1054" t="s">
        <v>85</v>
      </c>
      <c r="G1054">
        <v>0</v>
      </c>
    </row>
    <row r="1055" spans="1:7" x14ac:dyDescent="0.35">
      <c r="A1055">
        <v>2019</v>
      </c>
      <c r="B1055" t="s">
        <v>46</v>
      </c>
      <c r="C1055" t="s">
        <v>168</v>
      </c>
      <c r="D1055" t="s">
        <v>169</v>
      </c>
      <c r="E1055" t="s">
        <v>0</v>
      </c>
      <c r="F1055" t="s">
        <v>85</v>
      </c>
      <c r="G1055">
        <v>0</v>
      </c>
    </row>
    <row r="1056" spans="1:7" x14ac:dyDescent="0.35">
      <c r="A1056">
        <v>2019</v>
      </c>
      <c r="B1056" t="s">
        <v>46</v>
      </c>
      <c r="C1056" t="s">
        <v>168</v>
      </c>
      <c r="D1056" t="s">
        <v>169</v>
      </c>
      <c r="E1056" t="s">
        <v>118</v>
      </c>
      <c r="F1056" t="s">
        <v>85</v>
      </c>
      <c r="G1056">
        <v>0</v>
      </c>
    </row>
    <row r="1057" spans="1:7" x14ac:dyDescent="0.35">
      <c r="A1057">
        <v>2019</v>
      </c>
      <c r="B1057" t="s">
        <v>46</v>
      </c>
      <c r="C1057" t="s">
        <v>168</v>
      </c>
      <c r="D1057" t="s">
        <v>169</v>
      </c>
      <c r="E1057" t="s">
        <v>119</v>
      </c>
      <c r="F1057" t="s">
        <v>85</v>
      </c>
      <c r="G1057">
        <v>0</v>
      </c>
    </row>
    <row r="1058" spans="1:7" x14ac:dyDescent="0.35">
      <c r="A1058">
        <v>2019</v>
      </c>
      <c r="B1058" t="s">
        <v>47</v>
      </c>
      <c r="C1058" t="s">
        <v>168</v>
      </c>
      <c r="D1058" t="s">
        <v>169</v>
      </c>
      <c r="E1058" t="s">
        <v>76</v>
      </c>
      <c r="F1058" t="s">
        <v>85</v>
      </c>
      <c r="G1058">
        <v>0</v>
      </c>
    </row>
    <row r="1059" spans="1:7" x14ac:dyDescent="0.35">
      <c r="A1059">
        <v>2019</v>
      </c>
      <c r="B1059" t="s">
        <v>47</v>
      </c>
      <c r="C1059" t="s">
        <v>168</v>
      </c>
      <c r="D1059" t="s">
        <v>169</v>
      </c>
      <c r="E1059" t="s">
        <v>0</v>
      </c>
      <c r="F1059" t="s">
        <v>85</v>
      </c>
      <c r="G1059">
        <v>0</v>
      </c>
    </row>
    <row r="1060" spans="1:7" x14ac:dyDescent="0.35">
      <c r="A1060">
        <v>2019</v>
      </c>
      <c r="B1060" t="s">
        <v>47</v>
      </c>
      <c r="C1060" t="s">
        <v>168</v>
      </c>
      <c r="D1060" t="s">
        <v>169</v>
      </c>
      <c r="E1060" t="s">
        <v>118</v>
      </c>
      <c r="F1060" t="s">
        <v>85</v>
      </c>
      <c r="G1060">
        <v>0</v>
      </c>
    </row>
    <row r="1061" spans="1:7" x14ac:dyDescent="0.35">
      <c r="A1061">
        <v>2019</v>
      </c>
      <c r="B1061" t="s">
        <v>47</v>
      </c>
      <c r="C1061" t="s">
        <v>168</v>
      </c>
      <c r="D1061" t="s">
        <v>169</v>
      </c>
      <c r="E1061" t="s">
        <v>119</v>
      </c>
      <c r="F1061" t="s">
        <v>85</v>
      </c>
      <c r="G1061">
        <v>0</v>
      </c>
    </row>
    <row r="1062" spans="1:7" x14ac:dyDescent="0.35">
      <c r="A1062">
        <v>2019</v>
      </c>
      <c r="B1062" t="s">
        <v>57</v>
      </c>
      <c r="C1062" t="s">
        <v>168</v>
      </c>
      <c r="D1062" t="s">
        <v>169</v>
      </c>
      <c r="E1062" t="s">
        <v>76</v>
      </c>
      <c r="F1062" t="s">
        <v>85</v>
      </c>
      <c r="G1062">
        <v>0</v>
      </c>
    </row>
    <row r="1063" spans="1:7" x14ac:dyDescent="0.35">
      <c r="A1063">
        <v>2019</v>
      </c>
      <c r="B1063" t="s">
        <v>57</v>
      </c>
      <c r="C1063" t="s">
        <v>168</v>
      </c>
      <c r="D1063" t="s">
        <v>169</v>
      </c>
      <c r="E1063" t="s">
        <v>0</v>
      </c>
      <c r="F1063" t="s">
        <v>85</v>
      </c>
      <c r="G1063">
        <v>0</v>
      </c>
    </row>
    <row r="1064" spans="1:7" x14ac:dyDescent="0.35">
      <c r="A1064">
        <v>2019</v>
      </c>
      <c r="B1064" t="s">
        <v>57</v>
      </c>
      <c r="C1064" t="s">
        <v>168</v>
      </c>
      <c r="D1064" t="s">
        <v>169</v>
      </c>
      <c r="E1064" t="s">
        <v>118</v>
      </c>
      <c r="F1064" t="s">
        <v>85</v>
      </c>
      <c r="G1064">
        <v>1</v>
      </c>
    </row>
    <row r="1065" spans="1:7" x14ac:dyDescent="0.35">
      <c r="A1065">
        <v>2019</v>
      </c>
      <c r="B1065" t="s">
        <v>57</v>
      </c>
      <c r="C1065" t="s">
        <v>168</v>
      </c>
      <c r="D1065" t="s">
        <v>169</v>
      </c>
      <c r="E1065" t="s">
        <v>119</v>
      </c>
      <c r="F1065" t="s">
        <v>85</v>
      </c>
      <c r="G1065">
        <v>0</v>
      </c>
    </row>
    <row r="1066" spans="1:7" x14ac:dyDescent="0.35">
      <c r="A1066">
        <v>2019</v>
      </c>
      <c r="B1066" t="s">
        <v>48</v>
      </c>
      <c r="C1066" t="s">
        <v>168</v>
      </c>
      <c r="D1066" t="s">
        <v>169</v>
      </c>
      <c r="E1066" t="s">
        <v>76</v>
      </c>
      <c r="F1066" t="s">
        <v>85</v>
      </c>
      <c r="G1066">
        <v>0</v>
      </c>
    </row>
    <row r="1067" spans="1:7" x14ac:dyDescent="0.35">
      <c r="A1067">
        <v>2019</v>
      </c>
      <c r="B1067" t="s">
        <v>48</v>
      </c>
      <c r="C1067" t="s">
        <v>168</v>
      </c>
      <c r="D1067" t="s">
        <v>169</v>
      </c>
      <c r="E1067" t="s">
        <v>0</v>
      </c>
      <c r="F1067" t="s">
        <v>85</v>
      </c>
      <c r="G1067">
        <v>0</v>
      </c>
    </row>
    <row r="1068" spans="1:7" x14ac:dyDescent="0.35">
      <c r="A1068">
        <v>2019</v>
      </c>
      <c r="B1068" t="s">
        <v>48</v>
      </c>
      <c r="C1068" t="s">
        <v>168</v>
      </c>
      <c r="D1068" t="s">
        <v>169</v>
      </c>
      <c r="E1068" t="s">
        <v>118</v>
      </c>
      <c r="F1068" t="s">
        <v>85</v>
      </c>
      <c r="G1068">
        <v>0</v>
      </c>
    </row>
    <row r="1069" spans="1:7" x14ac:dyDescent="0.35">
      <c r="A1069">
        <v>2019</v>
      </c>
      <c r="B1069" t="s">
        <v>48</v>
      </c>
      <c r="C1069" t="s">
        <v>168</v>
      </c>
      <c r="D1069" t="s">
        <v>169</v>
      </c>
      <c r="E1069" t="s">
        <v>119</v>
      </c>
      <c r="F1069" t="s">
        <v>85</v>
      </c>
      <c r="G1069">
        <v>0</v>
      </c>
    </row>
    <row r="1070" spans="1:7" x14ac:dyDescent="0.35">
      <c r="A1070">
        <v>2019</v>
      </c>
      <c r="B1070" t="s">
        <v>49</v>
      </c>
      <c r="C1070" t="s">
        <v>168</v>
      </c>
      <c r="D1070" t="s">
        <v>169</v>
      </c>
      <c r="E1070" t="s">
        <v>76</v>
      </c>
      <c r="F1070" t="s">
        <v>85</v>
      </c>
      <c r="G1070">
        <v>0</v>
      </c>
    </row>
    <row r="1071" spans="1:7" x14ac:dyDescent="0.35">
      <c r="A1071">
        <v>2019</v>
      </c>
      <c r="B1071" t="s">
        <v>49</v>
      </c>
      <c r="C1071" t="s">
        <v>168</v>
      </c>
      <c r="D1071" t="s">
        <v>169</v>
      </c>
      <c r="E1071" t="s">
        <v>0</v>
      </c>
      <c r="F1071" t="s">
        <v>85</v>
      </c>
      <c r="G1071">
        <v>0</v>
      </c>
    </row>
    <row r="1072" spans="1:7" x14ac:dyDescent="0.35">
      <c r="A1072">
        <v>2019</v>
      </c>
      <c r="B1072" t="s">
        <v>49</v>
      </c>
      <c r="C1072" t="s">
        <v>168</v>
      </c>
      <c r="D1072" t="s">
        <v>169</v>
      </c>
      <c r="E1072" t="s">
        <v>118</v>
      </c>
      <c r="F1072" t="s">
        <v>85</v>
      </c>
      <c r="G1072">
        <v>0</v>
      </c>
    </row>
    <row r="1073" spans="1:7" x14ac:dyDescent="0.35">
      <c r="A1073">
        <v>2019</v>
      </c>
      <c r="B1073" t="s">
        <v>49</v>
      </c>
      <c r="C1073" t="s">
        <v>168</v>
      </c>
      <c r="D1073" t="s">
        <v>169</v>
      </c>
      <c r="E1073" t="s">
        <v>119</v>
      </c>
      <c r="F1073" t="s">
        <v>85</v>
      </c>
      <c r="G1073">
        <v>0</v>
      </c>
    </row>
    <row r="1074" spans="1:7" x14ac:dyDescent="0.35">
      <c r="A1074">
        <v>2019</v>
      </c>
      <c r="B1074" t="s">
        <v>50</v>
      </c>
      <c r="C1074" t="s">
        <v>168</v>
      </c>
      <c r="D1074" t="s">
        <v>169</v>
      </c>
      <c r="E1074" t="s">
        <v>76</v>
      </c>
      <c r="F1074" t="s">
        <v>85</v>
      </c>
      <c r="G1074">
        <v>0</v>
      </c>
    </row>
    <row r="1075" spans="1:7" x14ac:dyDescent="0.35">
      <c r="A1075">
        <v>2019</v>
      </c>
      <c r="B1075" t="s">
        <v>50</v>
      </c>
      <c r="C1075" t="s">
        <v>168</v>
      </c>
      <c r="D1075" t="s">
        <v>169</v>
      </c>
      <c r="E1075" t="s">
        <v>0</v>
      </c>
      <c r="F1075" t="s">
        <v>85</v>
      </c>
      <c r="G1075">
        <v>0</v>
      </c>
    </row>
    <row r="1076" spans="1:7" x14ac:dyDescent="0.35">
      <c r="A1076">
        <v>2019</v>
      </c>
      <c r="B1076" t="s">
        <v>50</v>
      </c>
      <c r="C1076" t="s">
        <v>168</v>
      </c>
      <c r="D1076" t="s">
        <v>169</v>
      </c>
      <c r="E1076" t="s">
        <v>118</v>
      </c>
      <c r="F1076" t="s">
        <v>85</v>
      </c>
      <c r="G1076">
        <v>0</v>
      </c>
    </row>
    <row r="1077" spans="1:7" x14ac:dyDescent="0.35">
      <c r="A1077">
        <v>2019</v>
      </c>
      <c r="B1077" t="s">
        <v>50</v>
      </c>
      <c r="C1077" t="s">
        <v>168</v>
      </c>
      <c r="D1077" t="s">
        <v>169</v>
      </c>
      <c r="E1077" t="s">
        <v>119</v>
      </c>
      <c r="F1077" t="s">
        <v>85</v>
      </c>
      <c r="G1077">
        <v>0</v>
      </c>
    </row>
    <row r="1078" spans="1:7" x14ac:dyDescent="0.35">
      <c r="A1078">
        <v>2019</v>
      </c>
      <c r="B1078" t="s">
        <v>58</v>
      </c>
      <c r="C1078" t="s">
        <v>168</v>
      </c>
      <c r="D1078" t="s">
        <v>169</v>
      </c>
      <c r="E1078" t="s">
        <v>76</v>
      </c>
      <c r="F1078" t="s">
        <v>85</v>
      </c>
      <c r="G1078">
        <v>0</v>
      </c>
    </row>
    <row r="1079" spans="1:7" x14ac:dyDescent="0.35">
      <c r="A1079">
        <v>2019</v>
      </c>
      <c r="B1079" t="s">
        <v>58</v>
      </c>
      <c r="C1079" t="s">
        <v>168</v>
      </c>
      <c r="D1079" t="s">
        <v>169</v>
      </c>
      <c r="E1079" t="s">
        <v>0</v>
      </c>
      <c r="F1079" t="s">
        <v>85</v>
      </c>
      <c r="G1079">
        <v>0</v>
      </c>
    </row>
    <row r="1080" spans="1:7" x14ac:dyDescent="0.35">
      <c r="A1080">
        <v>2019</v>
      </c>
      <c r="B1080" t="s">
        <v>58</v>
      </c>
      <c r="C1080" t="s">
        <v>168</v>
      </c>
      <c r="D1080" t="s">
        <v>169</v>
      </c>
      <c r="E1080" t="s">
        <v>118</v>
      </c>
      <c r="F1080" t="s">
        <v>85</v>
      </c>
      <c r="G1080">
        <v>1</v>
      </c>
    </row>
    <row r="1081" spans="1:7" x14ac:dyDescent="0.35">
      <c r="A1081">
        <v>2019</v>
      </c>
      <c r="B1081" t="s">
        <v>58</v>
      </c>
      <c r="C1081" t="s">
        <v>168</v>
      </c>
      <c r="D1081" t="s">
        <v>169</v>
      </c>
      <c r="E1081" t="s">
        <v>119</v>
      </c>
      <c r="F1081" t="s">
        <v>85</v>
      </c>
      <c r="G1081">
        <v>0</v>
      </c>
    </row>
    <row r="1082" spans="1:7" x14ac:dyDescent="0.35">
      <c r="A1082">
        <v>2019</v>
      </c>
      <c r="B1082" t="s">
        <v>51</v>
      </c>
      <c r="C1082" t="s">
        <v>168</v>
      </c>
      <c r="D1082" t="s">
        <v>169</v>
      </c>
      <c r="E1082" t="s">
        <v>76</v>
      </c>
      <c r="F1082" t="s">
        <v>85</v>
      </c>
      <c r="G1082">
        <v>0</v>
      </c>
    </row>
    <row r="1083" spans="1:7" x14ac:dyDescent="0.35">
      <c r="A1083">
        <v>2019</v>
      </c>
      <c r="B1083" t="s">
        <v>51</v>
      </c>
      <c r="C1083" t="s">
        <v>168</v>
      </c>
      <c r="D1083" t="s">
        <v>169</v>
      </c>
      <c r="E1083" t="s">
        <v>0</v>
      </c>
      <c r="F1083" t="s">
        <v>85</v>
      </c>
      <c r="G1083">
        <v>0</v>
      </c>
    </row>
    <row r="1084" spans="1:7" x14ac:dyDescent="0.35">
      <c r="A1084">
        <v>2019</v>
      </c>
      <c r="B1084" t="s">
        <v>51</v>
      </c>
      <c r="C1084" t="s">
        <v>168</v>
      </c>
      <c r="D1084" t="s">
        <v>169</v>
      </c>
      <c r="E1084" t="s">
        <v>118</v>
      </c>
      <c r="F1084" t="s">
        <v>85</v>
      </c>
      <c r="G1084">
        <v>0</v>
      </c>
    </row>
    <row r="1085" spans="1:7" x14ac:dyDescent="0.35">
      <c r="A1085">
        <v>2019</v>
      </c>
      <c r="B1085" t="s">
        <v>51</v>
      </c>
      <c r="C1085" t="s">
        <v>168</v>
      </c>
      <c r="D1085" t="s">
        <v>169</v>
      </c>
      <c r="E1085" t="s">
        <v>119</v>
      </c>
      <c r="F1085" t="s">
        <v>85</v>
      </c>
      <c r="G1085">
        <v>0</v>
      </c>
    </row>
    <row r="1086" spans="1:7" x14ac:dyDescent="0.35">
      <c r="A1086">
        <v>2019</v>
      </c>
      <c r="B1086" t="s">
        <v>59</v>
      </c>
      <c r="C1086" t="s">
        <v>168</v>
      </c>
      <c r="D1086" t="s">
        <v>169</v>
      </c>
      <c r="E1086" t="s">
        <v>76</v>
      </c>
      <c r="F1086" t="s">
        <v>85</v>
      </c>
      <c r="G1086">
        <v>0</v>
      </c>
    </row>
    <row r="1087" spans="1:7" x14ac:dyDescent="0.35">
      <c r="A1087">
        <v>2019</v>
      </c>
      <c r="B1087" t="s">
        <v>59</v>
      </c>
      <c r="C1087" t="s">
        <v>168</v>
      </c>
      <c r="D1087" t="s">
        <v>169</v>
      </c>
      <c r="E1087" t="s">
        <v>0</v>
      </c>
      <c r="F1087" t="s">
        <v>85</v>
      </c>
      <c r="G1087">
        <v>0</v>
      </c>
    </row>
    <row r="1088" spans="1:7" x14ac:dyDescent="0.35">
      <c r="A1088">
        <v>2019</v>
      </c>
      <c r="B1088" t="s">
        <v>59</v>
      </c>
      <c r="C1088" t="s">
        <v>168</v>
      </c>
      <c r="D1088" t="s">
        <v>169</v>
      </c>
      <c r="E1088" t="s">
        <v>118</v>
      </c>
      <c r="F1088" t="s">
        <v>85</v>
      </c>
      <c r="G1088">
        <v>0</v>
      </c>
    </row>
    <row r="1089" spans="1:7" x14ac:dyDescent="0.35">
      <c r="A1089">
        <v>2019</v>
      </c>
      <c r="B1089" t="s">
        <v>59</v>
      </c>
      <c r="C1089" t="s">
        <v>168</v>
      </c>
      <c r="D1089" t="s">
        <v>169</v>
      </c>
      <c r="E1089" t="s">
        <v>119</v>
      </c>
      <c r="F1089" t="s">
        <v>85</v>
      </c>
      <c r="G1089">
        <v>0</v>
      </c>
    </row>
    <row r="1090" spans="1:7" x14ac:dyDescent="0.35">
      <c r="A1090">
        <v>2019</v>
      </c>
      <c r="B1090" t="s">
        <v>52</v>
      </c>
      <c r="C1090" t="s">
        <v>168</v>
      </c>
      <c r="D1090" t="s">
        <v>169</v>
      </c>
      <c r="E1090" t="s">
        <v>76</v>
      </c>
      <c r="F1090" t="s">
        <v>85</v>
      </c>
      <c r="G1090">
        <v>0</v>
      </c>
    </row>
    <row r="1091" spans="1:7" x14ac:dyDescent="0.35">
      <c r="A1091">
        <v>2019</v>
      </c>
      <c r="B1091" t="s">
        <v>52</v>
      </c>
      <c r="C1091" t="s">
        <v>168</v>
      </c>
      <c r="D1091" t="s">
        <v>169</v>
      </c>
      <c r="E1091" t="s">
        <v>0</v>
      </c>
      <c r="F1091" t="s">
        <v>85</v>
      </c>
      <c r="G1091">
        <v>0</v>
      </c>
    </row>
    <row r="1092" spans="1:7" x14ac:dyDescent="0.35">
      <c r="A1092">
        <v>2019</v>
      </c>
      <c r="B1092" t="s">
        <v>52</v>
      </c>
      <c r="C1092" t="s">
        <v>168</v>
      </c>
      <c r="D1092" t="s">
        <v>169</v>
      </c>
      <c r="E1092" t="s">
        <v>118</v>
      </c>
      <c r="F1092" t="s">
        <v>85</v>
      </c>
      <c r="G1092">
        <v>0</v>
      </c>
    </row>
    <row r="1093" spans="1:7" x14ac:dyDescent="0.35">
      <c r="A1093">
        <v>2019</v>
      </c>
      <c r="B1093" t="s">
        <v>52</v>
      </c>
      <c r="C1093" t="s">
        <v>168</v>
      </c>
      <c r="D1093" t="s">
        <v>169</v>
      </c>
      <c r="E1093" t="s">
        <v>119</v>
      </c>
      <c r="F1093" t="s">
        <v>85</v>
      </c>
      <c r="G1093">
        <v>0</v>
      </c>
    </row>
    <row r="1094" spans="1:7" x14ac:dyDescent="0.35">
      <c r="A1094">
        <v>2019</v>
      </c>
      <c r="B1094" t="s">
        <v>60</v>
      </c>
      <c r="C1094" t="s">
        <v>168</v>
      </c>
      <c r="D1094" t="s">
        <v>169</v>
      </c>
      <c r="E1094" t="s">
        <v>76</v>
      </c>
      <c r="F1094" t="s">
        <v>85</v>
      </c>
      <c r="G1094">
        <v>0</v>
      </c>
    </row>
    <row r="1095" spans="1:7" x14ac:dyDescent="0.35">
      <c r="A1095">
        <v>2019</v>
      </c>
      <c r="B1095" t="s">
        <v>60</v>
      </c>
      <c r="C1095" t="s">
        <v>168</v>
      </c>
      <c r="D1095" t="s">
        <v>169</v>
      </c>
      <c r="E1095" t="s">
        <v>0</v>
      </c>
      <c r="F1095" t="s">
        <v>85</v>
      </c>
      <c r="G1095">
        <v>0</v>
      </c>
    </row>
    <row r="1096" spans="1:7" x14ac:dyDescent="0.35">
      <c r="A1096">
        <v>2019</v>
      </c>
      <c r="B1096" t="s">
        <v>60</v>
      </c>
      <c r="C1096" t="s">
        <v>168</v>
      </c>
      <c r="D1096" t="s">
        <v>169</v>
      </c>
      <c r="E1096" t="s">
        <v>118</v>
      </c>
      <c r="F1096" t="s">
        <v>85</v>
      </c>
      <c r="G1096">
        <v>0</v>
      </c>
    </row>
    <row r="1097" spans="1:7" x14ac:dyDescent="0.35">
      <c r="A1097">
        <v>2019</v>
      </c>
      <c r="B1097" t="s">
        <v>60</v>
      </c>
      <c r="C1097" t="s">
        <v>168</v>
      </c>
      <c r="D1097" t="s">
        <v>169</v>
      </c>
      <c r="E1097" t="s">
        <v>119</v>
      </c>
      <c r="F1097" t="s">
        <v>85</v>
      </c>
      <c r="G1097">
        <v>0</v>
      </c>
    </row>
    <row r="1098" spans="1:7" x14ac:dyDescent="0.35">
      <c r="A1098">
        <v>2019</v>
      </c>
      <c r="B1098" t="s">
        <v>26</v>
      </c>
      <c r="C1098" t="s">
        <v>168</v>
      </c>
      <c r="D1098" t="s">
        <v>169</v>
      </c>
      <c r="E1098" t="s">
        <v>76</v>
      </c>
      <c r="F1098" t="s">
        <v>85</v>
      </c>
      <c r="G1098">
        <v>0</v>
      </c>
    </row>
    <row r="1099" spans="1:7" x14ac:dyDescent="0.35">
      <c r="A1099">
        <v>2019</v>
      </c>
      <c r="B1099" t="s">
        <v>26</v>
      </c>
      <c r="C1099" t="s">
        <v>168</v>
      </c>
      <c r="D1099" t="s">
        <v>169</v>
      </c>
      <c r="E1099" t="s">
        <v>0</v>
      </c>
      <c r="F1099" t="s">
        <v>85</v>
      </c>
      <c r="G1099">
        <v>0</v>
      </c>
    </row>
    <row r="1100" spans="1:7" x14ac:dyDescent="0.35">
      <c r="A1100">
        <v>2019</v>
      </c>
      <c r="B1100" t="s">
        <v>26</v>
      </c>
      <c r="C1100" t="s">
        <v>168</v>
      </c>
      <c r="D1100" t="s">
        <v>169</v>
      </c>
      <c r="E1100" t="s">
        <v>118</v>
      </c>
      <c r="F1100" t="s">
        <v>85</v>
      </c>
      <c r="G1100">
        <v>0</v>
      </c>
    </row>
    <row r="1101" spans="1:7" x14ac:dyDescent="0.35">
      <c r="A1101">
        <v>2019</v>
      </c>
      <c r="B1101" t="s">
        <v>26</v>
      </c>
      <c r="C1101" t="s">
        <v>168</v>
      </c>
      <c r="D1101" t="s">
        <v>169</v>
      </c>
      <c r="E1101" t="s">
        <v>119</v>
      </c>
      <c r="F1101" t="s">
        <v>85</v>
      </c>
      <c r="G1101">
        <v>0</v>
      </c>
    </row>
    <row r="1102" spans="1:7" x14ac:dyDescent="0.35">
      <c r="A1102">
        <v>2019</v>
      </c>
      <c r="B1102" t="s">
        <v>41</v>
      </c>
      <c r="C1102" t="s">
        <v>168</v>
      </c>
      <c r="D1102" t="s">
        <v>169</v>
      </c>
      <c r="E1102" t="s">
        <v>76</v>
      </c>
      <c r="F1102" t="s">
        <v>85</v>
      </c>
      <c r="G1102">
        <v>0</v>
      </c>
    </row>
    <row r="1103" spans="1:7" x14ac:dyDescent="0.35">
      <c r="A1103">
        <v>2019</v>
      </c>
      <c r="B1103" t="s">
        <v>41</v>
      </c>
      <c r="C1103" t="s">
        <v>168</v>
      </c>
      <c r="D1103" t="s">
        <v>169</v>
      </c>
      <c r="E1103" t="s">
        <v>0</v>
      </c>
      <c r="F1103" t="s">
        <v>85</v>
      </c>
      <c r="G1103">
        <v>0</v>
      </c>
    </row>
    <row r="1104" spans="1:7" x14ac:dyDescent="0.35">
      <c r="A1104">
        <v>2019</v>
      </c>
      <c r="B1104" t="s">
        <v>41</v>
      </c>
      <c r="C1104" t="s">
        <v>168</v>
      </c>
      <c r="D1104" t="s">
        <v>169</v>
      </c>
      <c r="E1104" t="s">
        <v>118</v>
      </c>
      <c r="F1104" t="s">
        <v>85</v>
      </c>
      <c r="G1104">
        <v>0</v>
      </c>
    </row>
    <row r="1105" spans="1:7" x14ac:dyDescent="0.35">
      <c r="A1105">
        <v>2019</v>
      </c>
      <c r="B1105" t="s">
        <v>41</v>
      </c>
      <c r="C1105" t="s">
        <v>168</v>
      </c>
      <c r="D1105" t="s">
        <v>169</v>
      </c>
      <c r="E1105" t="s">
        <v>119</v>
      </c>
      <c r="F1105" t="s">
        <v>85</v>
      </c>
      <c r="G1105">
        <v>0</v>
      </c>
    </row>
    <row r="1106" spans="1:7" x14ac:dyDescent="0.35">
      <c r="A1106">
        <v>2019</v>
      </c>
      <c r="B1106" t="s">
        <v>15</v>
      </c>
      <c r="C1106" t="s">
        <v>168</v>
      </c>
      <c r="D1106" t="s">
        <v>169</v>
      </c>
      <c r="E1106" t="s">
        <v>76</v>
      </c>
      <c r="F1106" t="s">
        <v>11</v>
      </c>
      <c r="G1106">
        <v>0</v>
      </c>
    </row>
    <row r="1107" spans="1:7" x14ac:dyDescent="0.35">
      <c r="A1107">
        <v>2019</v>
      </c>
      <c r="B1107" t="s">
        <v>15</v>
      </c>
      <c r="C1107" t="s">
        <v>168</v>
      </c>
      <c r="D1107" t="s">
        <v>169</v>
      </c>
      <c r="E1107" t="s">
        <v>0</v>
      </c>
      <c r="F1107" t="s">
        <v>11</v>
      </c>
      <c r="G1107">
        <v>0</v>
      </c>
    </row>
    <row r="1108" spans="1:7" x14ac:dyDescent="0.35">
      <c r="A1108">
        <v>2019</v>
      </c>
      <c r="B1108" t="s">
        <v>15</v>
      </c>
      <c r="C1108" t="s">
        <v>168</v>
      </c>
      <c r="D1108" t="s">
        <v>169</v>
      </c>
      <c r="E1108" t="s">
        <v>118</v>
      </c>
      <c r="F1108" t="s">
        <v>11</v>
      </c>
      <c r="G1108">
        <v>0</v>
      </c>
    </row>
    <row r="1109" spans="1:7" x14ac:dyDescent="0.35">
      <c r="A1109">
        <v>2019</v>
      </c>
      <c r="B1109" t="s">
        <v>15</v>
      </c>
      <c r="C1109" t="s">
        <v>168</v>
      </c>
      <c r="D1109" t="s">
        <v>169</v>
      </c>
      <c r="E1109" t="s">
        <v>119</v>
      </c>
      <c r="F1109" t="s">
        <v>11</v>
      </c>
      <c r="G1109">
        <v>0</v>
      </c>
    </row>
    <row r="1110" spans="1:7" x14ac:dyDescent="0.35">
      <c r="A1110">
        <v>2019</v>
      </c>
      <c r="B1110" t="s">
        <v>16</v>
      </c>
      <c r="C1110" t="s">
        <v>168</v>
      </c>
      <c r="D1110" t="s">
        <v>169</v>
      </c>
      <c r="E1110" t="s">
        <v>76</v>
      </c>
      <c r="F1110" t="s">
        <v>11</v>
      </c>
      <c r="G1110">
        <v>0</v>
      </c>
    </row>
    <row r="1111" spans="1:7" x14ac:dyDescent="0.35">
      <c r="A1111">
        <v>2019</v>
      </c>
      <c r="B1111" t="s">
        <v>16</v>
      </c>
      <c r="C1111" t="s">
        <v>168</v>
      </c>
      <c r="D1111" t="s">
        <v>169</v>
      </c>
      <c r="E1111" t="s">
        <v>0</v>
      </c>
      <c r="F1111" t="s">
        <v>11</v>
      </c>
      <c r="G1111">
        <v>0</v>
      </c>
    </row>
    <row r="1112" spans="1:7" x14ac:dyDescent="0.35">
      <c r="A1112">
        <v>2019</v>
      </c>
      <c r="B1112" t="s">
        <v>16</v>
      </c>
      <c r="C1112" t="s">
        <v>168</v>
      </c>
      <c r="D1112" t="s">
        <v>169</v>
      </c>
      <c r="E1112" t="s">
        <v>118</v>
      </c>
      <c r="F1112" t="s">
        <v>11</v>
      </c>
      <c r="G1112">
        <v>0</v>
      </c>
    </row>
    <row r="1113" spans="1:7" x14ac:dyDescent="0.35">
      <c r="A1113">
        <v>2019</v>
      </c>
      <c r="B1113" t="s">
        <v>16</v>
      </c>
      <c r="C1113" t="s">
        <v>168</v>
      </c>
      <c r="D1113" t="s">
        <v>169</v>
      </c>
      <c r="E1113" t="s">
        <v>119</v>
      </c>
      <c r="F1113" t="s">
        <v>11</v>
      </c>
      <c r="G1113">
        <v>0</v>
      </c>
    </row>
    <row r="1114" spans="1:7" x14ac:dyDescent="0.35">
      <c r="A1114">
        <v>2019</v>
      </c>
      <c r="B1114" t="s">
        <v>17</v>
      </c>
      <c r="C1114" t="s">
        <v>168</v>
      </c>
      <c r="D1114" t="s">
        <v>169</v>
      </c>
      <c r="E1114" t="s">
        <v>76</v>
      </c>
      <c r="F1114" t="s">
        <v>11</v>
      </c>
      <c r="G1114">
        <v>0</v>
      </c>
    </row>
    <row r="1115" spans="1:7" x14ac:dyDescent="0.35">
      <c r="A1115">
        <v>2019</v>
      </c>
      <c r="B1115" t="s">
        <v>17</v>
      </c>
      <c r="C1115" t="s">
        <v>168</v>
      </c>
      <c r="D1115" t="s">
        <v>169</v>
      </c>
      <c r="E1115" t="s">
        <v>0</v>
      </c>
      <c r="F1115" t="s">
        <v>11</v>
      </c>
      <c r="G1115">
        <v>0</v>
      </c>
    </row>
    <row r="1116" spans="1:7" x14ac:dyDescent="0.35">
      <c r="A1116">
        <v>2019</v>
      </c>
      <c r="B1116" t="s">
        <v>17</v>
      </c>
      <c r="C1116" t="s">
        <v>168</v>
      </c>
      <c r="D1116" t="s">
        <v>169</v>
      </c>
      <c r="E1116" t="s">
        <v>118</v>
      </c>
      <c r="F1116" t="s">
        <v>11</v>
      </c>
      <c r="G1116">
        <v>0</v>
      </c>
    </row>
    <row r="1117" spans="1:7" x14ac:dyDescent="0.35">
      <c r="A1117">
        <v>2019</v>
      </c>
      <c r="B1117" t="s">
        <v>17</v>
      </c>
      <c r="C1117" t="s">
        <v>168</v>
      </c>
      <c r="D1117" t="s">
        <v>169</v>
      </c>
      <c r="E1117" t="s">
        <v>119</v>
      </c>
      <c r="F1117" t="s">
        <v>11</v>
      </c>
      <c r="G1117">
        <v>0</v>
      </c>
    </row>
    <row r="1118" spans="1:7" x14ac:dyDescent="0.35">
      <c r="A1118">
        <v>2019</v>
      </c>
      <c r="B1118" t="s">
        <v>18</v>
      </c>
      <c r="C1118" t="s">
        <v>168</v>
      </c>
      <c r="D1118" t="s">
        <v>169</v>
      </c>
      <c r="E1118" t="s">
        <v>76</v>
      </c>
      <c r="F1118" t="s">
        <v>11</v>
      </c>
      <c r="G1118">
        <v>0</v>
      </c>
    </row>
    <row r="1119" spans="1:7" x14ac:dyDescent="0.35">
      <c r="A1119">
        <v>2019</v>
      </c>
      <c r="B1119" t="s">
        <v>18</v>
      </c>
      <c r="C1119" t="s">
        <v>168</v>
      </c>
      <c r="D1119" t="s">
        <v>169</v>
      </c>
      <c r="E1119" t="s">
        <v>0</v>
      </c>
      <c r="F1119" t="s">
        <v>11</v>
      </c>
      <c r="G1119">
        <v>0</v>
      </c>
    </row>
    <row r="1120" spans="1:7" x14ac:dyDescent="0.35">
      <c r="A1120">
        <v>2019</v>
      </c>
      <c r="B1120" t="s">
        <v>18</v>
      </c>
      <c r="C1120" t="s">
        <v>168</v>
      </c>
      <c r="D1120" t="s">
        <v>169</v>
      </c>
      <c r="E1120" t="s">
        <v>118</v>
      </c>
      <c r="F1120" t="s">
        <v>11</v>
      </c>
      <c r="G1120">
        <v>0</v>
      </c>
    </row>
    <row r="1121" spans="1:7" x14ac:dyDescent="0.35">
      <c r="A1121">
        <v>2019</v>
      </c>
      <c r="B1121" t="s">
        <v>18</v>
      </c>
      <c r="C1121" t="s">
        <v>168</v>
      </c>
      <c r="D1121" t="s">
        <v>169</v>
      </c>
      <c r="E1121" t="s">
        <v>119</v>
      </c>
      <c r="F1121" t="s">
        <v>11</v>
      </c>
      <c r="G1121">
        <v>0</v>
      </c>
    </row>
    <row r="1122" spans="1:7" x14ac:dyDescent="0.35">
      <c r="A1122">
        <v>2019</v>
      </c>
      <c r="B1122" t="s">
        <v>19</v>
      </c>
      <c r="C1122" t="s">
        <v>168</v>
      </c>
      <c r="D1122" t="s">
        <v>169</v>
      </c>
      <c r="E1122" t="s">
        <v>76</v>
      </c>
      <c r="F1122" t="s">
        <v>11</v>
      </c>
      <c r="G1122">
        <v>0</v>
      </c>
    </row>
    <row r="1123" spans="1:7" x14ac:dyDescent="0.35">
      <c r="A1123">
        <v>2019</v>
      </c>
      <c r="B1123" t="s">
        <v>19</v>
      </c>
      <c r="C1123" t="s">
        <v>168</v>
      </c>
      <c r="D1123" t="s">
        <v>169</v>
      </c>
      <c r="E1123" t="s">
        <v>0</v>
      </c>
      <c r="F1123" t="s">
        <v>11</v>
      </c>
      <c r="G1123">
        <v>0</v>
      </c>
    </row>
    <row r="1124" spans="1:7" x14ac:dyDescent="0.35">
      <c r="A1124">
        <v>2019</v>
      </c>
      <c r="B1124" t="s">
        <v>19</v>
      </c>
      <c r="C1124" t="s">
        <v>168</v>
      </c>
      <c r="D1124" t="s">
        <v>169</v>
      </c>
      <c r="E1124" t="s">
        <v>118</v>
      </c>
      <c r="F1124" t="s">
        <v>11</v>
      </c>
      <c r="G1124">
        <v>0</v>
      </c>
    </row>
    <row r="1125" spans="1:7" x14ac:dyDescent="0.35">
      <c r="A1125">
        <v>2019</v>
      </c>
      <c r="B1125" t="s">
        <v>19</v>
      </c>
      <c r="C1125" t="s">
        <v>168</v>
      </c>
      <c r="D1125" t="s">
        <v>169</v>
      </c>
      <c r="E1125" t="s">
        <v>119</v>
      </c>
      <c r="F1125" t="s">
        <v>11</v>
      </c>
      <c r="G1125">
        <v>0</v>
      </c>
    </row>
    <row r="1126" spans="1:7" x14ac:dyDescent="0.35">
      <c r="A1126">
        <v>2019</v>
      </c>
      <c r="B1126" t="s">
        <v>20</v>
      </c>
      <c r="C1126" t="s">
        <v>168</v>
      </c>
      <c r="D1126" t="s">
        <v>169</v>
      </c>
      <c r="E1126" t="s">
        <v>76</v>
      </c>
      <c r="F1126" t="s">
        <v>11</v>
      </c>
      <c r="G1126">
        <v>0</v>
      </c>
    </row>
    <row r="1127" spans="1:7" x14ac:dyDescent="0.35">
      <c r="A1127">
        <v>2019</v>
      </c>
      <c r="B1127" t="s">
        <v>20</v>
      </c>
      <c r="C1127" t="s">
        <v>168</v>
      </c>
      <c r="D1127" t="s">
        <v>169</v>
      </c>
      <c r="E1127" t="s">
        <v>0</v>
      </c>
      <c r="F1127" t="s">
        <v>11</v>
      </c>
      <c r="G1127">
        <v>0</v>
      </c>
    </row>
    <row r="1128" spans="1:7" x14ac:dyDescent="0.35">
      <c r="A1128">
        <v>2019</v>
      </c>
      <c r="B1128" t="s">
        <v>20</v>
      </c>
      <c r="C1128" t="s">
        <v>168</v>
      </c>
      <c r="D1128" t="s">
        <v>169</v>
      </c>
      <c r="E1128" t="s">
        <v>118</v>
      </c>
      <c r="F1128" t="s">
        <v>11</v>
      </c>
      <c r="G1128">
        <v>0</v>
      </c>
    </row>
    <row r="1129" spans="1:7" x14ac:dyDescent="0.35">
      <c r="A1129">
        <v>2019</v>
      </c>
      <c r="B1129" t="s">
        <v>20</v>
      </c>
      <c r="C1129" t="s">
        <v>168</v>
      </c>
      <c r="D1129" t="s">
        <v>169</v>
      </c>
      <c r="E1129" t="s">
        <v>119</v>
      </c>
      <c r="F1129" t="s">
        <v>11</v>
      </c>
      <c r="G1129">
        <v>0</v>
      </c>
    </row>
    <row r="1130" spans="1:7" x14ac:dyDescent="0.35">
      <c r="A1130">
        <v>2019</v>
      </c>
      <c r="B1130" t="s">
        <v>21</v>
      </c>
      <c r="C1130" t="s">
        <v>168</v>
      </c>
      <c r="D1130" t="s">
        <v>169</v>
      </c>
      <c r="E1130" t="s">
        <v>76</v>
      </c>
      <c r="F1130" t="s">
        <v>11</v>
      </c>
      <c r="G1130">
        <v>0</v>
      </c>
    </row>
    <row r="1131" spans="1:7" x14ac:dyDescent="0.35">
      <c r="A1131">
        <v>2019</v>
      </c>
      <c r="B1131" t="s">
        <v>21</v>
      </c>
      <c r="C1131" t="s">
        <v>168</v>
      </c>
      <c r="D1131" t="s">
        <v>169</v>
      </c>
      <c r="E1131" t="s">
        <v>0</v>
      </c>
      <c r="F1131" t="s">
        <v>11</v>
      </c>
      <c r="G1131">
        <v>0</v>
      </c>
    </row>
    <row r="1132" spans="1:7" x14ac:dyDescent="0.35">
      <c r="A1132">
        <v>2019</v>
      </c>
      <c r="B1132" t="s">
        <v>21</v>
      </c>
      <c r="C1132" t="s">
        <v>168</v>
      </c>
      <c r="D1132" t="s">
        <v>169</v>
      </c>
      <c r="E1132" t="s">
        <v>118</v>
      </c>
      <c r="F1132" t="s">
        <v>11</v>
      </c>
      <c r="G1132">
        <v>0</v>
      </c>
    </row>
    <row r="1133" spans="1:7" x14ac:dyDescent="0.35">
      <c r="A1133">
        <v>2019</v>
      </c>
      <c r="B1133" t="s">
        <v>21</v>
      </c>
      <c r="C1133" t="s">
        <v>168</v>
      </c>
      <c r="D1133" t="s">
        <v>169</v>
      </c>
      <c r="E1133" t="s">
        <v>119</v>
      </c>
      <c r="F1133" t="s">
        <v>11</v>
      </c>
      <c r="G1133">
        <v>0</v>
      </c>
    </row>
    <row r="1134" spans="1:7" x14ac:dyDescent="0.35">
      <c r="A1134">
        <v>2019</v>
      </c>
      <c r="B1134" t="s">
        <v>22</v>
      </c>
      <c r="C1134" t="s">
        <v>168</v>
      </c>
      <c r="D1134" t="s">
        <v>169</v>
      </c>
      <c r="E1134" t="s">
        <v>76</v>
      </c>
      <c r="F1134" t="s">
        <v>11</v>
      </c>
      <c r="G1134">
        <v>0</v>
      </c>
    </row>
    <row r="1135" spans="1:7" x14ac:dyDescent="0.35">
      <c r="A1135">
        <v>2019</v>
      </c>
      <c r="B1135" t="s">
        <v>22</v>
      </c>
      <c r="C1135" t="s">
        <v>168</v>
      </c>
      <c r="D1135" t="s">
        <v>169</v>
      </c>
      <c r="E1135" t="s">
        <v>0</v>
      </c>
      <c r="F1135" t="s">
        <v>11</v>
      </c>
      <c r="G1135">
        <v>0</v>
      </c>
    </row>
    <row r="1136" spans="1:7" x14ac:dyDescent="0.35">
      <c r="A1136">
        <v>2019</v>
      </c>
      <c r="B1136" t="s">
        <v>22</v>
      </c>
      <c r="C1136" t="s">
        <v>168</v>
      </c>
      <c r="D1136" t="s">
        <v>169</v>
      </c>
      <c r="E1136" t="s">
        <v>118</v>
      </c>
      <c r="F1136" t="s">
        <v>11</v>
      </c>
      <c r="G1136">
        <v>0</v>
      </c>
    </row>
    <row r="1137" spans="1:7" x14ac:dyDescent="0.35">
      <c r="A1137">
        <v>2019</v>
      </c>
      <c r="B1137" t="s">
        <v>22</v>
      </c>
      <c r="C1137" t="s">
        <v>168</v>
      </c>
      <c r="D1137" t="s">
        <v>169</v>
      </c>
      <c r="E1137" t="s">
        <v>119</v>
      </c>
      <c r="F1137" t="s">
        <v>11</v>
      </c>
      <c r="G1137">
        <v>0</v>
      </c>
    </row>
    <row r="1138" spans="1:7" x14ac:dyDescent="0.35">
      <c r="A1138">
        <v>2019</v>
      </c>
      <c r="B1138" t="s">
        <v>23</v>
      </c>
      <c r="C1138" t="s">
        <v>168</v>
      </c>
      <c r="D1138" t="s">
        <v>169</v>
      </c>
      <c r="E1138" t="s">
        <v>76</v>
      </c>
      <c r="F1138" t="s">
        <v>11</v>
      </c>
      <c r="G1138">
        <v>0</v>
      </c>
    </row>
    <row r="1139" spans="1:7" x14ac:dyDescent="0.35">
      <c r="A1139">
        <v>2019</v>
      </c>
      <c r="B1139" t="s">
        <v>23</v>
      </c>
      <c r="C1139" t="s">
        <v>168</v>
      </c>
      <c r="D1139" t="s">
        <v>169</v>
      </c>
      <c r="E1139" t="s">
        <v>0</v>
      </c>
      <c r="F1139" t="s">
        <v>11</v>
      </c>
      <c r="G1139">
        <v>0</v>
      </c>
    </row>
    <row r="1140" spans="1:7" x14ac:dyDescent="0.35">
      <c r="A1140">
        <v>2019</v>
      </c>
      <c r="B1140" t="s">
        <v>23</v>
      </c>
      <c r="C1140" t="s">
        <v>168</v>
      </c>
      <c r="D1140" t="s">
        <v>169</v>
      </c>
      <c r="E1140" t="s">
        <v>118</v>
      </c>
      <c r="F1140" t="s">
        <v>11</v>
      </c>
      <c r="G1140">
        <v>0</v>
      </c>
    </row>
    <row r="1141" spans="1:7" x14ac:dyDescent="0.35">
      <c r="A1141">
        <v>2019</v>
      </c>
      <c r="B1141" t="s">
        <v>23</v>
      </c>
      <c r="C1141" t="s">
        <v>168</v>
      </c>
      <c r="D1141" t="s">
        <v>169</v>
      </c>
      <c r="E1141" t="s">
        <v>119</v>
      </c>
      <c r="F1141" t="s">
        <v>11</v>
      </c>
      <c r="G1141">
        <v>0</v>
      </c>
    </row>
    <row r="1142" spans="1:7" x14ac:dyDescent="0.35">
      <c r="A1142">
        <v>2019</v>
      </c>
      <c r="B1142" t="s">
        <v>24</v>
      </c>
      <c r="C1142" t="s">
        <v>168</v>
      </c>
      <c r="D1142" t="s">
        <v>169</v>
      </c>
      <c r="E1142" t="s">
        <v>76</v>
      </c>
      <c r="F1142" t="s">
        <v>11</v>
      </c>
      <c r="G1142">
        <v>0</v>
      </c>
    </row>
    <row r="1143" spans="1:7" x14ac:dyDescent="0.35">
      <c r="A1143">
        <v>2019</v>
      </c>
      <c r="B1143" t="s">
        <v>24</v>
      </c>
      <c r="C1143" t="s">
        <v>168</v>
      </c>
      <c r="D1143" t="s">
        <v>169</v>
      </c>
      <c r="E1143" t="s">
        <v>0</v>
      </c>
      <c r="F1143" t="s">
        <v>11</v>
      </c>
      <c r="G1143">
        <v>0</v>
      </c>
    </row>
    <row r="1144" spans="1:7" x14ac:dyDescent="0.35">
      <c r="A1144">
        <v>2019</v>
      </c>
      <c r="B1144" t="s">
        <v>24</v>
      </c>
      <c r="C1144" t="s">
        <v>168</v>
      </c>
      <c r="D1144" t="s">
        <v>169</v>
      </c>
      <c r="E1144" t="s">
        <v>118</v>
      </c>
      <c r="F1144" t="s">
        <v>11</v>
      </c>
      <c r="G1144">
        <v>0</v>
      </c>
    </row>
    <row r="1145" spans="1:7" x14ac:dyDescent="0.35">
      <c r="A1145">
        <v>2019</v>
      </c>
      <c r="B1145" t="s">
        <v>24</v>
      </c>
      <c r="C1145" t="s">
        <v>168</v>
      </c>
      <c r="D1145" t="s">
        <v>169</v>
      </c>
      <c r="E1145" t="s">
        <v>119</v>
      </c>
      <c r="F1145" t="s">
        <v>11</v>
      </c>
      <c r="G1145">
        <v>0</v>
      </c>
    </row>
    <row r="1146" spans="1:7" x14ac:dyDescent="0.35">
      <c r="A1146">
        <v>2019</v>
      </c>
      <c r="B1146" t="s">
        <v>25</v>
      </c>
      <c r="C1146" t="s">
        <v>168</v>
      </c>
      <c r="D1146" t="s">
        <v>169</v>
      </c>
      <c r="E1146" t="s">
        <v>76</v>
      </c>
      <c r="F1146" t="s">
        <v>11</v>
      </c>
      <c r="G1146">
        <v>0</v>
      </c>
    </row>
    <row r="1147" spans="1:7" x14ac:dyDescent="0.35">
      <c r="A1147">
        <v>2019</v>
      </c>
      <c r="B1147" t="s">
        <v>25</v>
      </c>
      <c r="C1147" t="s">
        <v>168</v>
      </c>
      <c r="D1147" t="s">
        <v>169</v>
      </c>
      <c r="E1147" t="s">
        <v>0</v>
      </c>
      <c r="F1147" t="s">
        <v>11</v>
      </c>
      <c r="G1147">
        <v>0</v>
      </c>
    </row>
    <row r="1148" spans="1:7" x14ac:dyDescent="0.35">
      <c r="A1148">
        <v>2019</v>
      </c>
      <c r="B1148" t="s">
        <v>25</v>
      </c>
      <c r="C1148" t="s">
        <v>168</v>
      </c>
      <c r="D1148" t="s">
        <v>169</v>
      </c>
      <c r="E1148" t="s">
        <v>118</v>
      </c>
      <c r="F1148" t="s">
        <v>11</v>
      </c>
      <c r="G1148">
        <v>0</v>
      </c>
    </row>
    <row r="1149" spans="1:7" x14ac:dyDescent="0.35">
      <c r="A1149">
        <v>2019</v>
      </c>
      <c r="B1149" t="s">
        <v>25</v>
      </c>
      <c r="C1149" t="s">
        <v>168</v>
      </c>
      <c r="D1149" t="s">
        <v>169</v>
      </c>
      <c r="E1149" t="s">
        <v>119</v>
      </c>
      <c r="F1149" t="s">
        <v>11</v>
      </c>
      <c r="G1149">
        <v>0</v>
      </c>
    </row>
    <row r="1150" spans="1:7" x14ac:dyDescent="0.35">
      <c r="A1150">
        <v>2019</v>
      </c>
      <c r="B1150" t="s">
        <v>27</v>
      </c>
      <c r="C1150" t="s">
        <v>168</v>
      </c>
      <c r="D1150" t="s">
        <v>169</v>
      </c>
      <c r="E1150" t="s">
        <v>76</v>
      </c>
      <c r="F1150" t="s">
        <v>11</v>
      </c>
      <c r="G1150">
        <v>1</v>
      </c>
    </row>
    <row r="1151" spans="1:7" x14ac:dyDescent="0.35">
      <c r="A1151">
        <v>2019</v>
      </c>
      <c r="B1151" t="s">
        <v>27</v>
      </c>
      <c r="C1151" t="s">
        <v>168</v>
      </c>
      <c r="D1151" t="s">
        <v>169</v>
      </c>
      <c r="E1151" t="s">
        <v>0</v>
      </c>
      <c r="F1151" t="s">
        <v>11</v>
      </c>
      <c r="G1151">
        <v>0</v>
      </c>
    </row>
    <row r="1152" spans="1:7" x14ac:dyDescent="0.35">
      <c r="A1152">
        <v>2019</v>
      </c>
      <c r="B1152" t="s">
        <v>27</v>
      </c>
      <c r="C1152" t="s">
        <v>168</v>
      </c>
      <c r="D1152" t="s">
        <v>169</v>
      </c>
      <c r="E1152" t="s">
        <v>118</v>
      </c>
      <c r="F1152" t="s">
        <v>11</v>
      </c>
      <c r="G1152">
        <v>0</v>
      </c>
    </row>
    <row r="1153" spans="1:7" x14ac:dyDescent="0.35">
      <c r="A1153">
        <v>2019</v>
      </c>
      <c r="B1153" t="s">
        <v>27</v>
      </c>
      <c r="C1153" t="s">
        <v>168</v>
      </c>
      <c r="D1153" t="s">
        <v>169</v>
      </c>
      <c r="E1153" t="s">
        <v>119</v>
      </c>
      <c r="F1153" t="s">
        <v>11</v>
      </c>
      <c r="G1153">
        <v>0</v>
      </c>
    </row>
    <row r="1154" spans="1:7" x14ac:dyDescent="0.35">
      <c r="A1154">
        <v>2019</v>
      </c>
      <c r="B1154" t="s">
        <v>28</v>
      </c>
      <c r="C1154" t="s">
        <v>168</v>
      </c>
      <c r="D1154" t="s">
        <v>169</v>
      </c>
      <c r="E1154" t="s">
        <v>76</v>
      </c>
      <c r="F1154" t="s">
        <v>11</v>
      </c>
      <c r="G1154">
        <v>0</v>
      </c>
    </row>
    <row r="1155" spans="1:7" x14ac:dyDescent="0.35">
      <c r="A1155">
        <v>2019</v>
      </c>
      <c r="B1155" t="s">
        <v>28</v>
      </c>
      <c r="C1155" t="s">
        <v>168</v>
      </c>
      <c r="D1155" t="s">
        <v>169</v>
      </c>
      <c r="E1155" t="s">
        <v>0</v>
      </c>
      <c r="F1155" t="s">
        <v>11</v>
      </c>
      <c r="G1155">
        <v>0</v>
      </c>
    </row>
    <row r="1156" spans="1:7" x14ac:dyDescent="0.35">
      <c r="A1156">
        <v>2019</v>
      </c>
      <c r="B1156" t="s">
        <v>28</v>
      </c>
      <c r="C1156" t="s">
        <v>168</v>
      </c>
      <c r="D1156" t="s">
        <v>169</v>
      </c>
      <c r="E1156" t="s">
        <v>118</v>
      </c>
      <c r="F1156" t="s">
        <v>11</v>
      </c>
      <c r="G1156">
        <v>0</v>
      </c>
    </row>
    <row r="1157" spans="1:7" x14ac:dyDescent="0.35">
      <c r="A1157">
        <v>2019</v>
      </c>
      <c r="B1157" t="s">
        <v>28</v>
      </c>
      <c r="C1157" t="s">
        <v>168</v>
      </c>
      <c r="D1157" t="s">
        <v>169</v>
      </c>
      <c r="E1157" t="s">
        <v>119</v>
      </c>
      <c r="F1157" t="s">
        <v>11</v>
      </c>
      <c r="G1157">
        <v>0</v>
      </c>
    </row>
    <row r="1158" spans="1:7" x14ac:dyDescent="0.35">
      <c r="A1158">
        <v>2019</v>
      </c>
      <c r="B1158" t="s">
        <v>29</v>
      </c>
      <c r="C1158" t="s">
        <v>168</v>
      </c>
      <c r="D1158" t="s">
        <v>169</v>
      </c>
      <c r="E1158" t="s">
        <v>76</v>
      </c>
      <c r="F1158" t="s">
        <v>11</v>
      </c>
      <c r="G1158">
        <v>0</v>
      </c>
    </row>
    <row r="1159" spans="1:7" x14ac:dyDescent="0.35">
      <c r="A1159">
        <v>2019</v>
      </c>
      <c r="B1159" t="s">
        <v>29</v>
      </c>
      <c r="C1159" t="s">
        <v>168</v>
      </c>
      <c r="D1159" t="s">
        <v>169</v>
      </c>
      <c r="E1159" t="s">
        <v>0</v>
      </c>
      <c r="F1159" t="s">
        <v>11</v>
      </c>
      <c r="G1159">
        <v>0</v>
      </c>
    </row>
    <row r="1160" spans="1:7" x14ac:dyDescent="0.35">
      <c r="A1160">
        <v>2019</v>
      </c>
      <c r="B1160" t="s">
        <v>29</v>
      </c>
      <c r="C1160" t="s">
        <v>168</v>
      </c>
      <c r="D1160" t="s">
        <v>169</v>
      </c>
      <c r="E1160" t="s">
        <v>118</v>
      </c>
      <c r="F1160" t="s">
        <v>11</v>
      </c>
      <c r="G1160">
        <v>0</v>
      </c>
    </row>
    <row r="1161" spans="1:7" x14ac:dyDescent="0.35">
      <c r="A1161">
        <v>2019</v>
      </c>
      <c r="B1161" t="s">
        <v>29</v>
      </c>
      <c r="C1161" t="s">
        <v>168</v>
      </c>
      <c r="D1161" t="s">
        <v>169</v>
      </c>
      <c r="E1161" t="s">
        <v>119</v>
      </c>
      <c r="F1161" t="s">
        <v>11</v>
      </c>
      <c r="G1161">
        <v>0</v>
      </c>
    </row>
    <row r="1162" spans="1:7" x14ac:dyDescent="0.35">
      <c r="A1162">
        <v>2019</v>
      </c>
      <c r="B1162" t="s">
        <v>30</v>
      </c>
      <c r="C1162" t="s">
        <v>168</v>
      </c>
      <c r="D1162" t="s">
        <v>169</v>
      </c>
      <c r="E1162" t="s">
        <v>76</v>
      </c>
      <c r="F1162" t="s">
        <v>11</v>
      </c>
      <c r="G1162">
        <v>0</v>
      </c>
    </row>
    <row r="1163" spans="1:7" x14ac:dyDescent="0.35">
      <c r="A1163">
        <v>2019</v>
      </c>
      <c r="B1163" t="s">
        <v>30</v>
      </c>
      <c r="C1163" t="s">
        <v>168</v>
      </c>
      <c r="D1163" t="s">
        <v>169</v>
      </c>
      <c r="E1163" t="s">
        <v>0</v>
      </c>
      <c r="F1163" t="s">
        <v>11</v>
      </c>
      <c r="G1163">
        <v>0</v>
      </c>
    </row>
    <row r="1164" spans="1:7" x14ac:dyDescent="0.35">
      <c r="A1164">
        <v>2019</v>
      </c>
      <c r="B1164" t="s">
        <v>30</v>
      </c>
      <c r="C1164" t="s">
        <v>168</v>
      </c>
      <c r="D1164" t="s">
        <v>169</v>
      </c>
      <c r="E1164" t="s">
        <v>118</v>
      </c>
      <c r="F1164" t="s">
        <v>11</v>
      </c>
      <c r="G1164">
        <v>0</v>
      </c>
    </row>
    <row r="1165" spans="1:7" x14ac:dyDescent="0.35">
      <c r="A1165">
        <v>2019</v>
      </c>
      <c r="B1165" t="s">
        <v>30</v>
      </c>
      <c r="C1165" t="s">
        <v>168</v>
      </c>
      <c r="D1165" t="s">
        <v>169</v>
      </c>
      <c r="E1165" t="s">
        <v>119</v>
      </c>
      <c r="F1165" t="s">
        <v>11</v>
      </c>
      <c r="G1165">
        <v>0</v>
      </c>
    </row>
    <row r="1166" spans="1:7" x14ac:dyDescent="0.35">
      <c r="A1166">
        <v>2019</v>
      </c>
      <c r="B1166" t="s">
        <v>61</v>
      </c>
      <c r="C1166" t="s">
        <v>168</v>
      </c>
      <c r="D1166" t="s">
        <v>169</v>
      </c>
      <c r="E1166" t="s">
        <v>76</v>
      </c>
      <c r="F1166" t="s">
        <v>11</v>
      </c>
      <c r="G1166">
        <v>0</v>
      </c>
    </row>
    <row r="1167" spans="1:7" x14ac:dyDescent="0.35">
      <c r="A1167">
        <v>2019</v>
      </c>
      <c r="B1167" t="s">
        <v>61</v>
      </c>
      <c r="C1167" t="s">
        <v>168</v>
      </c>
      <c r="D1167" t="s">
        <v>169</v>
      </c>
      <c r="E1167" t="s">
        <v>0</v>
      </c>
      <c r="F1167" t="s">
        <v>11</v>
      </c>
      <c r="G1167">
        <v>0</v>
      </c>
    </row>
    <row r="1168" spans="1:7" x14ac:dyDescent="0.35">
      <c r="A1168">
        <v>2019</v>
      </c>
      <c r="B1168" t="s">
        <v>61</v>
      </c>
      <c r="C1168" t="s">
        <v>168</v>
      </c>
      <c r="D1168" t="s">
        <v>169</v>
      </c>
      <c r="E1168" t="s">
        <v>118</v>
      </c>
      <c r="F1168" t="s">
        <v>11</v>
      </c>
      <c r="G1168">
        <v>0</v>
      </c>
    </row>
    <row r="1169" spans="1:7" x14ac:dyDescent="0.35">
      <c r="A1169">
        <v>2019</v>
      </c>
      <c r="B1169" t="s">
        <v>61</v>
      </c>
      <c r="C1169" t="s">
        <v>168</v>
      </c>
      <c r="D1169" t="s">
        <v>169</v>
      </c>
      <c r="E1169" t="s">
        <v>119</v>
      </c>
      <c r="F1169" t="s">
        <v>11</v>
      </c>
      <c r="G1169">
        <v>0</v>
      </c>
    </row>
    <row r="1170" spans="1:7" x14ac:dyDescent="0.35">
      <c r="A1170">
        <v>2019</v>
      </c>
      <c r="B1170" t="s">
        <v>55</v>
      </c>
      <c r="C1170" t="s">
        <v>168</v>
      </c>
      <c r="D1170" t="s">
        <v>169</v>
      </c>
      <c r="E1170" t="s">
        <v>76</v>
      </c>
      <c r="F1170" t="s">
        <v>11</v>
      </c>
      <c r="G1170">
        <v>0</v>
      </c>
    </row>
    <row r="1171" spans="1:7" x14ac:dyDescent="0.35">
      <c r="A1171">
        <v>2019</v>
      </c>
      <c r="B1171" t="s">
        <v>55</v>
      </c>
      <c r="C1171" t="s">
        <v>168</v>
      </c>
      <c r="D1171" t="s">
        <v>169</v>
      </c>
      <c r="E1171" t="s">
        <v>0</v>
      </c>
      <c r="F1171" t="s">
        <v>11</v>
      </c>
      <c r="G1171">
        <v>0</v>
      </c>
    </row>
    <row r="1172" spans="1:7" x14ac:dyDescent="0.35">
      <c r="A1172">
        <v>2019</v>
      </c>
      <c r="B1172" t="s">
        <v>55</v>
      </c>
      <c r="C1172" t="s">
        <v>168</v>
      </c>
      <c r="D1172" t="s">
        <v>169</v>
      </c>
      <c r="E1172" t="s">
        <v>118</v>
      </c>
      <c r="F1172" t="s">
        <v>11</v>
      </c>
      <c r="G1172">
        <v>0</v>
      </c>
    </row>
    <row r="1173" spans="1:7" x14ac:dyDescent="0.35">
      <c r="A1173">
        <v>2019</v>
      </c>
      <c r="B1173" t="s">
        <v>55</v>
      </c>
      <c r="C1173" t="s">
        <v>168</v>
      </c>
      <c r="D1173" t="s">
        <v>169</v>
      </c>
      <c r="E1173" t="s">
        <v>119</v>
      </c>
      <c r="F1173" t="s">
        <v>11</v>
      </c>
      <c r="G1173">
        <v>0</v>
      </c>
    </row>
    <row r="1174" spans="1:7" x14ac:dyDescent="0.35">
      <c r="A1174">
        <v>2019</v>
      </c>
      <c r="B1174" t="s">
        <v>31</v>
      </c>
      <c r="C1174" t="s">
        <v>168</v>
      </c>
      <c r="D1174" t="s">
        <v>169</v>
      </c>
      <c r="E1174" t="s">
        <v>76</v>
      </c>
      <c r="F1174" t="s">
        <v>11</v>
      </c>
      <c r="G1174">
        <v>0</v>
      </c>
    </row>
    <row r="1175" spans="1:7" x14ac:dyDescent="0.35">
      <c r="A1175">
        <v>2019</v>
      </c>
      <c r="B1175" t="s">
        <v>31</v>
      </c>
      <c r="C1175" t="s">
        <v>168</v>
      </c>
      <c r="D1175" t="s">
        <v>169</v>
      </c>
      <c r="E1175" t="s">
        <v>0</v>
      </c>
      <c r="F1175" t="s">
        <v>11</v>
      </c>
      <c r="G1175">
        <v>0</v>
      </c>
    </row>
    <row r="1176" spans="1:7" x14ac:dyDescent="0.35">
      <c r="A1176">
        <v>2019</v>
      </c>
      <c r="B1176" t="s">
        <v>31</v>
      </c>
      <c r="C1176" t="s">
        <v>168</v>
      </c>
      <c r="D1176" t="s">
        <v>169</v>
      </c>
      <c r="E1176" t="s">
        <v>118</v>
      </c>
      <c r="F1176" t="s">
        <v>11</v>
      </c>
      <c r="G1176">
        <v>0</v>
      </c>
    </row>
    <row r="1177" spans="1:7" x14ac:dyDescent="0.35">
      <c r="A1177">
        <v>2019</v>
      </c>
      <c r="B1177" t="s">
        <v>31</v>
      </c>
      <c r="C1177" t="s">
        <v>168</v>
      </c>
      <c r="D1177" t="s">
        <v>169</v>
      </c>
      <c r="E1177" t="s">
        <v>119</v>
      </c>
      <c r="F1177" t="s">
        <v>11</v>
      </c>
      <c r="G1177">
        <v>0</v>
      </c>
    </row>
    <row r="1178" spans="1:7" x14ac:dyDescent="0.35">
      <c r="A1178">
        <v>2019</v>
      </c>
      <c r="B1178" t="s">
        <v>32</v>
      </c>
      <c r="C1178" t="s">
        <v>168</v>
      </c>
      <c r="D1178" t="s">
        <v>169</v>
      </c>
      <c r="E1178" t="s">
        <v>76</v>
      </c>
      <c r="F1178" t="s">
        <v>11</v>
      </c>
      <c r="G1178">
        <v>0</v>
      </c>
    </row>
    <row r="1179" spans="1:7" x14ac:dyDescent="0.35">
      <c r="A1179">
        <v>2019</v>
      </c>
      <c r="B1179" t="s">
        <v>32</v>
      </c>
      <c r="C1179" t="s">
        <v>168</v>
      </c>
      <c r="D1179" t="s">
        <v>169</v>
      </c>
      <c r="E1179" t="s">
        <v>0</v>
      </c>
      <c r="F1179" t="s">
        <v>11</v>
      </c>
      <c r="G1179">
        <v>0</v>
      </c>
    </row>
    <row r="1180" spans="1:7" x14ac:dyDescent="0.35">
      <c r="A1180">
        <v>2019</v>
      </c>
      <c r="B1180" t="s">
        <v>32</v>
      </c>
      <c r="C1180" t="s">
        <v>168</v>
      </c>
      <c r="D1180" t="s">
        <v>169</v>
      </c>
      <c r="E1180" t="s">
        <v>118</v>
      </c>
      <c r="F1180" t="s">
        <v>11</v>
      </c>
      <c r="G1180">
        <v>0</v>
      </c>
    </row>
    <row r="1181" spans="1:7" x14ac:dyDescent="0.35">
      <c r="A1181">
        <v>2019</v>
      </c>
      <c r="B1181" t="s">
        <v>32</v>
      </c>
      <c r="C1181" t="s">
        <v>168</v>
      </c>
      <c r="D1181" t="s">
        <v>169</v>
      </c>
      <c r="E1181" t="s">
        <v>119</v>
      </c>
      <c r="F1181" t="s">
        <v>11</v>
      </c>
      <c r="G1181">
        <v>0</v>
      </c>
    </row>
    <row r="1182" spans="1:7" x14ac:dyDescent="0.35">
      <c r="A1182">
        <v>2019</v>
      </c>
      <c r="B1182" t="s">
        <v>33</v>
      </c>
      <c r="C1182" t="s">
        <v>168</v>
      </c>
      <c r="D1182" t="s">
        <v>169</v>
      </c>
      <c r="E1182" t="s">
        <v>76</v>
      </c>
      <c r="F1182" t="s">
        <v>11</v>
      </c>
      <c r="G1182">
        <v>0</v>
      </c>
    </row>
    <row r="1183" spans="1:7" x14ac:dyDescent="0.35">
      <c r="A1183">
        <v>2019</v>
      </c>
      <c r="B1183" t="s">
        <v>33</v>
      </c>
      <c r="C1183" t="s">
        <v>168</v>
      </c>
      <c r="D1183" t="s">
        <v>169</v>
      </c>
      <c r="E1183" t="s">
        <v>0</v>
      </c>
      <c r="F1183" t="s">
        <v>11</v>
      </c>
      <c r="G1183">
        <v>0</v>
      </c>
    </row>
    <row r="1184" spans="1:7" x14ac:dyDescent="0.35">
      <c r="A1184">
        <v>2019</v>
      </c>
      <c r="B1184" t="s">
        <v>33</v>
      </c>
      <c r="C1184" t="s">
        <v>168</v>
      </c>
      <c r="D1184" t="s">
        <v>169</v>
      </c>
      <c r="E1184" t="s">
        <v>118</v>
      </c>
      <c r="F1184" t="s">
        <v>11</v>
      </c>
      <c r="G1184">
        <v>0</v>
      </c>
    </row>
    <row r="1185" spans="1:7" x14ac:dyDescent="0.35">
      <c r="A1185">
        <v>2019</v>
      </c>
      <c r="B1185" t="s">
        <v>33</v>
      </c>
      <c r="C1185" t="s">
        <v>168</v>
      </c>
      <c r="D1185" t="s">
        <v>169</v>
      </c>
      <c r="E1185" t="s">
        <v>119</v>
      </c>
      <c r="F1185" t="s">
        <v>11</v>
      </c>
      <c r="G1185">
        <v>0</v>
      </c>
    </row>
    <row r="1186" spans="1:7" x14ac:dyDescent="0.35">
      <c r="A1186">
        <v>2019</v>
      </c>
      <c r="B1186" t="s">
        <v>34</v>
      </c>
      <c r="C1186" t="s">
        <v>168</v>
      </c>
      <c r="D1186" t="s">
        <v>169</v>
      </c>
      <c r="E1186" t="s">
        <v>76</v>
      </c>
      <c r="F1186" t="s">
        <v>11</v>
      </c>
      <c r="G1186">
        <v>0</v>
      </c>
    </row>
    <row r="1187" spans="1:7" x14ac:dyDescent="0.35">
      <c r="A1187">
        <v>2019</v>
      </c>
      <c r="B1187" t="s">
        <v>34</v>
      </c>
      <c r="C1187" t="s">
        <v>168</v>
      </c>
      <c r="D1187" t="s">
        <v>169</v>
      </c>
      <c r="E1187" t="s">
        <v>0</v>
      </c>
      <c r="F1187" t="s">
        <v>11</v>
      </c>
      <c r="G1187">
        <v>0</v>
      </c>
    </row>
    <row r="1188" spans="1:7" x14ac:dyDescent="0.35">
      <c r="A1188">
        <v>2019</v>
      </c>
      <c r="B1188" t="s">
        <v>34</v>
      </c>
      <c r="C1188" t="s">
        <v>168</v>
      </c>
      <c r="D1188" t="s">
        <v>169</v>
      </c>
      <c r="E1188" t="s">
        <v>118</v>
      </c>
      <c r="F1188" t="s">
        <v>11</v>
      </c>
      <c r="G1188">
        <v>0</v>
      </c>
    </row>
    <row r="1189" spans="1:7" x14ac:dyDescent="0.35">
      <c r="A1189">
        <v>2019</v>
      </c>
      <c r="B1189" t="s">
        <v>34</v>
      </c>
      <c r="C1189" t="s">
        <v>168</v>
      </c>
      <c r="D1189" t="s">
        <v>169</v>
      </c>
      <c r="E1189" t="s">
        <v>119</v>
      </c>
      <c r="F1189" t="s">
        <v>11</v>
      </c>
      <c r="G1189">
        <v>0</v>
      </c>
    </row>
    <row r="1190" spans="1:7" x14ac:dyDescent="0.35">
      <c r="A1190">
        <v>2019</v>
      </c>
      <c r="B1190" t="s">
        <v>35</v>
      </c>
      <c r="C1190" t="s">
        <v>168</v>
      </c>
      <c r="D1190" t="s">
        <v>169</v>
      </c>
      <c r="E1190" t="s">
        <v>76</v>
      </c>
      <c r="F1190" t="s">
        <v>11</v>
      </c>
      <c r="G1190">
        <v>0</v>
      </c>
    </row>
    <row r="1191" spans="1:7" x14ac:dyDescent="0.35">
      <c r="A1191">
        <v>2019</v>
      </c>
      <c r="B1191" t="s">
        <v>35</v>
      </c>
      <c r="C1191" t="s">
        <v>168</v>
      </c>
      <c r="D1191" t="s">
        <v>169</v>
      </c>
      <c r="E1191" t="s">
        <v>0</v>
      </c>
      <c r="F1191" t="s">
        <v>11</v>
      </c>
      <c r="G1191">
        <v>0</v>
      </c>
    </row>
    <row r="1192" spans="1:7" x14ac:dyDescent="0.35">
      <c r="A1192">
        <v>2019</v>
      </c>
      <c r="B1192" t="s">
        <v>35</v>
      </c>
      <c r="C1192" t="s">
        <v>168</v>
      </c>
      <c r="D1192" t="s">
        <v>169</v>
      </c>
      <c r="E1192" t="s">
        <v>118</v>
      </c>
      <c r="F1192" t="s">
        <v>11</v>
      </c>
      <c r="G1192">
        <v>0</v>
      </c>
    </row>
    <row r="1193" spans="1:7" x14ac:dyDescent="0.35">
      <c r="A1193">
        <v>2019</v>
      </c>
      <c r="B1193" t="s">
        <v>35</v>
      </c>
      <c r="C1193" t="s">
        <v>168</v>
      </c>
      <c r="D1193" t="s">
        <v>169</v>
      </c>
      <c r="E1193" t="s">
        <v>119</v>
      </c>
      <c r="F1193" t="s">
        <v>11</v>
      </c>
      <c r="G1193">
        <v>0</v>
      </c>
    </row>
    <row r="1194" spans="1:7" x14ac:dyDescent="0.35">
      <c r="A1194">
        <v>2019</v>
      </c>
      <c r="B1194" t="s">
        <v>53</v>
      </c>
      <c r="C1194" t="s">
        <v>168</v>
      </c>
      <c r="D1194" t="s">
        <v>169</v>
      </c>
      <c r="E1194" t="s">
        <v>76</v>
      </c>
      <c r="F1194" t="s">
        <v>11</v>
      </c>
      <c r="G1194">
        <v>0</v>
      </c>
    </row>
    <row r="1195" spans="1:7" x14ac:dyDescent="0.35">
      <c r="A1195">
        <v>2019</v>
      </c>
      <c r="B1195" t="s">
        <v>53</v>
      </c>
      <c r="C1195" t="s">
        <v>168</v>
      </c>
      <c r="D1195" t="s">
        <v>169</v>
      </c>
      <c r="E1195" t="s">
        <v>0</v>
      </c>
      <c r="F1195" t="s">
        <v>11</v>
      </c>
      <c r="G1195">
        <v>0</v>
      </c>
    </row>
    <row r="1196" spans="1:7" x14ac:dyDescent="0.35">
      <c r="A1196">
        <v>2019</v>
      </c>
      <c r="B1196" t="s">
        <v>53</v>
      </c>
      <c r="C1196" t="s">
        <v>168</v>
      </c>
      <c r="D1196" t="s">
        <v>169</v>
      </c>
      <c r="E1196" t="s">
        <v>118</v>
      </c>
      <c r="F1196" t="s">
        <v>11</v>
      </c>
      <c r="G1196">
        <v>0</v>
      </c>
    </row>
    <row r="1197" spans="1:7" x14ac:dyDescent="0.35">
      <c r="A1197">
        <v>2019</v>
      </c>
      <c r="B1197" t="s">
        <v>53</v>
      </c>
      <c r="C1197" t="s">
        <v>168</v>
      </c>
      <c r="D1197" t="s">
        <v>169</v>
      </c>
      <c r="E1197" t="s">
        <v>119</v>
      </c>
      <c r="F1197" t="s">
        <v>11</v>
      </c>
      <c r="G1197">
        <v>0</v>
      </c>
    </row>
    <row r="1198" spans="1:7" x14ac:dyDescent="0.35">
      <c r="A1198">
        <v>2019</v>
      </c>
      <c r="B1198" t="s">
        <v>36</v>
      </c>
      <c r="C1198" t="s">
        <v>168</v>
      </c>
      <c r="D1198" t="s">
        <v>169</v>
      </c>
      <c r="E1198" t="s">
        <v>76</v>
      </c>
      <c r="F1198" t="s">
        <v>11</v>
      </c>
      <c r="G1198">
        <v>0</v>
      </c>
    </row>
    <row r="1199" spans="1:7" x14ac:dyDescent="0.35">
      <c r="A1199">
        <v>2019</v>
      </c>
      <c r="B1199" t="s">
        <v>36</v>
      </c>
      <c r="C1199" t="s">
        <v>168</v>
      </c>
      <c r="D1199" t="s">
        <v>169</v>
      </c>
      <c r="E1199" t="s">
        <v>0</v>
      </c>
      <c r="F1199" t="s">
        <v>11</v>
      </c>
      <c r="G1199">
        <v>0</v>
      </c>
    </row>
    <row r="1200" spans="1:7" x14ac:dyDescent="0.35">
      <c r="A1200">
        <v>2019</v>
      </c>
      <c r="B1200" t="s">
        <v>36</v>
      </c>
      <c r="C1200" t="s">
        <v>168</v>
      </c>
      <c r="D1200" t="s">
        <v>169</v>
      </c>
      <c r="E1200" t="s">
        <v>118</v>
      </c>
      <c r="F1200" t="s">
        <v>11</v>
      </c>
      <c r="G1200">
        <v>0</v>
      </c>
    </row>
    <row r="1201" spans="1:7" x14ac:dyDescent="0.35">
      <c r="A1201">
        <v>2019</v>
      </c>
      <c r="B1201" t="s">
        <v>36</v>
      </c>
      <c r="C1201" t="s">
        <v>168</v>
      </c>
      <c r="D1201" t="s">
        <v>169</v>
      </c>
      <c r="E1201" t="s">
        <v>119</v>
      </c>
      <c r="F1201" t="s">
        <v>11</v>
      </c>
      <c r="G1201">
        <v>0</v>
      </c>
    </row>
    <row r="1202" spans="1:7" x14ac:dyDescent="0.35">
      <c r="A1202">
        <v>2019</v>
      </c>
      <c r="B1202" t="s">
        <v>37</v>
      </c>
      <c r="C1202" t="s">
        <v>168</v>
      </c>
      <c r="D1202" t="s">
        <v>169</v>
      </c>
      <c r="E1202" t="s">
        <v>76</v>
      </c>
      <c r="F1202" t="s">
        <v>11</v>
      </c>
      <c r="G1202">
        <v>0</v>
      </c>
    </row>
    <row r="1203" spans="1:7" x14ac:dyDescent="0.35">
      <c r="A1203">
        <v>2019</v>
      </c>
      <c r="B1203" t="s">
        <v>37</v>
      </c>
      <c r="C1203" t="s">
        <v>168</v>
      </c>
      <c r="D1203" t="s">
        <v>169</v>
      </c>
      <c r="E1203" t="s">
        <v>0</v>
      </c>
      <c r="F1203" t="s">
        <v>11</v>
      </c>
      <c r="G1203">
        <v>0</v>
      </c>
    </row>
    <row r="1204" spans="1:7" x14ac:dyDescent="0.35">
      <c r="A1204">
        <v>2019</v>
      </c>
      <c r="B1204" t="s">
        <v>37</v>
      </c>
      <c r="C1204" t="s">
        <v>168</v>
      </c>
      <c r="D1204" t="s">
        <v>169</v>
      </c>
      <c r="E1204" t="s">
        <v>118</v>
      </c>
      <c r="F1204" t="s">
        <v>11</v>
      </c>
      <c r="G1204">
        <v>0</v>
      </c>
    </row>
    <row r="1205" spans="1:7" x14ac:dyDescent="0.35">
      <c r="A1205">
        <v>2019</v>
      </c>
      <c r="B1205" t="s">
        <v>37</v>
      </c>
      <c r="C1205" t="s">
        <v>168</v>
      </c>
      <c r="D1205" t="s">
        <v>169</v>
      </c>
      <c r="E1205" t="s">
        <v>119</v>
      </c>
      <c r="F1205" t="s">
        <v>11</v>
      </c>
      <c r="G1205">
        <v>0</v>
      </c>
    </row>
    <row r="1206" spans="1:7" x14ac:dyDescent="0.35">
      <c r="A1206">
        <v>2019</v>
      </c>
      <c r="B1206" t="s">
        <v>38</v>
      </c>
      <c r="C1206" t="s">
        <v>168</v>
      </c>
      <c r="D1206" t="s">
        <v>169</v>
      </c>
      <c r="E1206" t="s">
        <v>76</v>
      </c>
      <c r="F1206" t="s">
        <v>11</v>
      </c>
      <c r="G1206">
        <v>0</v>
      </c>
    </row>
    <row r="1207" spans="1:7" x14ac:dyDescent="0.35">
      <c r="A1207">
        <v>2019</v>
      </c>
      <c r="B1207" t="s">
        <v>38</v>
      </c>
      <c r="C1207" t="s">
        <v>168</v>
      </c>
      <c r="D1207" t="s">
        <v>169</v>
      </c>
      <c r="E1207" t="s">
        <v>0</v>
      </c>
      <c r="F1207" t="s">
        <v>11</v>
      </c>
      <c r="G1207">
        <v>0</v>
      </c>
    </row>
    <row r="1208" spans="1:7" x14ac:dyDescent="0.35">
      <c r="A1208">
        <v>2019</v>
      </c>
      <c r="B1208" t="s">
        <v>38</v>
      </c>
      <c r="C1208" t="s">
        <v>168</v>
      </c>
      <c r="D1208" t="s">
        <v>169</v>
      </c>
      <c r="E1208" t="s">
        <v>118</v>
      </c>
      <c r="F1208" t="s">
        <v>11</v>
      </c>
      <c r="G1208">
        <v>0</v>
      </c>
    </row>
    <row r="1209" spans="1:7" x14ac:dyDescent="0.35">
      <c r="A1209">
        <v>2019</v>
      </c>
      <c r="B1209" t="s">
        <v>38</v>
      </c>
      <c r="C1209" t="s">
        <v>168</v>
      </c>
      <c r="D1209" t="s">
        <v>169</v>
      </c>
      <c r="E1209" t="s">
        <v>119</v>
      </c>
      <c r="F1209" t="s">
        <v>11</v>
      </c>
      <c r="G1209">
        <v>0</v>
      </c>
    </row>
    <row r="1210" spans="1:7" x14ac:dyDescent="0.35">
      <c r="A1210">
        <v>2019</v>
      </c>
      <c r="B1210" t="s">
        <v>39</v>
      </c>
      <c r="C1210" t="s">
        <v>168</v>
      </c>
      <c r="D1210" t="s">
        <v>169</v>
      </c>
      <c r="E1210" t="s">
        <v>76</v>
      </c>
      <c r="F1210" t="s">
        <v>11</v>
      </c>
      <c r="G1210">
        <v>0</v>
      </c>
    </row>
    <row r="1211" spans="1:7" x14ac:dyDescent="0.35">
      <c r="A1211">
        <v>2019</v>
      </c>
      <c r="B1211" t="s">
        <v>39</v>
      </c>
      <c r="C1211" t="s">
        <v>168</v>
      </c>
      <c r="D1211" t="s">
        <v>169</v>
      </c>
      <c r="E1211" t="s">
        <v>0</v>
      </c>
      <c r="F1211" t="s">
        <v>11</v>
      </c>
      <c r="G1211">
        <v>0</v>
      </c>
    </row>
    <row r="1212" spans="1:7" x14ac:dyDescent="0.35">
      <c r="A1212">
        <v>2019</v>
      </c>
      <c r="B1212" t="s">
        <v>39</v>
      </c>
      <c r="C1212" t="s">
        <v>168</v>
      </c>
      <c r="D1212" t="s">
        <v>169</v>
      </c>
      <c r="E1212" t="s">
        <v>118</v>
      </c>
      <c r="F1212" t="s">
        <v>11</v>
      </c>
      <c r="G1212">
        <v>0</v>
      </c>
    </row>
    <row r="1213" spans="1:7" x14ac:dyDescent="0.35">
      <c r="A1213">
        <v>2019</v>
      </c>
      <c r="B1213" t="s">
        <v>39</v>
      </c>
      <c r="C1213" t="s">
        <v>168</v>
      </c>
      <c r="D1213" t="s">
        <v>169</v>
      </c>
      <c r="E1213" t="s">
        <v>119</v>
      </c>
      <c r="F1213" t="s">
        <v>11</v>
      </c>
      <c r="G1213">
        <v>0</v>
      </c>
    </row>
    <row r="1214" spans="1:7" x14ac:dyDescent="0.35">
      <c r="A1214">
        <v>2019</v>
      </c>
      <c r="B1214" t="s">
        <v>56</v>
      </c>
      <c r="C1214" t="s">
        <v>168</v>
      </c>
      <c r="D1214" t="s">
        <v>169</v>
      </c>
      <c r="E1214" t="s">
        <v>76</v>
      </c>
      <c r="F1214" t="s">
        <v>11</v>
      </c>
      <c r="G1214">
        <v>0</v>
      </c>
    </row>
    <row r="1215" spans="1:7" x14ac:dyDescent="0.35">
      <c r="A1215">
        <v>2019</v>
      </c>
      <c r="B1215" t="s">
        <v>56</v>
      </c>
      <c r="C1215" t="s">
        <v>168</v>
      </c>
      <c r="D1215" t="s">
        <v>169</v>
      </c>
      <c r="E1215" t="s">
        <v>0</v>
      </c>
      <c r="F1215" t="s">
        <v>11</v>
      </c>
      <c r="G1215">
        <v>0</v>
      </c>
    </row>
    <row r="1216" spans="1:7" x14ac:dyDescent="0.35">
      <c r="A1216">
        <v>2019</v>
      </c>
      <c r="B1216" t="s">
        <v>56</v>
      </c>
      <c r="C1216" t="s">
        <v>168</v>
      </c>
      <c r="D1216" t="s">
        <v>169</v>
      </c>
      <c r="E1216" t="s">
        <v>118</v>
      </c>
      <c r="F1216" t="s">
        <v>11</v>
      </c>
      <c r="G1216">
        <v>0</v>
      </c>
    </row>
    <row r="1217" spans="1:7" x14ac:dyDescent="0.35">
      <c r="A1217">
        <v>2019</v>
      </c>
      <c r="B1217" t="s">
        <v>56</v>
      </c>
      <c r="C1217" t="s">
        <v>168</v>
      </c>
      <c r="D1217" t="s">
        <v>169</v>
      </c>
      <c r="E1217" t="s">
        <v>119</v>
      </c>
      <c r="F1217" t="s">
        <v>11</v>
      </c>
      <c r="G1217">
        <v>0</v>
      </c>
    </row>
    <row r="1218" spans="1:7" x14ac:dyDescent="0.35">
      <c r="A1218">
        <v>2019</v>
      </c>
      <c r="B1218" t="s">
        <v>40</v>
      </c>
      <c r="C1218" t="s">
        <v>168</v>
      </c>
      <c r="D1218" t="s">
        <v>169</v>
      </c>
      <c r="E1218" t="s">
        <v>76</v>
      </c>
      <c r="F1218" t="s">
        <v>11</v>
      </c>
      <c r="G1218">
        <v>0</v>
      </c>
    </row>
    <row r="1219" spans="1:7" x14ac:dyDescent="0.35">
      <c r="A1219">
        <v>2019</v>
      </c>
      <c r="B1219" t="s">
        <v>40</v>
      </c>
      <c r="C1219" t="s">
        <v>168</v>
      </c>
      <c r="D1219" t="s">
        <v>169</v>
      </c>
      <c r="E1219" t="s">
        <v>0</v>
      </c>
      <c r="F1219" t="s">
        <v>11</v>
      </c>
      <c r="G1219">
        <v>0</v>
      </c>
    </row>
    <row r="1220" spans="1:7" x14ac:dyDescent="0.35">
      <c r="A1220">
        <v>2019</v>
      </c>
      <c r="B1220" t="s">
        <v>40</v>
      </c>
      <c r="C1220" t="s">
        <v>168</v>
      </c>
      <c r="D1220" t="s">
        <v>169</v>
      </c>
      <c r="E1220" t="s">
        <v>118</v>
      </c>
      <c r="F1220" t="s">
        <v>11</v>
      </c>
      <c r="G1220">
        <v>0</v>
      </c>
    </row>
    <row r="1221" spans="1:7" x14ac:dyDescent="0.35">
      <c r="A1221">
        <v>2019</v>
      </c>
      <c r="B1221" t="s">
        <v>40</v>
      </c>
      <c r="C1221" t="s">
        <v>168</v>
      </c>
      <c r="D1221" t="s">
        <v>169</v>
      </c>
      <c r="E1221" t="s">
        <v>119</v>
      </c>
      <c r="F1221" t="s">
        <v>11</v>
      </c>
      <c r="G1221">
        <v>0</v>
      </c>
    </row>
    <row r="1222" spans="1:7" x14ac:dyDescent="0.35">
      <c r="A1222">
        <v>2019</v>
      </c>
      <c r="B1222" t="s">
        <v>42</v>
      </c>
      <c r="C1222" t="s">
        <v>168</v>
      </c>
      <c r="D1222" t="s">
        <v>169</v>
      </c>
      <c r="E1222" t="s">
        <v>76</v>
      </c>
      <c r="F1222" t="s">
        <v>11</v>
      </c>
      <c r="G1222">
        <v>0</v>
      </c>
    </row>
    <row r="1223" spans="1:7" x14ac:dyDescent="0.35">
      <c r="A1223">
        <v>2019</v>
      </c>
      <c r="B1223" t="s">
        <v>42</v>
      </c>
      <c r="C1223" t="s">
        <v>168</v>
      </c>
      <c r="D1223" t="s">
        <v>169</v>
      </c>
      <c r="E1223" t="s">
        <v>0</v>
      </c>
      <c r="F1223" t="s">
        <v>11</v>
      </c>
      <c r="G1223">
        <v>0</v>
      </c>
    </row>
    <row r="1224" spans="1:7" x14ac:dyDescent="0.35">
      <c r="A1224">
        <v>2019</v>
      </c>
      <c r="B1224" t="s">
        <v>42</v>
      </c>
      <c r="C1224" t="s">
        <v>168</v>
      </c>
      <c r="D1224" t="s">
        <v>169</v>
      </c>
      <c r="E1224" t="s">
        <v>118</v>
      </c>
      <c r="F1224" t="s">
        <v>11</v>
      </c>
      <c r="G1224">
        <v>10</v>
      </c>
    </row>
    <row r="1225" spans="1:7" x14ac:dyDescent="0.35">
      <c r="A1225">
        <v>2019</v>
      </c>
      <c r="B1225" t="s">
        <v>42</v>
      </c>
      <c r="C1225" t="s">
        <v>168</v>
      </c>
      <c r="D1225" t="s">
        <v>169</v>
      </c>
      <c r="E1225" t="s">
        <v>119</v>
      </c>
      <c r="F1225" t="s">
        <v>11</v>
      </c>
      <c r="G1225">
        <v>0</v>
      </c>
    </row>
    <row r="1226" spans="1:7" x14ac:dyDescent="0.35">
      <c r="A1226">
        <v>2019</v>
      </c>
      <c r="B1226" t="s">
        <v>43</v>
      </c>
      <c r="C1226" t="s">
        <v>168</v>
      </c>
      <c r="D1226" t="s">
        <v>169</v>
      </c>
      <c r="E1226" t="s">
        <v>76</v>
      </c>
      <c r="F1226" t="s">
        <v>11</v>
      </c>
      <c r="G1226">
        <v>0</v>
      </c>
    </row>
    <row r="1227" spans="1:7" x14ac:dyDescent="0.35">
      <c r="A1227">
        <v>2019</v>
      </c>
      <c r="B1227" t="s">
        <v>43</v>
      </c>
      <c r="C1227" t="s">
        <v>168</v>
      </c>
      <c r="D1227" t="s">
        <v>169</v>
      </c>
      <c r="E1227" t="s">
        <v>0</v>
      </c>
      <c r="F1227" t="s">
        <v>11</v>
      </c>
      <c r="G1227">
        <v>0</v>
      </c>
    </row>
    <row r="1228" spans="1:7" x14ac:dyDescent="0.35">
      <c r="A1228">
        <v>2019</v>
      </c>
      <c r="B1228" t="s">
        <v>43</v>
      </c>
      <c r="C1228" t="s">
        <v>168</v>
      </c>
      <c r="D1228" t="s">
        <v>169</v>
      </c>
      <c r="E1228" t="s">
        <v>118</v>
      </c>
      <c r="F1228" t="s">
        <v>11</v>
      </c>
      <c r="G1228">
        <v>0</v>
      </c>
    </row>
    <row r="1229" spans="1:7" x14ac:dyDescent="0.35">
      <c r="A1229">
        <v>2019</v>
      </c>
      <c r="B1229" t="s">
        <v>43</v>
      </c>
      <c r="C1229" t="s">
        <v>168</v>
      </c>
      <c r="D1229" t="s">
        <v>169</v>
      </c>
      <c r="E1229" t="s">
        <v>119</v>
      </c>
      <c r="F1229" t="s">
        <v>11</v>
      </c>
      <c r="G1229">
        <v>0</v>
      </c>
    </row>
    <row r="1230" spans="1:7" x14ac:dyDescent="0.35">
      <c r="A1230">
        <v>2019</v>
      </c>
      <c r="B1230" t="s">
        <v>44</v>
      </c>
      <c r="C1230" t="s">
        <v>168</v>
      </c>
      <c r="D1230" t="s">
        <v>169</v>
      </c>
      <c r="E1230" t="s">
        <v>76</v>
      </c>
      <c r="F1230" t="s">
        <v>11</v>
      </c>
      <c r="G1230">
        <v>0</v>
      </c>
    </row>
    <row r="1231" spans="1:7" x14ac:dyDescent="0.35">
      <c r="A1231">
        <v>2019</v>
      </c>
      <c r="B1231" t="s">
        <v>44</v>
      </c>
      <c r="C1231" t="s">
        <v>168</v>
      </c>
      <c r="D1231" t="s">
        <v>169</v>
      </c>
      <c r="E1231" t="s">
        <v>0</v>
      </c>
      <c r="F1231" t="s">
        <v>11</v>
      </c>
      <c r="G1231">
        <v>0</v>
      </c>
    </row>
    <row r="1232" spans="1:7" x14ac:dyDescent="0.35">
      <c r="A1232">
        <v>2019</v>
      </c>
      <c r="B1232" t="s">
        <v>44</v>
      </c>
      <c r="C1232" t="s">
        <v>168</v>
      </c>
      <c r="D1232" t="s">
        <v>169</v>
      </c>
      <c r="E1232" t="s">
        <v>118</v>
      </c>
      <c r="F1232" t="s">
        <v>11</v>
      </c>
      <c r="G1232">
        <v>0</v>
      </c>
    </row>
    <row r="1233" spans="1:7" x14ac:dyDescent="0.35">
      <c r="A1233">
        <v>2019</v>
      </c>
      <c r="B1233" t="s">
        <v>44</v>
      </c>
      <c r="C1233" t="s">
        <v>168</v>
      </c>
      <c r="D1233" t="s">
        <v>169</v>
      </c>
      <c r="E1233" t="s">
        <v>119</v>
      </c>
      <c r="F1233" t="s">
        <v>11</v>
      </c>
      <c r="G1233">
        <v>0</v>
      </c>
    </row>
    <row r="1234" spans="1:7" x14ac:dyDescent="0.35">
      <c r="A1234">
        <v>2019</v>
      </c>
      <c r="B1234" t="s">
        <v>45</v>
      </c>
      <c r="C1234" t="s">
        <v>168</v>
      </c>
      <c r="D1234" t="s">
        <v>169</v>
      </c>
      <c r="E1234" t="s">
        <v>76</v>
      </c>
      <c r="F1234" t="s">
        <v>11</v>
      </c>
      <c r="G1234">
        <v>0</v>
      </c>
    </row>
    <row r="1235" spans="1:7" x14ac:dyDescent="0.35">
      <c r="A1235">
        <v>2019</v>
      </c>
      <c r="B1235" t="s">
        <v>45</v>
      </c>
      <c r="C1235" t="s">
        <v>168</v>
      </c>
      <c r="D1235" t="s">
        <v>169</v>
      </c>
      <c r="E1235" t="s">
        <v>0</v>
      </c>
      <c r="F1235" t="s">
        <v>11</v>
      </c>
      <c r="G1235">
        <v>0</v>
      </c>
    </row>
    <row r="1236" spans="1:7" x14ac:dyDescent="0.35">
      <c r="A1236">
        <v>2019</v>
      </c>
      <c r="B1236" t="s">
        <v>45</v>
      </c>
      <c r="C1236" t="s">
        <v>168</v>
      </c>
      <c r="D1236" t="s">
        <v>169</v>
      </c>
      <c r="E1236" t="s">
        <v>118</v>
      </c>
      <c r="F1236" t="s">
        <v>11</v>
      </c>
      <c r="G1236">
        <v>0</v>
      </c>
    </row>
    <row r="1237" spans="1:7" x14ac:dyDescent="0.35">
      <c r="A1237">
        <v>2019</v>
      </c>
      <c r="B1237" t="s">
        <v>45</v>
      </c>
      <c r="C1237" t="s">
        <v>168</v>
      </c>
      <c r="D1237" t="s">
        <v>169</v>
      </c>
      <c r="E1237" t="s">
        <v>119</v>
      </c>
      <c r="F1237" t="s">
        <v>11</v>
      </c>
      <c r="G1237">
        <v>0</v>
      </c>
    </row>
    <row r="1238" spans="1:7" x14ac:dyDescent="0.35">
      <c r="A1238">
        <v>2019</v>
      </c>
      <c r="B1238" t="s">
        <v>46</v>
      </c>
      <c r="C1238" t="s">
        <v>168</v>
      </c>
      <c r="D1238" t="s">
        <v>169</v>
      </c>
      <c r="E1238" t="s">
        <v>76</v>
      </c>
      <c r="F1238" t="s">
        <v>11</v>
      </c>
      <c r="G1238">
        <v>0</v>
      </c>
    </row>
    <row r="1239" spans="1:7" x14ac:dyDescent="0.35">
      <c r="A1239">
        <v>2019</v>
      </c>
      <c r="B1239" t="s">
        <v>46</v>
      </c>
      <c r="C1239" t="s">
        <v>168</v>
      </c>
      <c r="D1239" t="s">
        <v>169</v>
      </c>
      <c r="E1239" t="s">
        <v>0</v>
      </c>
      <c r="F1239" t="s">
        <v>11</v>
      </c>
      <c r="G1239">
        <v>0</v>
      </c>
    </row>
    <row r="1240" spans="1:7" x14ac:dyDescent="0.35">
      <c r="A1240">
        <v>2019</v>
      </c>
      <c r="B1240" t="s">
        <v>46</v>
      </c>
      <c r="C1240" t="s">
        <v>168</v>
      </c>
      <c r="D1240" t="s">
        <v>169</v>
      </c>
      <c r="E1240" t="s">
        <v>118</v>
      </c>
      <c r="F1240" t="s">
        <v>11</v>
      </c>
      <c r="G1240">
        <v>0</v>
      </c>
    </row>
    <row r="1241" spans="1:7" x14ac:dyDescent="0.35">
      <c r="A1241">
        <v>2019</v>
      </c>
      <c r="B1241" t="s">
        <v>46</v>
      </c>
      <c r="C1241" t="s">
        <v>168</v>
      </c>
      <c r="D1241" t="s">
        <v>169</v>
      </c>
      <c r="E1241" t="s">
        <v>119</v>
      </c>
      <c r="F1241" t="s">
        <v>11</v>
      </c>
      <c r="G1241">
        <v>0</v>
      </c>
    </row>
    <row r="1242" spans="1:7" x14ac:dyDescent="0.35">
      <c r="A1242">
        <v>2019</v>
      </c>
      <c r="B1242" t="s">
        <v>47</v>
      </c>
      <c r="C1242" t="s">
        <v>168</v>
      </c>
      <c r="D1242" t="s">
        <v>169</v>
      </c>
      <c r="E1242" t="s">
        <v>76</v>
      </c>
      <c r="F1242" t="s">
        <v>11</v>
      </c>
      <c r="G1242">
        <v>0</v>
      </c>
    </row>
    <row r="1243" spans="1:7" x14ac:dyDescent="0.35">
      <c r="A1243">
        <v>2019</v>
      </c>
      <c r="B1243" t="s">
        <v>47</v>
      </c>
      <c r="C1243" t="s">
        <v>168</v>
      </c>
      <c r="D1243" t="s">
        <v>169</v>
      </c>
      <c r="E1243" t="s">
        <v>0</v>
      </c>
      <c r="F1243" t="s">
        <v>11</v>
      </c>
      <c r="G1243">
        <v>0</v>
      </c>
    </row>
    <row r="1244" spans="1:7" x14ac:dyDescent="0.35">
      <c r="A1244">
        <v>2019</v>
      </c>
      <c r="B1244" t="s">
        <v>47</v>
      </c>
      <c r="C1244" t="s">
        <v>168</v>
      </c>
      <c r="D1244" t="s">
        <v>169</v>
      </c>
      <c r="E1244" t="s">
        <v>118</v>
      </c>
      <c r="F1244" t="s">
        <v>11</v>
      </c>
      <c r="G1244">
        <v>0</v>
      </c>
    </row>
    <row r="1245" spans="1:7" x14ac:dyDescent="0.35">
      <c r="A1245">
        <v>2019</v>
      </c>
      <c r="B1245" t="s">
        <v>47</v>
      </c>
      <c r="C1245" t="s">
        <v>168</v>
      </c>
      <c r="D1245" t="s">
        <v>169</v>
      </c>
      <c r="E1245" t="s">
        <v>119</v>
      </c>
      <c r="F1245" t="s">
        <v>11</v>
      </c>
      <c r="G1245">
        <v>0</v>
      </c>
    </row>
    <row r="1246" spans="1:7" x14ac:dyDescent="0.35">
      <c r="A1246">
        <v>2019</v>
      </c>
      <c r="B1246" t="s">
        <v>57</v>
      </c>
      <c r="C1246" t="s">
        <v>168</v>
      </c>
      <c r="D1246" t="s">
        <v>169</v>
      </c>
      <c r="E1246" t="s">
        <v>76</v>
      </c>
      <c r="F1246" t="s">
        <v>11</v>
      </c>
      <c r="G1246">
        <v>0</v>
      </c>
    </row>
    <row r="1247" spans="1:7" x14ac:dyDescent="0.35">
      <c r="A1247">
        <v>2019</v>
      </c>
      <c r="B1247" t="s">
        <v>57</v>
      </c>
      <c r="C1247" t="s">
        <v>168</v>
      </c>
      <c r="D1247" t="s">
        <v>169</v>
      </c>
      <c r="E1247" t="s">
        <v>0</v>
      </c>
      <c r="F1247" t="s">
        <v>11</v>
      </c>
      <c r="G1247">
        <v>0</v>
      </c>
    </row>
    <row r="1248" spans="1:7" x14ac:dyDescent="0.35">
      <c r="A1248">
        <v>2019</v>
      </c>
      <c r="B1248" t="s">
        <v>57</v>
      </c>
      <c r="C1248" t="s">
        <v>168</v>
      </c>
      <c r="D1248" t="s">
        <v>169</v>
      </c>
      <c r="E1248" t="s">
        <v>118</v>
      </c>
      <c r="F1248" t="s">
        <v>11</v>
      </c>
      <c r="G1248">
        <v>0</v>
      </c>
    </row>
    <row r="1249" spans="1:7" x14ac:dyDescent="0.35">
      <c r="A1249">
        <v>2019</v>
      </c>
      <c r="B1249" t="s">
        <v>57</v>
      </c>
      <c r="C1249" t="s">
        <v>168</v>
      </c>
      <c r="D1249" t="s">
        <v>169</v>
      </c>
      <c r="E1249" t="s">
        <v>119</v>
      </c>
      <c r="F1249" t="s">
        <v>11</v>
      </c>
      <c r="G1249">
        <v>0</v>
      </c>
    </row>
    <row r="1250" spans="1:7" x14ac:dyDescent="0.35">
      <c r="A1250">
        <v>2019</v>
      </c>
      <c r="B1250" t="s">
        <v>48</v>
      </c>
      <c r="C1250" t="s">
        <v>168</v>
      </c>
      <c r="D1250" t="s">
        <v>169</v>
      </c>
      <c r="E1250" t="s">
        <v>76</v>
      </c>
      <c r="F1250" t="s">
        <v>11</v>
      </c>
      <c r="G1250">
        <v>0</v>
      </c>
    </row>
    <row r="1251" spans="1:7" x14ac:dyDescent="0.35">
      <c r="A1251">
        <v>2019</v>
      </c>
      <c r="B1251" t="s">
        <v>48</v>
      </c>
      <c r="C1251" t="s">
        <v>168</v>
      </c>
      <c r="D1251" t="s">
        <v>169</v>
      </c>
      <c r="E1251" t="s">
        <v>0</v>
      </c>
      <c r="F1251" t="s">
        <v>11</v>
      </c>
      <c r="G1251">
        <v>0</v>
      </c>
    </row>
    <row r="1252" spans="1:7" x14ac:dyDescent="0.35">
      <c r="A1252">
        <v>2019</v>
      </c>
      <c r="B1252" t="s">
        <v>48</v>
      </c>
      <c r="C1252" t="s">
        <v>168</v>
      </c>
      <c r="D1252" t="s">
        <v>169</v>
      </c>
      <c r="E1252" t="s">
        <v>118</v>
      </c>
      <c r="F1252" t="s">
        <v>11</v>
      </c>
      <c r="G1252">
        <v>0</v>
      </c>
    </row>
    <row r="1253" spans="1:7" x14ac:dyDescent="0.35">
      <c r="A1253">
        <v>2019</v>
      </c>
      <c r="B1253" t="s">
        <v>48</v>
      </c>
      <c r="C1253" t="s">
        <v>168</v>
      </c>
      <c r="D1253" t="s">
        <v>169</v>
      </c>
      <c r="E1253" t="s">
        <v>119</v>
      </c>
      <c r="F1253" t="s">
        <v>11</v>
      </c>
      <c r="G1253">
        <v>0</v>
      </c>
    </row>
    <row r="1254" spans="1:7" x14ac:dyDescent="0.35">
      <c r="A1254">
        <v>2019</v>
      </c>
      <c r="B1254" t="s">
        <v>49</v>
      </c>
      <c r="C1254" t="s">
        <v>168</v>
      </c>
      <c r="D1254" t="s">
        <v>169</v>
      </c>
      <c r="E1254" t="s">
        <v>76</v>
      </c>
      <c r="F1254" t="s">
        <v>11</v>
      </c>
      <c r="G1254">
        <v>0</v>
      </c>
    </row>
    <row r="1255" spans="1:7" x14ac:dyDescent="0.35">
      <c r="A1255">
        <v>2019</v>
      </c>
      <c r="B1255" t="s">
        <v>49</v>
      </c>
      <c r="C1255" t="s">
        <v>168</v>
      </c>
      <c r="D1255" t="s">
        <v>169</v>
      </c>
      <c r="E1255" t="s">
        <v>0</v>
      </c>
      <c r="F1255" t="s">
        <v>11</v>
      </c>
      <c r="G1255">
        <v>0</v>
      </c>
    </row>
    <row r="1256" spans="1:7" x14ac:dyDescent="0.35">
      <c r="A1256">
        <v>2019</v>
      </c>
      <c r="B1256" t="s">
        <v>49</v>
      </c>
      <c r="C1256" t="s">
        <v>168</v>
      </c>
      <c r="D1256" t="s">
        <v>169</v>
      </c>
      <c r="E1256" t="s">
        <v>118</v>
      </c>
      <c r="F1256" t="s">
        <v>11</v>
      </c>
      <c r="G1256">
        <v>0</v>
      </c>
    </row>
    <row r="1257" spans="1:7" x14ac:dyDescent="0.35">
      <c r="A1257">
        <v>2019</v>
      </c>
      <c r="B1257" t="s">
        <v>49</v>
      </c>
      <c r="C1257" t="s">
        <v>168</v>
      </c>
      <c r="D1257" t="s">
        <v>169</v>
      </c>
      <c r="E1257" t="s">
        <v>119</v>
      </c>
      <c r="F1257" t="s">
        <v>11</v>
      </c>
      <c r="G1257">
        <v>0</v>
      </c>
    </row>
    <row r="1258" spans="1:7" x14ac:dyDescent="0.35">
      <c r="A1258">
        <v>2019</v>
      </c>
      <c r="B1258" t="s">
        <v>50</v>
      </c>
      <c r="C1258" t="s">
        <v>168</v>
      </c>
      <c r="D1258" t="s">
        <v>169</v>
      </c>
      <c r="E1258" t="s">
        <v>76</v>
      </c>
      <c r="F1258" t="s">
        <v>11</v>
      </c>
      <c r="G1258">
        <v>0</v>
      </c>
    </row>
    <row r="1259" spans="1:7" x14ac:dyDescent="0.35">
      <c r="A1259">
        <v>2019</v>
      </c>
      <c r="B1259" t="s">
        <v>50</v>
      </c>
      <c r="C1259" t="s">
        <v>168</v>
      </c>
      <c r="D1259" t="s">
        <v>169</v>
      </c>
      <c r="E1259" t="s">
        <v>0</v>
      </c>
      <c r="F1259" t="s">
        <v>11</v>
      </c>
      <c r="G1259">
        <v>0</v>
      </c>
    </row>
    <row r="1260" spans="1:7" x14ac:dyDescent="0.35">
      <c r="A1260">
        <v>2019</v>
      </c>
      <c r="B1260" t="s">
        <v>50</v>
      </c>
      <c r="C1260" t="s">
        <v>168</v>
      </c>
      <c r="D1260" t="s">
        <v>169</v>
      </c>
      <c r="E1260" t="s">
        <v>118</v>
      </c>
      <c r="F1260" t="s">
        <v>11</v>
      </c>
      <c r="G1260">
        <v>0</v>
      </c>
    </row>
    <row r="1261" spans="1:7" x14ac:dyDescent="0.35">
      <c r="A1261">
        <v>2019</v>
      </c>
      <c r="B1261" t="s">
        <v>50</v>
      </c>
      <c r="C1261" t="s">
        <v>168</v>
      </c>
      <c r="D1261" t="s">
        <v>169</v>
      </c>
      <c r="E1261" t="s">
        <v>119</v>
      </c>
      <c r="F1261" t="s">
        <v>11</v>
      </c>
      <c r="G1261">
        <v>0</v>
      </c>
    </row>
    <row r="1262" spans="1:7" x14ac:dyDescent="0.35">
      <c r="A1262">
        <v>2019</v>
      </c>
      <c r="B1262" t="s">
        <v>58</v>
      </c>
      <c r="C1262" t="s">
        <v>168</v>
      </c>
      <c r="D1262" t="s">
        <v>169</v>
      </c>
      <c r="E1262" t="s">
        <v>76</v>
      </c>
      <c r="F1262" t="s">
        <v>11</v>
      </c>
      <c r="G1262">
        <v>0</v>
      </c>
    </row>
    <row r="1263" spans="1:7" x14ac:dyDescent="0.35">
      <c r="A1263">
        <v>2019</v>
      </c>
      <c r="B1263" t="s">
        <v>58</v>
      </c>
      <c r="C1263" t="s">
        <v>168</v>
      </c>
      <c r="D1263" t="s">
        <v>169</v>
      </c>
      <c r="E1263" t="s">
        <v>0</v>
      </c>
      <c r="F1263" t="s">
        <v>11</v>
      </c>
      <c r="G1263">
        <v>0</v>
      </c>
    </row>
    <row r="1264" spans="1:7" x14ac:dyDescent="0.35">
      <c r="A1264">
        <v>2019</v>
      </c>
      <c r="B1264" t="s">
        <v>58</v>
      </c>
      <c r="C1264" t="s">
        <v>168</v>
      </c>
      <c r="D1264" t="s">
        <v>169</v>
      </c>
      <c r="E1264" t="s">
        <v>118</v>
      </c>
      <c r="F1264" t="s">
        <v>11</v>
      </c>
      <c r="G1264">
        <v>0</v>
      </c>
    </row>
    <row r="1265" spans="1:7" x14ac:dyDescent="0.35">
      <c r="A1265">
        <v>2019</v>
      </c>
      <c r="B1265" t="s">
        <v>58</v>
      </c>
      <c r="C1265" t="s">
        <v>168</v>
      </c>
      <c r="D1265" t="s">
        <v>169</v>
      </c>
      <c r="E1265" t="s">
        <v>119</v>
      </c>
      <c r="F1265" t="s">
        <v>11</v>
      </c>
      <c r="G1265">
        <v>0</v>
      </c>
    </row>
    <row r="1266" spans="1:7" x14ac:dyDescent="0.35">
      <c r="A1266">
        <v>2019</v>
      </c>
      <c r="B1266" t="s">
        <v>51</v>
      </c>
      <c r="C1266" t="s">
        <v>168</v>
      </c>
      <c r="D1266" t="s">
        <v>169</v>
      </c>
      <c r="E1266" t="s">
        <v>76</v>
      </c>
      <c r="F1266" t="s">
        <v>11</v>
      </c>
      <c r="G1266">
        <v>0</v>
      </c>
    </row>
    <row r="1267" spans="1:7" x14ac:dyDescent="0.35">
      <c r="A1267">
        <v>2019</v>
      </c>
      <c r="B1267" t="s">
        <v>51</v>
      </c>
      <c r="C1267" t="s">
        <v>168</v>
      </c>
      <c r="D1267" t="s">
        <v>169</v>
      </c>
      <c r="E1267" t="s">
        <v>0</v>
      </c>
      <c r="F1267" t="s">
        <v>11</v>
      </c>
      <c r="G1267">
        <v>0</v>
      </c>
    </row>
    <row r="1268" spans="1:7" x14ac:dyDescent="0.35">
      <c r="A1268">
        <v>2019</v>
      </c>
      <c r="B1268" t="s">
        <v>51</v>
      </c>
      <c r="C1268" t="s">
        <v>168</v>
      </c>
      <c r="D1268" t="s">
        <v>169</v>
      </c>
      <c r="E1268" t="s">
        <v>118</v>
      </c>
      <c r="F1268" t="s">
        <v>11</v>
      </c>
      <c r="G1268">
        <v>0</v>
      </c>
    </row>
    <row r="1269" spans="1:7" x14ac:dyDescent="0.35">
      <c r="A1269">
        <v>2019</v>
      </c>
      <c r="B1269" t="s">
        <v>51</v>
      </c>
      <c r="C1269" t="s">
        <v>168</v>
      </c>
      <c r="D1269" t="s">
        <v>169</v>
      </c>
      <c r="E1269" t="s">
        <v>119</v>
      </c>
      <c r="F1269" t="s">
        <v>11</v>
      </c>
      <c r="G1269">
        <v>0</v>
      </c>
    </row>
    <row r="1270" spans="1:7" x14ac:dyDescent="0.35">
      <c r="A1270">
        <v>2019</v>
      </c>
      <c r="B1270" t="s">
        <v>59</v>
      </c>
      <c r="C1270" t="s">
        <v>168</v>
      </c>
      <c r="D1270" t="s">
        <v>169</v>
      </c>
      <c r="E1270" t="s">
        <v>76</v>
      </c>
      <c r="F1270" t="s">
        <v>11</v>
      </c>
      <c r="G1270">
        <v>0</v>
      </c>
    </row>
    <row r="1271" spans="1:7" x14ac:dyDescent="0.35">
      <c r="A1271">
        <v>2019</v>
      </c>
      <c r="B1271" t="s">
        <v>59</v>
      </c>
      <c r="C1271" t="s">
        <v>168</v>
      </c>
      <c r="D1271" t="s">
        <v>169</v>
      </c>
      <c r="E1271" t="s">
        <v>0</v>
      </c>
      <c r="F1271" t="s">
        <v>11</v>
      </c>
      <c r="G1271">
        <v>0</v>
      </c>
    </row>
    <row r="1272" spans="1:7" x14ac:dyDescent="0.35">
      <c r="A1272">
        <v>2019</v>
      </c>
      <c r="B1272" t="s">
        <v>59</v>
      </c>
      <c r="C1272" t="s">
        <v>168</v>
      </c>
      <c r="D1272" t="s">
        <v>169</v>
      </c>
      <c r="E1272" t="s">
        <v>118</v>
      </c>
      <c r="F1272" t="s">
        <v>11</v>
      </c>
      <c r="G1272">
        <v>0</v>
      </c>
    </row>
    <row r="1273" spans="1:7" x14ac:dyDescent="0.35">
      <c r="A1273">
        <v>2019</v>
      </c>
      <c r="B1273" t="s">
        <v>59</v>
      </c>
      <c r="C1273" t="s">
        <v>168</v>
      </c>
      <c r="D1273" t="s">
        <v>169</v>
      </c>
      <c r="E1273" t="s">
        <v>119</v>
      </c>
      <c r="F1273" t="s">
        <v>11</v>
      </c>
      <c r="G1273">
        <v>0</v>
      </c>
    </row>
    <row r="1274" spans="1:7" x14ac:dyDescent="0.35">
      <c r="A1274">
        <v>2019</v>
      </c>
      <c r="B1274" t="s">
        <v>52</v>
      </c>
      <c r="C1274" t="s">
        <v>168</v>
      </c>
      <c r="D1274" t="s">
        <v>169</v>
      </c>
      <c r="E1274" t="s">
        <v>76</v>
      </c>
      <c r="F1274" t="s">
        <v>11</v>
      </c>
      <c r="G1274">
        <v>0</v>
      </c>
    </row>
    <row r="1275" spans="1:7" x14ac:dyDescent="0.35">
      <c r="A1275">
        <v>2019</v>
      </c>
      <c r="B1275" t="s">
        <v>52</v>
      </c>
      <c r="C1275" t="s">
        <v>168</v>
      </c>
      <c r="D1275" t="s">
        <v>169</v>
      </c>
      <c r="E1275" t="s">
        <v>0</v>
      </c>
      <c r="F1275" t="s">
        <v>11</v>
      </c>
      <c r="G1275">
        <v>0</v>
      </c>
    </row>
    <row r="1276" spans="1:7" x14ac:dyDescent="0.35">
      <c r="A1276">
        <v>2019</v>
      </c>
      <c r="B1276" t="s">
        <v>52</v>
      </c>
      <c r="C1276" t="s">
        <v>168</v>
      </c>
      <c r="D1276" t="s">
        <v>169</v>
      </c>
      <c r="E1276" t="s">
        <v>118</v>
      </c>
      <c r="F1276" t="s">
        <v>11</v>
      </c>
      <c r="G1276">
        <v>0</v>
      </c>
    </row>
    <row r="1277" spans="1:7" x14ac:dyDescent="0.35">
      <c r="A1277">
        <v>2019</v>
      </c>
      <c r="B1277" t="s">
        <v>52</v>
      </c>
      <c r="C1277" t="s">
        <v>168</v>
      </c>
      <c r="D1277" t="s">
        <v>169</v>
      </c>
      <c r="E1277" t="s">
        <v>119</v>
      </c>
      <c r="F1277" t="s">
        <v>11</v>
      </c>
      <c r="G1277">
        <v>0</v>
      </c>
    </row>
    <row r="1278" spans="1:7" x14ac:dyDescent="0.35">
      <c r="A1278">
        <v>2019</v>
      </c>
      <c r="B1278" t="s">
        <v>60</v>
      </c>
      <c r="C1278" t="s">
        <v>168</v>
      </c>
      <c r="D1278" t="s">
        <v>169</v>
      </c>
      <c r="E1278" t="s">
        <v>76</v>
      </c>
      <c r="F1278" t="s">
        <v>11</v>
      </c>
      <c r="G1278">
        <v>0</v>
      </c>
    </row>
    <row r="1279" spans="1:7" x14ac:dyDescent="0.35">
      <c r="A1279">
        <v>2019</v>
      </c>
      <c r="B1279" t="s">
        <v>60</v>
      </c>
      <c r="C1279" t="s">
        <v>168</v>
      </c>
      <c r="D1279" t="s">
        <v>169</v>
      </c>
      <c r="E1279" t="s">
        <v>0</v>
      </c>
      <c r="F1279" t="s">
        <v>11</v>
      </c>
      <c r="G1279">
        <v>0</v>
      </c>
    </row>
    <row r="1280" spans="1:7" x14ac:dyDescent="0.35">
      <c r="A1280">
        <v>2019</v>
      </c>
      <c r="B1280" t="s">
        <v>60</v>
      </c>
      <c r="C1280" t="s">
        <v>168</v>
      </c>
      <c r="D1280" t="s">
        <v>169</v>
      </c>
      <c r="E1280" t="s">
        <v>118</v>
      </c>
      <c r="F1280" t="s">
        <v>11</v>
      </c>
      <c r="G1280">
        <v>0</v>
      </c>
    </row>
    <row r="1281" spans="1:7" x14ac:dyDescent="0.35">
      <c r="A1281">
        <v>2019</v>
      </c>
      <c r="B1281" t="s">
        <v>60</v>
      </c>
      <c r="C1281" t="s">
        <v>168</v>
      </c>
      <c r="D1281" t="s">
        <v>169</v>
      </c>
      <c r="E1281" t="s">
        <v>119</v>
      </c>
      <c r="F1281" t="s">
        <v>11</v>
      </c>
      <c r="G1281">
        <v>0</v>
      </c>
    </row>
    <row r="1282" spans="1:7" x14ac:dyDescent="0.35">
      <c r="A1282">
        <v>2019</v>
      </c>
      <c r="B1282" t="s">
        <v>26</v>
      </c>
      <c r="C1282" t="s">
        <v>168</v>
      </c>
      <c r="D1282" t="s">
        <v>169</v>
      </c>
      <c r="E1282" t="s">
        <v>76</v>
      </c>
      <c r="F1282" t="s">
        <v>11</v>
      </c>
      <c r="G1282">
        <v>0</v>
      </c>
    </row>
    <row r="1283" spans="1:7" x14ac:dyDescent="0.35">
      <c r="A1283">
        <v>2019</v>
      </c>
      <c r="B1283" t="s">
        <v>26</v>
      </c>
      <c r="C1283" t="s">
        <v>168</v>
      </c>
      <c r="D1283" t="s">
        <v>169</v>
      </c>
      <c r="E1283" t="s">
        <v>0</v>
      </c>
      <c r="F1283" t="s">
        <v>11</v>
      </c>
      <c r="G1283">
        <v>0</v>
      </c>
    </row>
    <row r="1284" spans="1:7" x14ac:dyDescent="0.35">
      <c r="A1284">
        <v>2019</v>
      </c>
      <c r="B1284" t="s">
        <v>26</v>
      </c>
      <c r="C1284" t="s">
        <v>168</v>
      </c>
      <c r="D1284" t="s">
        <v>169</v>
      </c>
      <c r="E1284" t="s">
        <v>118</v>
      </c>
      <c r="F1284" t="s">
        <v>11</v>
      </c>
      <c r="G1284">
        <v>0</v>
      </c>
    </row>
    <row r="1285" spans="1:7" x14ac:dyDescent="0.35">
      <c r="A1285">
        <v>2019</v>
      </c>
      <c r="B1285" t="s">
        <v>26</v>
      </c>
      <c r="C1285" t="s">
        <v>168</v>
      </c>
      <c r="D1285" t="s">
        <v>169</v>
      </c>
      <c r="E1285" t="s">
        <v>119</v>
      </c>
      <c r="F1285" t="s">
        <v>11</v>
      </c>
      <c r="G1285">
        <v>0</v>
      </c>
    </row>
    <row r="1286" spans="1:7" x14ac:dyDescent="0.35">
      <c r="A1286">
        <v>2019</v>
      </c>
      <c r="B1286" t="s">
        <v>41</v>
      </c>
      <c r="C1286" t="s">
        <v>168</v>
      </c>
      <c r="D1286" t="s">
        <v>169</v>
      </c>
      <c r="E1286" t="s">
        <v>76</v>
      </c>
      <c r="F1286" t="s">
        <v>11</v>
      </c>
      <c r="G1286">
        <v>0</v>
      </c>
    </row>
    <row r="1287" spans="1:7" x14ac:dyDescent="0.35">
      <c r="A1287">
        <v>2019</v>
      </c>
      <c r="B1287" t="s">
        <v>41</v>
      </c>
      <c r="C1287" t="s">
        <v>168</v>
      </c>
      <c r="D1287" t="s">
        <v>169</v>
      </c>
      <c r="E1287" t="s">
        <v>0</v>
      </c>
      <c r="F1287" t="s">
        <v>11</v>
      </c>
      <c r="G1287">
        <v>0</v>
      </c>
    </row>
    <row r="1288" spans="1:7" x14ac:dyDescent="0.35">
      <c r="A1288">
        <v>2019</v>
      </c>
      <c r="B1288" t="s">
        <v>41</v>
      </c>
      <c r="C1288" t="s">
        <v>168</v>
      </c>
      <c r="D1288" t="s">
        <v>169</v>
      </c>
      <c r="E1288" t="s">
        <v>118</v>
      </c>
      <c r="F1288" t="s">
        <v>11</v>
      </c>
      <c r="G1288">
        <v>0</v>
      </c>
    </row>
    <row r="1289" spans="1:7" x14ac:dyDescent="0.35">
      <c r="A1289">
        <v>2019</v>
      </c>
      <c r="B1289" t="s">
        <v>41</v>
      </c>
      <c r="C1289" t="s">
        <v>168</v>
      </c>
      <c r="D1289" t="s">
        <v>169</v>
      </c>
      <c r="E1289" t="s">
        <v>119</v>
      </c>
      <c r="F1289" t="s">
        <v>11</v>
      </c>
      <c r="G1289">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0CBF0-A395-4425-842A-A79D8213FE13}">
  <sheetPr codeName="Sheet8"/>
  <dimension ref="B2:R74"/>
  <sheetViews>
    <sheetView workbookViewId="0">
      <selection activeCell="A4" sqref="A4:L4"/>
    </sheetView>
  </sheetViews>
  <sheetFormatPr defaultColWidth="8.81640625" defaultRowHeight="13" x14ac:dyDescent="0.3"/>
  <cols>
    <col min="1" max="15" width="8.81640625" style="57"/>
    <col min="16" max="16" width="13.54296875" style="57" bestFit="1" customWidth="1"/>
    <col min="17" max="16384" width="8.81640625" style="57"/>
  </cols>
  <sheetData>
    <row r="2" spans="2:18" x14ac:dyDescent="0.3">
      <c r="B2" s="56" t="s">
        <v>101</v>
      </c>
      <c r="C2" s="57" t="s">
        <v>102</v>
      </c>
    </row>
    <row r="3" spans="2:18" ht="14.5" x14ac:dyDescent="0.35">
      <c r="B3" s="58" t="s">
        <v>103</v>
      </c>
      <c r="C3" s="57" t="s">
        <v>104</v>
      </c>
    </row>
    <row r="4" spans="2:18" ht="14.5" x14ac:dyDescent="0.35">
      <c r="B4" s="58"/>
    </row>
    <row r="6" spans="2:18" ht="14.5" x14ac:dyDescent="0.35">
      <c r="B6" s="59" t="s">
        <v>105</v>
      </c>
      <c r="D6" s="59" t="s">
        <v>106</v>
      </c>
      <c r="F6" s="59" t="s">
        <v>107</v>
      </c>
      <c r="H6" s="60">
        <f>MAX(H8:H53)</f>
        <v>46</v>
      </c>
      <c r="I6" s="59" t="s">
        <v>108</v>
      </c>
      <c r="K6" s="59" t="s">
        <v>109</v>
      </c>
      <c r="M6" s="61"/>
      <c r="N6" s="62"/>
      <c r="O6" s="63"/>
      <c r="P6" s="62"/>
      <c r="Q6" s="62"/>
      <c r="R6" s="62"/>
    </row>
    <row r="7" spans="2:18" ht="14.5" x14ac:dyDescent="0.35">
      <c r="B7" s="64" t="s">
        <v>110</v>
      </c>
      <c r="D7" s="65" t="s">
        <v>111</v>
      </c>
      <c r="F7" s="65" t="s">
        <v>112</v>
      </c>
      <c r="H7" s="60">
        <v>47</v>
      </c>
      <c r="I7" s="56" t="e">
        <f>VLOOKUP(H7,H8:I53,2,FALSE)</f>
        <v>#N/A</v>
      </c>
      <c r="K7" s="65" t="str">
        <f>CONCATENATE("_",D7,".xlsx")</f>
        <v>_2018_19.xlsx</v>
      </c>
      <c r="M7" s="66"/>
      <c r="N7" s="62"/>
      <c r="O7" s="63"/>
      <c r="P7" s="62"/>
      <c r="Q7" s="62"/>
      <c r="R7" s="62"/>
    </row>
    <row r="8" spans="2:18" ht="14.5" x14ac:dyDescent="0.35">
      <c r="D8" s="67" t="str">
        <f>CONCATENATE(LEFT(D7,4),"-",RIGHT(D7,2))</f>
        <v>2018-19</v>
      </c>
      <c r="H8" s="57">
        <v>1</v>
      </c>
      <c r="I8" s="68" t="s">
        <v>15</v>
      </c>
      <c r="M8" s="69"/>
      <c r="N8" s="62"/>
      <c r="O8" s="62"/>
      <c r="P8" s="69"/>
      <c r="Q8" s="62"/>
      <c r="R8" s="62"/>
    </row>
    <row r="9" spans="2:18" ht="14.5" x14ac:dyDescent="0.35">
      <c r="D9" s="56" t="str">
        <f>CONCATENATE(LEFT(D7,2),RIGHT(D7,2))</f>
        <v>2019</v>
      </c>
      <c r="H9" s="57">
        <v>2</v>
      </c>
      <c r="I9" s="68" t="s">
        <v>16</v>
      </c>
      <c r="M9" s="69"/>
      <c r="N9" s="62"/>
      <c r="O9" s="62"/>
      <c r="P9" s="70"/>
      <c r="Q9" s="62"/>
      <c r="R9" s="62"/>
    </row>
    <row r="10" spans="2:18" ht="14.5" x14ac:dyDescent="0.35">
      <c r="H10" s="57">
        <v>3</v>
      </c>
      <c r="I10" s="68" t="s">
        <v>17</v>
      </c>
      <c r="M10" s="70"/>
      <c r="N10" s="62"/>
      <c r="O10" s="62"/>
      <c r="P10" s="70"/>
      <c r="Q10" s="62"/>
      <c r="R10" s="62"/>
    </row>
    <row r="11" spans="2:18" ht="14.5" x14ac:dyDescent="0.35">
      <c r="H11" s="57">
        <v>4</v>
      </c>
      <c r="I11" s="68" t="s">
        <v>18</v>
      </c>
      <c r="M11" s="70"/>
      <c r="N11" s="62"/>
      <c r="O11" s="62"/>
      <c r="P11" s="70"/>
      <c r="Q11" s="62"/>
      <c r="R11" s="62"/>
    </row>
    <row r="12" spans="2:18" ht="14.5" x14ac:dyDescent="0.35">
      <c r="H12" s="57">
        <v>5</v>
      </c>
      <c r="I12" s="68" t="s">
        <v>19</v>
      </c>
      <c r="M12" s="71"/>
      <c r="P12" s="71"/>
      <c r="R12" s="71"/>
    </row>
    <row r="13" spans="2:18" ht="14.5" x14ac:dyDescent="0.35">
      <c r="H13" s="57">
        <v>6</v>
      </c>
      <c r="I13" s="68" t="s">
        <v>20</v>
      </c>
      <c r="M13" s="72" t="s">
        <v>113</v>
      </c>
      <c r="O13" s="60">
        <f>MAX(O15:O19)</f>
        <v>4</v>
      </c>
      <c r="P13" s="59" t="s">
        <v>114</v>
      </c>
      <c r="Q13" s="59" t="s">
        <v>115</v>
      </c>
      <c r="R13" s="59" t="s">
        <v>116</v>
      </c>
    </row>
    <row r="14" spans="2:18" ht="14.5" x14ac:dyDescent="0.35">
      <c r="H14" s="57">
        <v>7</v>
      </c>
      <c r="I14" s="68" t="s">
        <v>21</v>
      </c>
      <c r="M14" s="73" t="s">
        <v>117</v>
      </c>
      <c r="O14" s="60">
        <v>5</v>
      </c>
      <c r="P14" s="56" t="e">
        <f>VLOOKUP(O14,O15:P19,2,FALSE)</f>
        <v>#N/A</v>
      </c>
      <c r="Q14" s="56" t="e">
        <f>VLOOKUP(P14,P15:Q19,2,FALSE)</f>
        <v>#N/A</v>
      </c>
      <c r="R14" s="56" t="e">
        <f>VLOOKUP(Q14,Q15:R19,2,FALSE)</f>
        <v>#N/A</v>
      </c>
    </row>
    <row r="15" spans="2:18" ht="14.5" x14ac:dyDescent="0.35">
      <c r="H15" s="57">
        <v>8</v>
      </c>
      <c r="I15" s="68" t="s">
        <v>22</v>
      </c>
      <c r="M15" s="69"/>
      <c r="O15" s="57">
        <v>1</v>
      </c>
      <c r="P15" s="58" t="s">
        <v>139</v>
      </c>
      <c r="Q15" s="57" t="s">
        <v>76</v>
      </c>
      <c r="R15" s="62" t="s">
        <v>80</v>
      </c>
    </row>
    <row r="16" spans="2:18" ht="14.5" x14ac:dyDescent="0.35">
      <c r="H16" s="57">
        <v>9</v>
      </c>
      <c r="I16" s="68" t="s">
        <v>23</v>
      </c>
      <c r="M16" s="69"/>
      <c r="O16" s="57">
        <v>2</v>
      </c>
      <c r="P16" s="58" t="s">
        <v>140</v>
      </c>
      <c r="Q16" s="57" t="s">
        <v>0</v>
      </c>
      <c r="R16" s="62" t="s">
        <v>80</v>
      </c>
    </row>
    <row r="17" spans="8:18" ht="14.5" x14ac:dyDescent="0.35">
      <c r="H17" s="57">
        <v>10</v>
      </c>
      <c r="I17" s="68" t="s">
        <v>24</v>
      </c>
      <c r="M17" s="69"/>
      <c r="O17" s="57">
        <v>3</v>
      </c>
      <c r="P17" s="58" t="s">
        <v>141</v>
      </c>
      <c r="Q17" s="57" t="s">
        <v>118</v>
      </c>
      <c r="R17" s="62" t="s">
        <v>80</v>
      </c>
    </row>
    <row r="18" spans="8:18" ht="14.5" x14ac:dyDescent="0.35">
      <c r="H18" s="57">
        <v>11</v>
      </c>
      <c r="I18" s="68" t="s">
        <v>25</v>
      </c>
      <c r="M18" s="69"/>
      <c r="O18" s="57">
        <v>4</v>
      </c>
      <c r="P18" s="58" t="s">
        <v>142</v>
      </c>
      <c r="Q18" s="57" t="s">
        <v>119</v>
      </c>
      <c r="R18" s="62" t="s">
        <v>80</v>
      </c>
    </row>
    <row r="19" spans="8:18" ht="14.5" x14ac:dyDescent="0.35">
      <c r="H19" s="57">
        <v>12</v>
      </c>
      <c r="I19" s="68" t="s">
        <v>27</v>
      </c>
      <c r="M19" s="69"/>
      <c r="P19" s="58"/>
      <c r="R19" s="62"/>
    </row>
    <row r="20" spans="8:18" ht="14.5" x14ac:dyDescent="0.35">
      <c r="H20" s="57">
        <v>13</v>
      </c>
      <c r="I20" s="68" t="s">
        <v>28</v>
      </c>
      <c r="M20" s="72" t="s">
        <v>113</v>
      </c>
      <c r="O20" s="60">
        <f>MAX(O22:O26)</f>
        <v>4</v>
      </c>
      <c r="P20" s="59" t="s">
        <v>120</v>
      </c>
      <c r="Q20" s="59" t="s">
        <v>121</v>
      </c>
      <c r="R20" s="59" t="s">
        <v>122</v>
      </c>
    </row>
    <row r="21" spans="8:18" ht="14.5" x14ac:dyDescent="0.35">
      <c r="H21" s="57">
        <v>14</v>
      </c>
      <c r="I21" s="68" t="s">
        <v>29</v>
      </c>
      <c r="M21" s="73" t="s">
        <v>117</v>
      </c>
      <c r="O21" s="60">
        <v>5</v>
      </c>
      <c r="P21" s="56" t="e">
        <f>VLOOKUP(O21,O22:P26,2,FALSE)</f>
        <v>#N/A</v>
      </c>
      <c r="Q21" s="56" t="e">
        <f>VLOOKUP(P21,P22:Q26,2,FALSE)</f>
        <v>#N/A</v>
      </c>
      <c r="R21" s="56" t="e">
        <f>VLOOKUP(Q21,Q22:R26,2,FALSE)</f>
        <v>#N/A</v>
      </c>
    </row>
    <row r="22" spans="8:18" ht="14.5" x14ac:dyDescent="0.35">
      <c r="H22" s="57">
        <v>15</v>
      </c>
      <c r="I22" s="68" t="s">
        <v>30</v>
      </c>
      <c r="M22" s="69"/>
      <c r="O22" s="57">
        <v>1</v>
      </c>
      <c r="P22" s="58" t="s">
        <v>143</v>
      </c>
      <c r="Q22" s="57" t="s">
        <v>76</v>
      </c>
      <c r="R22" s="62" t="s">
        <v>81</v>
      </c>
    </row>
    <row r="23" spans="8:18" ht="14.5" x14ac:dyDescent="0.35">
      <c r="H23" s="57">
        <v>16</v>
      </c>
      <c r="I23" s="68" t="s">
        <v>61</v>
      </c>
      <c r="M23" s="69"/>
      <c r="O23" s="57">
        <v>2</v>
      </c>
      <c r="P23" s="58" t="s">
        <v>144</v>
      </c>
      <c r="Q23" s="57" t="s">
        <v>0</v>
      </c>
      <c r="R23" s="62" t="s">
        <v>81</v>
      </c>
    </row>
    <row r="24" spans="8:18" ht="14.5" x14ac:dyDescent="0.35">
      <c r="H24" s="57">
        <v>17</v>
      </c>
      <c r="I24" s="68" t="s">
        <v>55</v>
      </c>
      <c r="M24" s="69"/>
      <c r="O24" s="57">
        <v>3</v>
      </c>
      <c r="P24" s="58" t="s">
        <v>145</v>
      </c>
      <c r="Q24" s="57" t="s">
        <v>118</v>
      </c>
      <c r="R24" s="62" t="s">
        <v>81</v>
      </c>
    </row>
    <row r="25" spans="8:18" ht="14.5" x14ac:dyDescent="0.35">
      <c r="H25" s="57">
        <v>18</v>
      </c>
      <c r="I25" s="68" t="s">
        <v>31</v>
      </c>
      <c r="M25" s="69"/>
      <c r="O25" s="57">
        <v>4</v>
      </c>
      <c r="P25" s="58" t="s">
        <v>146</v>
      </c>
      <c r="Q25" s="57" t="s">
        <v>119</v>
      </c>
      <c r="R25" s="62" t="s">
        <v>81</v>
      </c>
    </row>
    <row r="26" spans="8:18" ht="14.5" x14ac:dyDescent="0.35">
      <c r="H26" s="57">
        <v>19</v>
      </c>
      <c r="I26" s="68" t="s">
        <v>32</v>
      </c>
    </row>
    <row r="27" spans="8:18" ht="14.5" x14ac:dyDescent="0.35">
      <c r="H27" s="57">
        <v>20</v>
      </c>
      <c r="I27" s="68" t="s">
        <v>33</v>
      </c>
      <c r="M27" s="72" t="s">
        <v>113</v>
      </c>
      <c r="O27" s="60">
        <f>MAX(O29:O33)</f>
        <v>4</v>
      </c>
      <c r="P27" s="59" t="s">
        <v>123</v>
      </c>
      <c r="Q27" s="59" t="s">
        <v>124</v>
      </c>
      <c r="R27" s="59" t="s">
        <v>125</v>
      </c>
    </row>
    <row r="28" spans="8:18" ht="14.5" x14ac:dyDescent="0.35">
      <c r="H28" s="57">
        <v>21</v>
      </c>
      <c r="I28" s="68" t="s">
        <v>34</v>
      </c>
      <c r="M28" s="73" t="s">
        <v>117</v>
      </c>
      <c r="O28" s="60">
        <v>5</v>
      </c>
      <c r="P28" s="56" t="e">
        <f>VLOOKUP(O28,O29:P33,2,FALSE)</f>
        <v>#N/A</v>
      </c>
      <c r="Q28" s="56" t="e">
        <f>VLOOKUP(P28,P29:Q33,2,FALSE)</f>
        <v>#N/A</v>
      </c>
      <c r="R28" s="56" t="e">
        <f>VLOOKUP(Q28,Q29:R33,2,FALSE)</f>
        <v>#N/A</v>
      </c>
    </row>
    <row r="29" spans="8:18" ht="14.5" x14ac:dyDescent="0.35">
      <c r="H29" s="57">
        <v>22</v>
      </c>
      <c r="I29" s="68" t="s">
        <v>35</v>
      </c>
      <c r="M29" s="69"/>
      <c r="O29" s="57">
        <v>1</v>
      </c>
      <c r="P29" s="58" t="s">
        <v>147</v>
      </c>
      <c r="Q29" s="57" t="s">
        <v>76</v>
      </c>
      <c r="R29" s="62" t="s">
        <v>82</v>
      </c>
    </row>
    <row r="30" spans="8:18" ht="14.5" x14ac:dyDescent="0.35">
      <c r="H30" s="57">
        <v>23</v>
      </c>
      <c r="I30" s="68" t="s">
        <v>53</v>
      </c>
      <c r="M30" s="69"/>
      <c r="O30" s="57">
        <v>2</v>
      </c>
      <c r="P30" s="58" t="s">
        <v>148</v>
      </c>
      <c r="Q30" s="57" t="s">
        <v>0</v>
      </c>
      <c r="R30" s="62" t="s">
        <v>82</v>
      </c>
    </row>
    <row r="31" spans="8:18" ht="14.5" x14ac:dyDescent="0.35">
      <c r="H31" s="57">
        <v>24</v>
      </c>
      <c r="I31" s="68" t="s">
        <v>36</v>
      </c>
      <c r="M31" s="69"/>
      <c r="O31" s="57">
        <v>3</v>
      </c>
      <c r="P31" s="58" t="s">
        <v>149</v>
      </c>
      <c r="Q31" s="57" t="s">
        <v>118</v>
      </c>
      <c r="R31" s="62" t="s">
        <v>82</v>
      </c>
    </row>
    <row r="32" spans="8:18" ht="14.5" x14ac:dyDescent="0.35">
      <c r="H32" s="57">
        <v>25</v>
      </c>
      <c r="I32" s="68" t="s">
        <v>37</v>
      </c>
      <c r="M32" s="69"/>
      <c r="O32" s="57">
        <v>4</v>
      </c>
      <c r="P32" s="58" t="s">
        <v>150</v>
      </c>
      <c r="Q32" s="57" t="s">
        <v>119</v>
      </c>
      <c r="R32" s="62" t="s">
        <v>82</v>
      </c>
    </row>
    <row r="33" spans="8:18" ht="14.5" x14ac:dyDescent="0.35">
      <c r="H33" s="57">
        <v>26</v>
      </c>
      <c r="I33" s="68" t="s">
        <v>38</v>
      </c>
      <c r="M33" s="69"/>
      <c r="P33" s="58"/>
      <c r="R33" s="62"/>
    </row>
    <row r="34" spans="8:18" ht="14.5" x14ac:dyDescent="0.35">
      <c r="H34" s="57">
        <v>27</v>
      </c>
      <c r="I34" s="68" t="s">
        <v>39</v>
      </c>
      <c r="M34" s="72" t="s">
        <v>113</v>
      </c>
      <c r="O34" s="60">
        <f>MAX(O36:O40)</f>
        <v>4</v>
      </c>
      <c r="P34" s="59" t="s">
        <v>126</v>
      </c>
      <c r="Q34" s="59" t="s">
        <v>127</v>
      </c>
      <c r="R34" s="59" t="s">
        <v>128</v>
      </c>
    </row>
    <row r="35" spans="8:18" ht="14.5" x14ac:dyDescent="0.35">
      <c r="H35" s="57">
        <v>28</v>
      </c>
      <c r="I35" s="68" t="s">
        <v>56</v>
      </c>
      <c r="M35" s="73" t="s">
        <v>117</v>
      </c>
      <c r="O35" s="60">
        <v>5</v>
      </c>
      <c r="P35" s="56" t="e">
        <f>VLOOKUP(O35,O36:P40,2,FALSE)</f>
        <v>#N/A</v>
      </c>
      <c r="Q35" s="56" t="e">
        <f>VLOOKUP(P35,P36:Q40,2,FALSE)</f>
        <v>#N/A</v>
      </c>
      <c r="R35" s="56" t="e">
        <f>VLOOKUP(Q35,Q36:R40,2,FALSE)</f>
        <v>#N/A</v>
      </c>
    </row>
    <row r="36" spans="8:18" ht="14.5" x14ac:dyDescent="0.35">
      <c r="H36" s="57">
        <v>29</v>
      </c>
      <c r="I36" s="68" t="s">
        <v>40</v>
      </c>
      <c r="M36" s="69"/>
      <c r="O36" s="57">
        <v>1</v>
      </c>
      <c r="P36" s="58" t="s">
        <v>151</v>
      </c>
      <c r="Q36" s="57" t="s">
        <v>76</v>
      </c>
      <c r="R36" s="62" t="s">
        <v>83</v>
      </c>
    </row>
    <row r="37" spans="8:18" ht="14.5" x14ac:dyDescent="0.35">
      <c r="H37" s="57">
        <v>30</v>
      </c>
      <c r="I37" s="68" t="s">
        <v>42</v>
      </c>
      <c r="M37" s="69"/>
      <c r="O37" s="57">
        <v>2</v>
      </c>
      <c r="P37" s="58" t="s">
        <v>152</v>
      </c>
      <c r="Q37" s="57" t="s">
        <v>0</v>
      </c>
      <c r="R37" s="62" t="s">
        <v>83</v>
      </c>
    </row>
    <row r="38" spans="8:18" ht="14.5" x14ac:dyDescent="0.35">
      <c r="H38" s="57">
        <v>31</v>
      </c>
      <c r="I38" s="68" t="s">
        <v>43</v>
      </c>
      <c r="M38" s="69"/>
      <c r="O38" s="57">
        <v>3</v>
      </c>
      <c r="P38" s="58" t="s">
        <v>153</v>
      </c>
      <c r="Q38" s="57" t="s">
        <v>118</v>
      </c>
      <c r="R38" s="62" t="s">
        <v>83</v>
      </c>
    </row>
    <row r="39" spans="8:18" ht="14.5" x14ac:dyDescent="0.35">
      <c r="H39" s="57">
        <v>32</v>
      </c>
      <c r="I39" s="68" t="s">
        <v>44</v>
      </c>
      <c r="M39" s="69"/>
      <c r="O39" s="57">
        <v>4</v>
      </c>
      <c r="P39" s="58" t="s">
        <v>154</v>
      </c>
      <c r="Q39" s="57" t="s">
        <v>119</v>
      </c>
      <c r="R39" s="62" t="s">
        <v>83</v>
      </c>
    </row>
    <row r="40" spans="8:18" ht="14.5" x14ac:dyDescent="0.35">
      <c r="H40" s="57">
        <v>33</v>
      </c>
      <c r="I40" s="68" t="s">
        <v>45</v>
      </c>
      <c r="M40" s="69"/>
      <c r="N40" s="69"/>
      <c r="O40" s="69"/>
      <c r="P40" s="69"/>
      <c r="Q40" s="69"/>
      <c r="R40" s="69"/>
    </row>
    <row r="41" spans="8:18" ht="14.5" x14ac:dyDescent="0.35">
      <c r="H41" s="57">
        <v>34</v>
      </c>
      <c r="I41" s="68" t="s">
        <v>46</v>
      </c>
      <c r="M41" s="72" t="s">
        <v>113</v>
      </c>
      <c r="O41" s="60">
        <f>MAX(O43:O47)</f>
        <v>4</v>
      </c>
      <c r="P41" s="59" t="s">
        <v>129</v>
      </c>
      <c r="Q41" s="59" t="s">
        <v>130</v>
      </c>
      <c r="R41" s="59" t="s">
        <v>131</v>
      </c>
    </row>
    <row r="42" spans="8:18" ht="14.5" x14ac:dyDescent="0.35">
      <c r="H42" s="57">
        <v>35</v>
      </c>
      <c r="I42" s="68" t="s">
        <v>47</v>
      </c>
      <c r="M42" s="73" t="s">
        <v>117</v>
      </c>
      <c r="O42" s="60">
        <v>5</v>
      </c>
      <c r="P42" s="56" t="e">
        <f>VLOOKUP(O42,O43:P47,2,FALSE)</f>
        <v>#N/A</v>
      </c>
      <c r="Q42" s="56" t="e">
        <f>VLOOKUP(P42,P43:Q47,2,FALSE)</f>
        <v>#N/A</v>
      </c>
      <c r="R42" s="56" t="e">
        <f>VLOOKUP(Q42,Q43:R47,2,FALSE)</f>
        <v>#N/A</v>
      </c>
    </row>
    <row r="43" spans="8:18" ht="14.5" x14ac:dyDescent="0.35">
      <c r="H43" s="57">
        <v>36</v>
      </c>
      <c r="I43" s="68" t="s">
        <v>57</v>
      </c>
      <c r="M43" s="69"/>
      <c r="O43" s="57">
        <v>1</v>
      </c>
      <c r="P43" s="58" t="s">
        <v>155</v>
      </c>
      <c r="Q43" s="57" t="s">
        <v>76</v>
      </c>
      <c r="R43" s="62" t="s">
        <v>84</v>
      </c>
    </row>
    <row r="44" spans="8:18" ht="14.5" x14ac:dyDescent="0.35">
      <c r="H44" s="57">
        <v>37</v>
      </c>
      <c r="I44" s="68" t="s">
        <v>48</v>
      </c>
      <c r="M44" s="69"/>
      <c r="O44" s="57">
        <v>2</v>
      </c>
      <c r="P44" s="58" t="s">
        <v>156</v>
      </c>
      <c r="Q44" s="57" t="s">
        <v>0</v>
      </c>
      <c r="R44" s="62" t="s">
        <v>84</v>
      </c>
    </row>
    <row r="45" spans="8:18" ht="14.5" x14ac:dyDescent="0.35">
      <c r="H45" s="57">
        <v>38</v>
      </c>
      <c r="I45" s="68" t="s">
        <v>49</v>
      </c>
      <c r="M45" s="69"/>
      <c r="O45" s="57">
        <v>3</v>
      </c>
      <c r="P45" s="58" t="s">
        <v>157</v>
      </c>
      <c r="Q45" s="57" t="s">
        <v>118</v>
      </c>
      <c r="R45" s="62" t="s">
        <v>84</v>
      </c>
    </row>
    <row r="46" spans="8:18" ht="14.5" x14ac:dyDescent="0.35">
      <c r="H46" s="57">
        <v>39</v>
      </c>
      <c r="I46" s="68" t="s">
        <v>50</v>
      </c>
      <c r="M46" s="69"/>
      <c r="O46" s="57">
        <v>4</v>
      </c>
      <c r="P46" s="58" t="s">
        <v>158</v>
      </c>
      <c r="Q46" s="57" t="s">
        <v>119</v>
      </c>
      <c r="R46" s="62" t="s">
        <v>84</v>
      </c>
    </row>
    <row r="47" spans="8:18" ht="14.5" x14ac:dyDescent="0.35">
      <c r="H47" s="57">
        <v>40</v>
      </c>
      <c r="I47" s="68" t="s">
        <v>58</v>
      </c>
      <c r="M47" s="69"/>
      <c r="N47" s="69"/>
      <c r="O47" s="69"/>
      <c r="P47" s="69"/>
      <c r="Q47" s="69"/>
      <c r="R47" s="69"/>
    </row>
    <row r="48" spans="8:18" ht="14.5" x14ac:dyDescent="0.35">
      <c r="H48" s="57">
        <v>41</v>
      </c>
      <c r="I48" s="68" t="s">
        <v>51</v>
      </c>
      <c r="M48" s="72" t="s">
        <v>113</v>
      </c>
      <c r="O48" s="60">
        <f>MAX(O50:O54)</f>
        <v>4</v>
      </c>
      <c r="P48" s="59" t="s">
        <v>132</v>
      </c>
      <c r="Q48" s="59" t="s">
        <v>133</v>
      </c>
      <c r="R48" s="59" t="s">
        <v>134</v>
      </c>
    </row>
    <row r="49" spans="8:18" ht="14.5" x14ac:dyDescent="0.35">
      <c r="H49" s="57">
        <v>42</v>
      </c>
      <c r="I49" s="68" t="s">
        <v>59</v>
      </c>
      <c r="M49" s="73" t="s">
        <v>117</v>
      </c>
      <c r="O49" s="60">
        <v>5</v>
      </c>
      <c r="P49" s="56" t="e">
        <f>VLOOKUP(O49,O50:P54,2,FALSE)</f>
        <v>#N/A</v>
      </c>
      <c r="Q49" s="56" t="e">
        <f>VLOOKUP(P49,P50:Q54,2,FALSE)</f>
        <v>#N/A</v>
      </c>
      <c r="R49" s="56" t="e">
        <f>VLOOKUP(Q49,Q50:R54,2,FALSE)</f>
        <v>#N/A</v>
      </c>
    </row>
    <row r="50" spans="8:18" ht="14.5" x14ac:dyDescent="0.35">
      <c r="H50" s="57">
        <v>43</v>
      </c>
      <c r="I50" s="68" t="s">
        <v>52</v>
      </c>
      <c r="M50" s="69"/>
      <c r="O50" s="57">
        <v>1</v>
      </c>
      <c r="P50" s="58" t="s">
        <v>159</v>
      </c>
      <c r="Q50" s="57" t="s">
        <v>76</v>
      </c>
      <c r="R50" s="62" t="s">
        <v>85</v>
      </c>
    </row>
    <row r="51" spans="8:18" ht="14.5" x14ac:dyDescent="0.35">
      <c r="H51" s="57">
        <v>44</v>
      </c>
      <c r="I51" s="68" t="s">
        <v>60</v>
      </c>
      <c r="M51" s="69"/>
      <c r="O51" s="57">
        <v>2</v>
      </c>
      <c r="P51" s="58" t="s">
        <v>160</v>
      </c>
      <c r="Q51" s="57" t="s">
        <v>0</v>
      </c>
      <c r="R51" s="62" t="s">
        <v>85</v>
      </c>
    </row>
    <row r="52" spans="8:18" ht="14.5" x14ac:dyDescent="0.35">
      <c r="H52" s="57">
        <v>45</v>
      </c>
      <c r="I52" s="68" t="s">
        <v>26</v>
      </c>
      <c r="M52" s="69"/>
      <c r="O52" s="57">
        <v>3</v>
      </c>
      <c r="P52" s="58" t="s">
        <v>161</v>
      </c>
      <c r="Q52" s="57" t="s">
        <v>118</v>
      </c>
      <c r="R52" s="62" t="s">
        <v>85</v>
      </c>
    </row>
    <row r="53" spans="8:18" ht="14.5" x14ac:dyDescent="0.35">
      <c r="H53" s="57">
        <v>46</v>
      </c>
      <c r="I53" s="68" t="s">
        <v>41</v>
      </c>
      <c r="M53" s="69"/>
      <c r="O53" s="57">
        <v>4</v>
      </c>
      <c r="P53" s="58" t="s">
        <v>162</v>
      </c>
      <c r="Q53" s="57" t="s">
        <v>119</v>
      </c>
      <c r="R53" s="62" t="s">
        <v>85</v>
      </c>
    </row>
    <row r="54" spans="8:18" ht="14.5" x14ac:dyDescent="0.35">
      <c r="M54" s="71"/>
      <c r="P54" s="58"/>
      <c r="R54" s="62"/>
    </row>
    <row r="55" spans="8:18" ht="14.5" x14ac:dyDescent="0.35">
      <c r="M55" s="72" t="s">
        <v>113</v>
      </c>
      <c r="O55" s="60">
        <f>MAX(O57:O61)</f>
        <v>4</v>
      </c>
      <c r="P55" s="59" t="s">
        <v>135</v>
      </c>
      <c r="Q55" s="59" t="s">
        <v>136</v>
      </c>
      <c r="R55" s="59" t="s">
        <v>137</v>
      </c>
    </row>
    <row r="56" spans="8:18" ht="14.5" x14ac:dyDescent="0.35">
      <c r="M56" s="73" t="s">
        <v>117</v>
      </c>
      <c r="O56" s="60">
        <v>5</v>
      </c>
      <c r="P56" s="56" t="e">
        <f>VLOOKUP(O56,O57:P61,2,FALSE)</f>
        <v>#N/A</v>
      </c>
      <c r="Q56" s="56" t="e">
        <f>VLOOKUP(P56,P57:Q61,2,FALSE)</f>
        <v>#N/A</v>
      </c>
      <c r="R56" s="56" t="e">
        <f>VLOOKUP(Q56,Q57:R61,2,FALSE)</f>
        <v>#N/A</v>
      </c>
    </row>
    <row r="57" spans="8:18" ht="14.5" x14ac:dyDescent="0.35">
      <c r="M57" s="69"/>
      <c r="O57" s="57">
        <v>1</v>
      </c>
      <c r="P57" s="58" t="s">
        <v>163</v>
      </c>
      <c r="Q57" s="57" t="s">
        <v>76</v>
      </c>
      <c r="R57" s="62" t="s">
        <v>11</v>
      </c>
    </row>
    <row r="58" spans="8:18" ht="14.5" x14ac:dyDescent="0.35">
      <c r="M58" s="69"/>
      <c r="O58" s="57">
        <v>2</v>
      </c>
      <c r="P58" s="58" t="s">
        <v>164</v>
      </c>
      <c r="Q58" s="57" t="s">
        <v>0</v>
      </c>
      <c r="R58" s="62" t="s">
        <v>11</v>
      </c>
    </row>
    <row r="59" spans="8:18" ht="14.5" x14ac:dyDescent="0.35">
      <c r="M59" s="69"/>
      <c r="O59" s="57">
        <v>3</v>
      </c>
      <c r="P59" s="58" t="s">
        <v>165</v>
      </c>
      <c r="Q59" s="57" t="s">
        <v>118</v>
      </c>
      <c r="R59" s="62" t="s">
        <v>11</v>
      </c>
    </row>
    <row r="60" spans="8:18" ht="14.5" x14ac:dyDescent="0.35">
      <c r="M60" s="69"/>
      <c r="O60" s="57">
        <v>4</v>
      </c>
      <c r="P60" s="58" t="s">
        <v>166</v>
      </c>
      <c r="Q60" s="57" t="s">
        <v>119</v>
      </c>
      <c r="R60" s="62" t="s">
        <v>11</v>
      </c>
    </row>
    <row r="61" spans="8:18" ht="14.5" x14ac:dyDescent="0.35">
      <c r="O61" s="58"/>
    </row>
    <row r="74" spans="9:9" ht="14.5" x14ac:dyDescent="0.35">
      <c r="I74" s="6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3A972-BD58-44A9-B357-DEA6D4301D68}">
  <dimension ref="B1:H22"/>
  <sheetViews>
    <sheetView topLeftCell="A7" workbookViewId="0">
      <selection activeCell="A4" sqref="A4:L4"/>
    </sheetView>
  </sheetViews>
  <sheetFormatPr defaultRowHeight="14.5" x14ac:dyDescent="0.35"/>
  <cols>
    <col min="2" max="2" width="57.81640625" customWidth="1"/>
    <col min="5" max="7" width="0" hidden="1" customWidth="1"/>
  </cols>
  <sheetData>
    <row r="1" spans="2:8" x14ac:dyDescent="0.35">
      <c r="B1" t="s">
        <v>204</v>
      </c>
      <c r="G1" t="s">
        <v>175</v>
      </c>
    </row>
    <row r="2" spans="2:8" x14ac:dyDescent="0.35">
      <c r="G2" t="s">
        <v>176</v>
      </c>
      <c r="H2" s="76"/>
    </row>
    <row r="3" spans="2:8" x14ac:dyDescent="0.35">
      <c r="B3" s="77" t="s">
        <v>177</v>
      </c>
      <c r="C3" s="77" t="s">
        <v>178</v>
      </c>
      <c r="D3" s="77" t="s">
        <v>179</v>
      </c>
      <c r="E3" s="77"/>
      <c r="F3" t="s">
        <v>180</v>
      </c>
      <c r="G3" s="77"/>
      <c r="H3" s="77" t="s">
        <v>181</v>
      </c>
    </row>
    <row r="4" spans="2:8" ht="72.5" x14ac:dyDescent="0.35">
      <c r="B4" s="74" t="s">
        <v>203</v>
      </c>
      <c r="C4" t="s">
        <v>182</v>
      </c>
      <c r="D4" t="s">
        <v>208</v>
      </c>
      <c r="E4">
        <f>IF(D4="No",0,1)</f>
        <v>0</v>
      </c>
      <c r="F4" t="s">
        <v>183</v>
      </c>
    </row>
    <row r="5" spans="2:8" x14ac:dyDescent="0.35">
      <c r="B5" t="s">
        <v>184</v>
      </c>
      <c r="C5" t="s">
        <v>182</v>
      </c>
      <c r="D5" t="s">
        <v>208</v>
      </c>
      <c r="E5">
        <f t="shared" ref="E5:E20" si="0">IF(D5="No",0,1)</f>
        <v>0</v>
      </c>
      <c r="F5" t="s">
        <v>185</v>
      </c>
    </row>
    <row r="6" spans="2:8" x14ac:dyDescent="0.35">
      <c r="B6" t="s">
        <v>186</v>
      </c>
      <c r="C6" t="s">
        <v>182</v>
      </c>
      <c r="D6" t="s">
        <v>208</v>
      </c>
      <c r="E6">
        <f t="shared" si="0"/>
        <v>0</v>
      </c>
      <c r="F6" t="s">
        <v>182</v>
      </c>
    </row>
    <row r="7" spans="2:8" ht="29" x14ac:dyDescent="0.35">
      <c r="B7" s="74" t="s">
        <v>205</v>
      </c>
      <c r="C7" t="s">
        <v>182</v>
      </c>
      <c r="D7" t="s">
        <v>208</v>
      </c>
      <c r="E7">
        <f t="shared" si="0"/>
        <v>0</v>
      </c>
      <c r="F7" t="s">
        <v>187</v>
      </c>
    </row>
    <row r="8" spans="2:8" x14ac:dyDescent="0.35">
      <c r="B8" t="s">
        <v>188</v>
      </c>
      <c r="C8" t="s">
        <v>182</v>
      </c>
      <c r="D8" t="s">
        <v>208</v>
      </c>
      <c r="E8">
        <f t="shared" si="0"/>
        <v>0</v>
      </c>
      <c r="F8" t="s">
        <v>191</v>
      </c>
    </row>
    <row r="9" spans="2:8" x14ac:dyDescent="0.35">
      <c r="B9" t="s">
        <v>189</v>
      </c>
      <c r="C9" t="s">
        <v>182</v>
      </c>
      <c r="D9" t="s">
        <v>208</v>
      </c>
      <c r="E9">
        <f t="shared" si="0"/>
        <v>0</v>
      </c>
    </row>
    <row r="10" spans="2:8" x14ac:dyDescent="0.35">
      <c r="B10" t="s">
        <v>190</v>
      </c>
      <c r="C10" t="s">
        <v>182</v>
      </c>
      <c r="D10" t="s">
        <v>208</v>
      </c>
      <c r="E10">
        <f t="shared" si="0"/>
        <v>0</v>
      </c>
    </row>
    <row r="11" spans="2:8" x14ac:dyDescent="0.35">
      <c r="B11" t="s">
        <v>192</v>
      </c>
      <c r="C11" t="s">
        <v>182</v>
      </c>
      <c r="D11" t="s">
        <v>208</v>
      </c>
      <c r="E11">
        <f t="shared" si="0"/>
        <v>0</v>
      </c>
    </row>
    <row r="12" spans="2:8" x14ac:dyDescent="0.35">
      <c r="B12" t="s">
        <v>193</v>
      </c>
      <c r="C12" t="s">
        <v>182</v>
      </c>
      <c r="D12" t="s">
        <v>208</v>
      </c>
      <c r="E12">
        <f t="shared" si="0"/>
        <v>0</v>
      </c>
    </row>
    <row r="13" spans="2:8" x14ac:dyDescent="0.35">
      <c r="B13" t="s">
        <v>194</v>
      </c>
      <c r="C13" t="s">
        <v>182</v>
      </c>
      <c r="D13" t="s">
        <v>208</v>
      </c>
      <c r="E13">
        <f t="shared" si="0"/>
        <v>0</v>
      </c>
    </row>
    <row r="14" spans="2:8" x14ac:dyDescent="0.35">
      <c r="B14" t="s">
        <v>195</v>
      </c>
      <c r="C14" t="s">
        <v>182</v>
      </c>
      <c r="D14" t="s">
        <v>208</v>
      </c>
      <c r="E14">
        <f t="shared" si="0"/>
        <v>0</v>
      </c>
    </row>
    <row r="15" spans="2:8" x14ac:dyDescent="0.35">
      <c r="B15" t="s">
        <v>196</v>
      </c>
      <c r="C15" t="s">
        <v>182</v>
      </c>
      <c r="D15" t="s">
        <v>208</v>
      </c>
      <c r="E15">
        <f t="shared" si="0"/>
        <v>0</v>
      </c>
    </row>
    <row r="16" spans="2:8" x14ac:dyDescent="0.35">
      <c r="B16" t="s">
        <v>197</v>
      </c>
      <c r="C16" t="s">
        <v>182</v>
      </c>
      <c r="D16" t="s">
        <v>208</v>
      </c>
      <c r="E16">
        <f t="shared" si="0"/>
        <v>0</v>
      </c>
    </row>
    <row r="17" spans="2:8" x14ac:dyDescent="0.35">
      <c r="B17" t="s">
        <v>198</v>
      </c>
      <c r="C17" t="s">
        <v>182</v>
      </c>
      <c r="D17" t="s">
        <v>208</v>
      </c>
      <c r="E17">
        <f t="shared" si="0"/>
        <v>0</v>
      </c>
    </row>
    <row r="18" spans="2:8" x14ac:dyDescent="0.35">
      <c r="B18" t="s">
        <v>199</v>
      </c>
      <c r="C18" t="s">
        <v>182</v>
      </c>
      <c r="D18" t="s">
        <v>209</v>
      </c>
      <c r="E18">
        <f t="shared" si="0"/>
        <v>1</v>
      </c>
      <c r="H18" t="s">
        <v>210</v>
      </c>
    </row>
    <row r="19" spans="2:8" x14ac:dyDescent="0.35">
      <c r="B19" t="s">
        <v>200</v>
      </c>
      <c r="C19" t="s">
        <v>182</v>
      </c>
      <c r="D19" t="s">
        <v>208</v>
      </c>
      <c r="E19">
        <f t="shared" si="0"/>
        <v>0</v>
      </c>
    </row>
    <row r="20" spans="2:8" x14ac:dyDescent="0.35">
      <c r="B20" t="s">
        <v>201</v>
      </c>
      <c r="C20" t="s">
        <v>182</v>
      </c>
      <c r="D20" t="s">
        <v>208</v>
      </c>
      <c r="E20">
        <f t="shared" si="0"/>
        <v>0</v>
      </c>
    </row>
    <row r="22" spans="2:8" x14ac:dyDescent="0.35">
      <c r="B22" t="s">
        <v>202</v>
      </c>
      <c r="C22" s="78">
        <f>SUM(E4:E20)</f>
        <v>1</v>
      </c>
    </row>
  </sheetData>
  <conditionalFormatting sqref="D4:D6 D21 D13:D17">
    <cfRule type="containsText" dxfId="13" priority="14" operator="containsText" text="Yes">
      <formula>NOT(ISERROR(SEARCH("Yes",D4)))</formula>
    </cfRule>
    <cfRule type="containsText" dxfId="12" priority="15" operator="containsText" text="No">
      <formula>NOT(ISERROR(SEARCH("No",D4)))</formula>
    </cfRule>
  </conditionalFormatting>
  <conditionalFormatting sqref="C4">
    <cfRule type="notContainsBlanks" dxfId="11" priority="16">
      <formula>LEN(TRIM(C4))&gt;0</formula>
    </cfRule>
  </conditionalFormatting>
  <conditionalFormatting sqref="C22">
    <cfRule type="cellIs" dxfId="10" priority="12" operator="greaterThan">
      <formula>0</formula>
    </cfRule>
    <cfRule type="cellIs" dxfId="9" priority="13" operator="lessThan">
      <formula>1</formula>
    </cfRule>
  </conditionalFormatting>
  <conditionalFormatting sqref="D7">
    <cfRule type="containsText" dxfId="8" priority="9" operator="containsText" text="Yes">
      <formula>NOT(ISERROR(SEARCH("Yes",D7)))</formula>
    </cfRule>
    <cfRule type="containsText" dxfId="7" priority="10" operator="containsText" text="No">
      <formula>NOT(ISERROR(SEARCH("No",D7)))</formula>
    </cfRule>
  </conditionalFormatting>
  <conditionalFormatting sqref="D18">
    <cfRule type="containsText" dxfId="6" priority="7" operator="containsText" text="Yes">
      <formula>NOT(ISERROR(SEARCH("Yes",D18)))</formula>
    </cfRule>
    <cfRule type="containsText" dxfId="5" priority="8" operator="containsText" text="No">
      <formula>NOT(ISERROR(SEARCH("No",D18)))</formula>
    </cfRule>
  </conditionalFormatting>
  <conditionalFormatting sqref="D8:D12">
    <cfRule type="containsText" dxfId="4" priority="4" operator="containsText" text="Yes">
      <formula>NOT(ISERROR(SEARCH("Yes",D8)))</formula>
    </cfRule>
    <cfRule type="containsText" dxfId="3" priority="5" operator="containsText" text="No">
      <formula>NOT(ISERROR(SEARCH("No",D8)))</formula>
    </cfRule>
  </conditionalFormatting>
  <conditionalFormatting sqref="D19:D20">
    <cfRule type="containsText" dxfId="2" priority="2" operator="containsText" text="Yes">
      <formula>NOT(ISERROR(SEARCH("Yes",D19)))</formula>
    </cfRule>
    <cfRule type="containsText" dxfId="1" priority="3" operator="containsText" text="No">
      <formula>NOT(ISERROR(SEARCH("No",D19)))</formula>
    </cfRule>
  </conditionalFormatting>
  <conditionalFormatting sqref="C5:C20">
    <cfRule type="notContainsBlanks" dxfId="0" priority="1">
      <formula>LEN(TRIM(C5))&gt;0</formula>
    </cfRule>
  </conditionalFormatting>
  <dataValidations count="3">
    <dataValidation type="list" allowBlank="1" showInputMessage="1" showErrorMessage="1" sqref="D21" xr:uid="{9ED23268-11DE-4705-B081-35F7B394264B}">
      <formula1>$Q$1:$Q$2</formula1>
    </dataValidation>
    <dataValidation type="list" allowBlank="1" showInputMessage="1" showErrorMessage="1" sqref="D4:D20" xr:uid="{6FFC6D52-8DE2-46A2-BEF5-C26455A442D8}">
      <formula1>$G$1:$G$2</formula1>
    </dataValidation>
    <dataValidation type="list" allowBlank="1" showInputMessage="1" showErrorMessage="1" sqref="C4:C20" xr:uid="{8AC70923-8F36-4E2E-B844-BDD5AACC3E03}">
      <formula1>$F$3:$F$8</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F57"/>
  <sheetViews>
    <sheetView topLeftCell="A7" zoomScale="80" zoomScaleNormal="80" workbookViewId="0">
      <selection activeCell="A4" sqref="A4:L4"/>
    </sheetView>
  </sheetViews>
  <sheetFormatPr defaultColWidth="9.1796875" defaultRowHeight="14.5" x14ac:dyDescent="0.35"/>
  <cols>
    <col min="1" max="1" width="50.7265625" style="4" customWidth="1"/>
    <col min="2" max="8" width="8.7265625" style="4" customWidth="1"/>
    <col min="9" max="9" width="2.7265625" style="4" customWidth="1"/>
    <col min="10" max="16" width="8.7265625" style="4" customWidth="1"/>
    <col min="17" max="17" width="2.7265625" style="4" customWidth="1"/>
    <col min="18" max="24" width="8.7265625" style="4" customWidth="1"/>
    <col min="25" max="25" width="2.7265625" style="4" customWidth="1"/>
    <col min="26" max="32" width="8.7265625" style="4" customWidth="1"/>
    <col min="33" max="33" width="2.7265625" style="4" customWidth="1"/>
    <col min="34" max="40" width="8.7265625" style="4" customWidth="1"/>
    <col min="41" max="41" width="2.7265625" style="4" customWidth="1"/>
    <col min="42" max="48" width="8.7265625" style="4" customWidth="1"/>
    <col min="49" max="16384" width="9.1796875" style="4"/>
  </cols>
  <sheetData>
    <row r="1" spans="1:58" s="1" customFormat="1" ht="23.25" customHeight="1" x14ac:dyDescent="0.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row>
    <row r="2" spans="1:58" s="1" customFormat="1" ht="23.25" customHeight="1" x14ac:dyDescent="0.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row>
    <row r="3" spans="1:58" s="1" customFormat="1" ht="23.25" customHeight="1" x14ac:dyDescent="0.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row>
    <row r="4" spans="1:58" s="1" customFormat="1" ht="23.25" customHeight="1" x14ac:dyDescent="0.5">
      <c r="A4" s="91" t="str">
        <f>FIRE1122!A4</f>
        <v>2018-19</v>
      </c>
      <c r="B4" s="91"/>
      <c r="C4" s="91"/>
      <c r="D4" s="91"/>
      <c r="E4" s="91"/>
      <c r="F4" s="91"/>
      <c r="G4" s="91"/>
      <c r="H4" s="91"/>
      <c r="I4" s="91"/>
      <c r="J4" s="91"/>
      <c r="K4" s="91"/>
      <c r="L4" s="91"/>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row>
    <row r="5" spans="1:58" s="3" customFormat="1" x14ac:dyDescent="0.35">
      <c r="A5" s="2"/>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row>
    <row r="6" spans="1:58" s="7" customFormat="1" ht="15.75" customHeight="1" thickBot="1" x14ac:dyDescent="0.4">
      <c r="A6" s="4"/>
      <c r="B6" s="88" t="s">
        <v>0</v>
      </c>
      <c r="C6" s="88"/>
      <c r="D6" s="88"/>
      <c r="E6" s="88"/>
      <c r="F6" s="88"/>
      <c r="G6" s="88"/>
      <c r="H6" s="88"/>
      <c r="I6" s="39"/>
      <c r="J6" s="86" t="s">
        <v>72</v>
      </c>
      <c r="K6" s="86"/>
      <c r="L6" s="86"/>
      <c r="M6" s="86"/>
      <c r="N6" s="86"/>
      <c r="O6" s="86"/>
      <c r="P6" s="86"/>
      <c r="Q6" s="39"/>
      <c r="R6" s="87" t="s">
        <v>1</v>
      </c>
      <c r="S6" s="87"/>
      <c r="T6" s="87"/>
      <c r="U6" s="87"/>
      <c r="V6" s="87"/>
      <c r="W6" s="87"/>
      <c r="X6" s="87"/>
      <c r="Y6" s="39"/>
      <c r="Z6" s="86" t="s">
        <v>2</v>
      </c>
      <c r="AA6" s="86"/>
      <c r="AB6" s="86"/>
      <c r="AC6" s="86"/>
      <c r="AD6" s="86"/>
      <c r="AE6" s="86"/>
      <c r="AF6" s="86"/>
      <c r="AG6" s="39"/>
      <c r="AH6" s="86" t="s">
        <v>3</v>
      </c>
      <c r="AI6" s="86"/>
      <c r="AJ6" s="86"/>
      <c r="AK6" s="86"/>
      <c r="AL6" s="86"/>
      <c r="AM6" s="86"/>
      <c r="AN6" s="86"/>
      <c r="AO6" s="39"/>
      <c r="AP6" s="87" t="s">
        <v>4</v>
      </c>
      <c r="AQ6" s="87"/>
      <c r="AR6" s="87"/>
      <c r="AS6" s="87"/>
      <c r="AT6" s="87"/>
      <c r="AU6" s="87"/>
      <c r="AV6" s="87"/>
    </row>
    <row r="7" spans="1:58" s="12" customFormat="1" ht="58.5" thickBot="1" x14ac:dyDescent="0.4">
      <c r="A7" s="8" t="s">
        <v>5</v>
      </c>
      <c r="B7" s="9" t="s">
        <v>6</v>
      </c>
      <c r="C7" s="9" t="s">
        <v>7</v>
      </c>
      <c r="D7" s="9" t="s">
        <v>8</v>
      </c>
      <c r="E7" s="9" t="s">
        <v>9</v>
      </c>
      <c r="F7" s="9" t="s">
        <v>10</v>
      </c>
      <c r="G7" s="9" t="s">
        <v>11</v>
      </c>
      <c r="H7" s="10" t="s">
        <v>12</v>
      </c>
      <c r="I7" s="40"/>
      <c r="J7" s="9" t="s">
        <v>6</v>
      </c>
      <c r="K7" s="9" t="s">
        <v>7</v>
      </c>
      <c r="L7" s="9" t="s">
        <v>8</v>
      </c>
      <c r="M7" s="9" t="s">
        <v>9</v>
      </c>
      <c r="N7" s="9" t="s">
        <v>10</v>
      </c>
      <c r="O7" s="9" t="s">
        <v>11</v>
      </c>
      <c r="P7" s="10" t="s">
        <v>12</v>
      </c>
      <c r="Q7" s="40"/>
      <c r="R7" s="9" t="s">
        <v>6</v>
      </c>
      <c r="S7" s="9" t="s">
        <v>7</v>
      </c>
      <c r="T7" s="9" t="s">
        <v>8</v>
      </c>
      <c r="U7" s="9" t="s">
        <v>9</v>
      </c>
      <c r="V7" s="9" t="s">
        <v>10</v>
      </c>
      <c r="W7" s="9" t="s">
        <v>11</v>
      </c>
      <c r="X7" s="10" t="s">
        <v>12</v>
      </c>
      <c r="Y7" s="40"/>
      <c r="Z7" s="9" t="s">
        <v>6</v>
      </c>
      <c r="AA7" s="9" t="s">
        <v>7</v>
      </c>
      <c r="AB7" s="9" t="s">
        <v>8</v>
      </c>
      <c r="AC7" s="9" t="s">
        <v>9</v>
      </c>
      <c r="AD7" s="9" t="s">
        <v>10</v>
      </c>
      <c r="AE7" s="9" t="s">
        <v>11</v>
      </c>
      <c r="AF7" s="10" t="s">
        <v>12</v>
      </c>
      <c r="AG7" s="40"/>
      <c r="AH7" s="9" t="s">
        <v>6</v>
      </c>
      <c r="AI7" s="9" t="s">
        <v>7</v>
      </c>
      <c r="AJ7" s="9" t="s">
        <v>8</v>
      </c>
      <c r="AK7" s="9" t="s">
        <v>9</v>
      </c>
      <c r="AL7" s="9" t="s">
        <v>10</v>
      </c>
      <c r="AM7" s="9" t="s">
        <v>11</v>
      </c>
      <c r="AN7" s="10" t="s">
        <v>12</v>
      </c>
      <c r="AO7" s="40"/>
      <c r="AP7" s="44" t="s">
        <v>87</v>
      </c>
      <c r="AQ7" s="44" t="s">
        <v>77</v>
      </c>
      <c r="AR7" s="44" t="s">
        <v>78</v>
      </c>
      <c r="AS7" s="44" t="s">
        <v>79</v>
      </c>
      <c r="AT7" s="44" t="s">
        <v>88</v>
      </c>
      <c r="AU7" s="44" t="s">
        <v>89</v>
      </c>
      <c r="AV7" s="10" t="s">
        <v>12</v>
      </c>
    </row>
    <row r="8" spans="1:58" s="7" customFormat="1" ht="15" customHeight="1" x14ac:dyDescent="0.35">
      <c r="A8" s="13" t="s">
        <v>13</v>
      </c>
      <c r="B8" s="21">
        <f ca="1">B9+B49</f>
        <v>235</v>
      </c>
      <c r="C8" s="21">
        <f t="shared" ref="C8:G8" ca="1" si="0">C9+C49</f>
        <v>962</v>
      </c>
      <c r="D8" s="21">
        <f t="shared" ca="1" si="0"/>
        <v>295</v>
      </c>
      <c r="E8" s="21">
        <f t="shared" ca="1" si="0"/>
        <v>96</v>
      </c>
      <c r="F8" s="21">
        <f t="shared" ca="1" si="0"/>
        <v>7</v>
      </c>
      <c r="G8" s="21">
        <f t="shared" ca="1" si="0"/>
        <v>0</v>
      </c>
      <c r="H8" s="23">
        <f ca="1">IF(SUM(B8:F8)=0,"-",20*(B8/SUM($B8:$F8))+30*(C8/SUM($B8:$F8))+40.5*(D8/SUM($B8:$F8))+50.5*(E8/SUM($B8:$F8))+56*(F8/SUM($B8:$F8)))</f>
        <v>31.816614420062695</v>
      </c>
      <c r="I8" s="14"/>
      <c r="J8" s="21">
        <f ca="1">J9+J49</f>
        <v>352</v>
      </c>
      <c r="K8" s="21">
        <f ca="1">K9+K49</f>
        <v>713</v>
      </c>
      <c r="L8" s="21">
        <f t="shared" ref="L8:O8" ca="1" si="1">L9+L49</f>
        <v>336</v>
      </c>
      <c r="M8" s="21">
        <f t="shared" ca="1" si="1"/>
        <v>156</v>
      </c>
      <c r="N8" s="21">
        <f t="shared" ca="1" si="1"/>
        <v>29</v>
      </c>
      <c r="O8" s="21">
        <f t="shared" ca="1" si="1"/>
        <v>1</v>
      </c>
      <c r="P8" s="23">
        <f ca="1">IF(SUM(J8:N8)=0,"-",20*(J8/SUM($J8:$N8))+30*(K8/SUM($J8:$N8))+40.5*(L8/SUM($J8:$N8))+50.5*(M8/SUM($J8:$N8))+56*(N8/SUM($J8:$N8)))</f>
        <v>32.4968474148802</v>
      </c>
      <c r="Q8" s="14"/>
      <c r="R8" s="14">
        <f t="shared" ref="R8:W8" ca="1" si="2">B8+J8</f>
        <v>587</v>
      </c>
      <c r="S8" s="14">
        <f t="shared" ca="1" si="2"/>
        <v>1675</v>
      </c>
      <c r="T8" s="14">
        <f t="shared" ca="1" si="2"/>
        <v>631</v>
      </c>
      <c r="U8" s="14">
        <f t="shared" ca="1" si="2"/>
        <v>252</v>
      </c>
      <c r="V8" s="14">
        <f t="shared" ca="1" si="2"/>
        <v>36</v>
      </c>
      <c r="W8" s="14">
        <f t="shared" ca="1" si="2"/>
        <v>1</v>
      </c>
      <c r="X8" s="23">
        <f t="shared" ref="X8:X39" ca="1" si="3">IF(SUM(R8:V8)=0,"-",20*(R8/SUM($R8:$V8))+30*(S8/SUM($R8:$V8))+40.5*(T8/SUM($R8:$V8))+50.5*(U8/SUM($R8:$V8))+56*(V8/SUM($R8:$V8)))</f>
        <v>32.155768626218169</v>
      </c>
      <c r="Y8" s="14"/>
      <c r="Z8" s="21">
        <f ca="1">Z9+Z49</f>
        <v>16</v>
      </c>
      <c r="AA8" s="21">
        <f t="shared" ref="AA8:AE8" ca="1" si="4">AA9+AA49</f>
        <v>42</v>
      </c>
      <c r="AB8" s="21">
        <f t="shared" ca="1" si="4"/>
        <v>21</v>
      </c>
      <c r="AC8" s="21">
        <f t="shared" ca="1" si="4"/>
        <v>11</v>
      </c>
      <c r="AD8" s="21">
        <f t="shared" ca="1" si="4"/>
        <v>2</v>
      </c>
      <c r="AE8" s="21">
        <f t="shared" ca="1" si="4"/>
        <v>0</v>
      </c>
      <c r="AF8" s="23">
        <f t="shared" ref="AF8:AF39" ca="1" si="5">IF(SUM(Z8:AD8)=0,"-",20*(Z8/SUM($Z8:$AD8))+30*(AA8/SUM($Z8:$AD8))+40.5*(AB8/SUM($Z8:$AD8))+50.5*(AC8/SUM($Z8:$AD8))+56*(AD8/SUM($Z8:$AD8)))</f>
        <v>33.673913043478265</v>
      </c>
      <c r="AG8" s="14"/>
      <c r="AH8" s="21">
        <f ca="1">AH9+AH49</f>
        <v>122</v>
      </c>
      <c r="AI8" s="21">
        <f t="shared" ref="AI8:AM8" ca="1" si="6">AI9+AI49</f>
        <v>286</v>
      </c>
      <c r="AJ8" s="21">
        <f t="shared" ca="1" si="6"/>
        <v>193</v>
      </c>
      <c r="AK8" s="21">
        <f t="shared" ca="1" si="6"/>
        <v>256</v>
      </c>
      <c r="AL8" s="21">
        <f t="shared" ca="1" si="6"/>
        <v>115</v>
      </c>
      <c r="AM8" s="21">
        <f t="shared" ca="1" si="6"/>
        <v>10</v>
      </c>
      <c r="AN8" s="23">
        <f t="shared" ref="AN8:AN39" ca="1" si="7">IF(SUM(AH8:AL8)=0,"-",20*(AH8/SUM($AH8:$AL8))+30*(AI8/SUM($AH8:$AL8))+40.5*(AJ8/SUM($AH8:$AL8))+50.5*(AK8/SUM($AH8:$AL8))+56*(AL8/SUM($AH8:$AL8)))</f>
        <v>39.305041152263371</v>
      </c>
      <c r="AO8" s="14"/>
      <c r="AP8" s="14">
        <f t="shared" ref="AP8:AP39" ca="1" si="8">AH8+Z8+R8</f>
        <v>725</v>
      </c>
      <c r="AQ8" s="14">
        <f t="shared" ref="AQ8:AQ39" ca="1" si="9">AI8+AA8+S8</f>
        <v>2003</v>
      </c>
      <c r="AR8" s="14">
        <f t="shared" ref="AR8:AR39" ca="1" si="10">AJ8+AB8+T8</f>
        <v>845</v>
      </c>
      <c r="AS8" s="14">
        <f t="shared" ref="AS8:AS39" ca="1" si="11">AK8+AC8+U8</f>
        <v>519</v>
      </c>
      <c r="AT8" s="14">
        <f t="shared" ref="AT8:AT39" ca="1" si="12">AL8+AD8+V8</f>
        <v>153</v>
      </c>
      <c r="AU8" s="14">
        <f t="shared" ref="AU8:AU39" ca="1" si="13">AM8+AE8+W8</f>
        <v>11</v>
      </c>
      <c r="AV8" s="23">
        <f t="shared" ref="AV8:AV39" ca="1" si="14">IF(SUM(AP8:AT8)=0,"-",20*(AP8/SUM($AP8:$AT8))+30*(AQ8/SUM($AP8:$AT8))+40.5*(AR8/SUM($AP8:$AT8))+50.5*(AS8/SUM($AP8:$AT8))+56*(AT8/SUM($AP8:$AT8)))</f>
        <v>33.825677267373386</v>
      </c>
      <c r="AW8" s="17"/>
      <c r="AX8" s="17"/>
      <c r="AY8" s="17"/>
      <c r="AZ8" s="17"/>
      <c r="BA8" s="17"/>
      <c r="BB8" s="17"/>
      <c r="BC8" s="17"/>
      <c r="BD8" s="17"/>
      <c r="BE8" s="17"/>
      <c r="BF8" s="19"/>
    </row>
    <row r="9" spans="1:58" s="7" customFormat="1" ht="15" customHeight="1" x14ac:dyDescent="0.35">
      <c r="A9" s="20" t="s">
        <v>14</v>
      </c>
      <c r="B9" s="21">
        <f ca="1">SUM(B10:B48)</f>
        <v>93</v>
      </c>
      <c r="C9" s="21">
        <f t="shared" ref="C9:G9" ca="1" si="15">SUM(C10:C48)</f>
        <v>434</v>
      </c>
      <c r="D9" s="21">
        <f t="shared" ca="1" si="15"/>
        <v>183</v>
      </c>
      <c r="E9" s="21">
        <f t="shared" ca="1" si="15"/>
        <v>71</v>
      </c>
      <c r="F9" s="21">
        <f t="shared" ca="1" si="15"/>
        <v>5</v>
      </c>
      <c r="G9" s="21">
        <f t="shared" ca="1" si="15"/>
        <v>0</v>
      </c>
      <c r="H9" s="23">
        <f t="shared" ref="H9:H56" ca="1" si="16">IF(SUM(B9:F9)=0,"-",20*(B9/SUM($B9:$F9))+30*(C9/SUM($B9:$F9))+40.5*(D9/SUM($B9:$F9))+50.5*(E9/SUM($B9:$F9))+56*(F9/SUM($B9:$F9)))</f>
        <v>33.278625954198475</v>
      </c>
      <c r="I9" s="21"/>
      <c r="J9" s="21">
        <f ca="1">SUM(J10:J48)</f>
        <v>345</v>
      </c>
      <c r="K9" s="21">
        <f ca="1">SUM(K10:K48)</f>
        <v>689</v>
      </c>
      <c r="L9" s="21">
        <f t="shared" ref="L9:O9" ca="1" si="17">SUM(L10:L48)</f>
        <v>322</v>
      </c>
      <c r="M9" s="21">
        <f t="shared" ca="1" si="17"/>
        <v>154</v>
      </c>
      <c r="N9" s="21">
        <f t="shared" ca="1" si="17"/>
        <v>28</v>
      </c>
      <c r="O9" s="21">
        <f t="shared" ca="1" si="17"/>
        <v>1</v>
      </c>
      <c r="P9" s="23">
        <f t="shared" ref="P9:P56" ca="1" si="18">IF(SUM(J9:N9)=0,"-",20*(J9/SUM($J9:$N9))+30*(K9/SUM($J9:$N9))+40.5*(L9/SUM($J9:$N9))+50.5*(M9/SUM($J9:$N9))+56*(N9/SUM($J9:$N9)))</f>
        <v>32.481144343302986</v>
      </c>
      <c r="Q9" s="21"/>
      <c r="R9" s="21">
        <f t="shared" ref="R9:R56" ca="1" si="19">B9+J9</f>
        <v>438</v>
      </c>
      <c r="S9" s="21">
        <f t="shared" ref="S9:S56" ca="1" si="20">C9+K9</f>
        <v>1123</v>
      </c>
      <c r="T9" s="21">
        <f t="shared" ref="T9:T56" ca="1" si="21">D9+L9</f>
        <v>505</v>
      </c>
      <c r="U9" s="21">
        <f t="shared" ref="U9:U56" ca="1" si="22">E9+M9</f>
        <v>225</v>
      </c>
      <c r="V9" s="21">
        <f t="shared" ref="V9:V56" ca="1" si="23">F9+N9</f>
        <v>33</v>
      </c>
      <c r="W9" s="21">
        <f t="shared" ref="W9:W56" ca="1" si="24">G9+O9</f>
        <v>1</v>
      </c>
      <c r="X9" s="23">
        <f t="shared" ca="1" si="3"/>
        <v>32.750860585197934</v>
      </c>
      <c r="Y9" s="21"/>
      <c r="Z9" s="21">
        <f ca="1">SUM(Z10:Z48)</f>
        <v>13</v>
      </c>
      <c r="AA9" s="21">
        <f t="shared" ref="AA9:AE9" ca="1" si="25">SUM(AA10:AA48)</f>
        <v>36</v>
      </c>
      <c r="AB9" s="21">
        <f t="shared" ca="1" si="25"/>
        <v>14</v>
      </c>
      <c r="AC9" s="21">
        <f t="shared" ca="1" si="25"/>
        <v>7</v>
      </c>
      <c r="AD9" s="21">
        <f t="shared" ca="1" si="25"/>
        <v>0</v>
      </c>
      <c r="AE9" s="21">
        <f t="shared" ca="1" si="25"/>
        <v>0</v>
      </c>
      <c r="AF9" s="23">
        <f t="shared" ca="1" si="5"/>
        <v>32.292857142857144</v>
      </c>
      <c r="AG9" s="21"/>
      <c r="AH9" s="21">
        <f ca="1">SUM(AH10:AH48)</f>
        <v>72</v>
      </c>
      <c r="AI9" s="21">
        <f t="shared" ref="AI9:AM9" ca="1" si="26">SUM(AI10:AI48)</f>
        <v>182</v>
      </c>
      <c r="AJ9" s="21">
        <f t="shared" ca="1" si="26"/>
        <v>134</v>
      </c>
      <c r="AK9" s="21">
        <f t="shared" ca="1" si="26"/>
        <v>176</v>
      </c>
      <c r="AL9" s="21">
        <f t="shared" ca="1" si="26"/>
        <v>74</v>
      </c>
      <c r="AM9" s="21">
        <f t="shared" ca="1" si="26"/>
        <v>10</v>
      </c>
      <c r="AN9" s="23">
        <f t="shared" ca="1" si="7"/>
        <v>39.747648902821311</v>
      </c>
      <c r="AO9" s="21"/>
      <c r="AP9" s="21">
        <f t="shared" ca="1" si="8"/>
        <v>523</v>
      </c>
      <c r="AQ9" s="21">
        <f t="shared" ca="1" si="9"/>
        <v>1341</v>
      </c>
      <c r="AR9" s="21">
        <f t="shared" ca="1" si="10"/>
        <v>653</v>
      </c>
      <c r="AS9" s="21">
        <f t="shared" ca="1" si="11"/>
        <v>408</v>
      </c>
      <c r="AT9" s="21">
        <f t="shared" ca="1" si="12"/>
        <v>107</v>
      </c>
      <c r="AU9" s="21">
        <f t="shared" ca="1" si="13"/>
        <v>11</v>
      </c>
      <c r="AV9" s="23">
        <f t="shared" ca="1" si="14"/>
        <v>34.212565963060683</v>
      </c>
      <c r="AW9" s="17"/>
      <c r="AX9" s="17"/>
      <c r="AY9" s="17"/>
      <c r="AZ9" s="17"/>
      <c r="BA9" s="17"/>
      <c r="BB9" s="17"/>
      <c r="BC9" s="17"/>
      <c r="BD9" s="17"/>
      <c r="BE9" s="17"/>
    </row>
    <row r="10" spans="1:58" s="7" customFormat="1" ht="15" customHeight="1" x14ac:dyDescent="0.35">
      <c r="A10" s="2" t="s">
        <v>15</v>
      </c>
      <c r="B10" s="22">
        <f ca="1">INDIRECT("'("&amp;$A$4&amp;")'!b10")</f>
        <v>0</v>
      </c>
      <c r="C10" s="22">
        <f ca="1">INDIRECT("'("&amp;$A$4&amp;")'!c10")</f>
        <v>11</v>
      </c>
      <c r="D10" s="22">
        <f ca="1">INDIRECT("'("&amp;$A$4&amp;")'!d10")</f>
        <v>3</v>
      </c>
      <c r="E10" s="22">
        <f ca="1">INDIRECT("'("&amp;$A$4&amp;")'!e10")</f>
        <v>1</v>
      </c>
      <c r="F10" s="22">
        <f ca="1">INDIRECT("'("&amp;$A$4&amp;")'!f10")</f>
        <v>0</v>
      </c>
      <c r="G10" s="22">
        <f ca="1">INDIRECT("'("&amp;$A$4&amp;")'!g10")</f>
        <v>0</v>
      </c>
      <c r="H10" s="23">
        <f t="shared" ca="1" si="16"/>
        <v>33.466666666666669</v>
      </c>
      <c r="I10" s="22"/>
      <c r="J10" s="22">
        <f ca="1">INDIRECT("'("&amp;$A$4&amp;")'!j10")</f>
        <v>3</v>
      </c>
      <c r="K10" s="22">
        <f ca="1">INDIRECT("'("&amp;$A$4&amp;")'!k10")</f>
        <v>8</v>
      </c>
      <c r="L10" s="22">
        <f ca="1">INDIRECT("'("&amp;$A$4&amp;")'!l10")</f>
        <v>6</v>
      </c>
      <c r="M10" s="22">
        <f ca="1">INDIRECT("'("&amp;$A$4&amp;")'!m10")</f>
        <v>1</v>
      </c>
      <c r="N10" s="22">
        <f ca="1">INDIRECT("'("&amp;$A$4&amp;")'!n10")</f>
        <v>1</v>
      </c>
      <c r="O10" s="22">
        <f ca="1">INDIRECT("'("&amp;$A$4&amp;")'!o10")</f>
        <v>0</v>
      </c>
      <c r="P10" s="23">
        <f t="shared" ca="1" si="18"/>
        <v>34.184210526315795</v>
      </c>
      <c r="Q10" s="22"/>
      <c r="R10" s="21">
        <f t="shared" ca="1" si="19"/>
        <v>3</v>
      </c>
      <c r="S10" s="21">
        <f t="shared" ca="1" si="20"/>
        <v>19</v>
      </c>
      <c r="T10" s="21">
        <f t="shared" ca="1" si="21"/>
        <v>9</v>
      </c>
      <c r="U10" s="21">
        <f t="shared" ca="1" si="22"/>
        <v>2</v>
      </c>
      <c r="V10" s="21">
        <f t="shared" ca="1" si="23"/>
        <v>1</v>
      </c>
      <c r="W10" s="21">
        <f t="shared" ca="1" si="24"/>
        <v>0</v>
      </c>
      <c r="X10" s="23">
        <f t="shared" ca="1" si="3"/>
        <v>33.867647058823529</v>
      </c>
      <c r="Y10" s="22"/>
      <c r="Z10" s="22">
        <f ca="1">INDIRECT("'("&amp;$A$4&amp;")'!z10")</f>
        <v>1</v>
      </c>
      <c r="AA10" s="22">
        <f ca="1">INDIRECT("'("&amp;$A$4&amp;")'!aa10")</f>
        <v>1</v>
      </c>
      <c r="AB10" s="22">
        <f ca="1">INDIRECT("'("&amp;$A$4&amp;")'!ab10")</f>
        <v>1</v>
      </c>
      <c r="AC10" s="22">
        <f ca="1">INDIRECT("'("&amp;$A$4&amp;")'!ac10")</f>
        <v>0</v>
      </c>
      <c r="AD10" s="22">
        <f ca="1">INDIRECT("'("&amp;$A$4&amp;")'!ad10")</f>
        <v>0</v>
      </c>
      <c r="AE10" s="22">
        <f ca="1">INDIRECT("'("&amp;$A$4&amp;")'!ae10")</f>
        <v>0</v>
      </c>
      <c r="AF10" s="23">
        <f t="shared" ca="1" si="5"/>
        <v>30.166666666666664</v>
      </c>
      <c r="AG10" s="22"/>
      <c r="AH10" s="22">
        <f ca="1">INDIRECT("'("&amp;$A$4&amp;")'!ah10")</f>
        <v>3</v>
      </c>
      <c r="AI10" s="22">
        <f ca="1">INDIRECT("'("&amp;$A$4&amp;")'!ai10")</f>
        <v>8</v>
      </c>
      <c r="AJ10" s="22">
        <f ca="1">INDIRECT("'("&amp;$A$4&amp;")'!aj10")</f>
        <v>6</v>
      </c>
      <c r="AK10" s="22">
        <f ca="1">INDIRECT("'("&amp;$A$4&amp;")'!ak10")</f>
        <v>5</v>
      </c>
      <c r="AL10" s="22">
        <f ca="1">INDIRECT("'("&amp;$A$4&amp;")'!al10")</f>
        <v>3</v>
      </c>
      <c r="AM10" s="22">
        <f ca="1">INDIRECT("'("&amp;$A$4&amp;")'!am10")</f>
        <v>0</v>
      </c>
      <c r="AN10" s="23">
        <f t="shared" ca="1" si="7"/>
        <v>38.54</v>
      </c>
      <c r="AO10" s="22"/>
      <c r="AP10" s="21">
        <f t="shared" ca="1" si="8"/>
        <v>7</v>
      </c>
      <c r="AQ10" s="21">
        <f t="shared" ca="1" si="9"/>
        <v>28</v>
      </c>
      <c r="AR10" s="21">
        <f t="shared" ca="1" si="10"/>
        <v>16</v>
      </c>
      <c r="AS10" s="21">
        <f t="shared" ca="1" si="11"/>
        <v>7</v>
      </c>
      <c r="AT10" s="21">
        <f t="shared" ca="1" si="12"/>
        <v>4</v>
      </c>
      <c r="AU10" s="21">
        <f t="shared" ca="1" si="13"/>
        <v>0</v>
      </c>
      <c r="AV10" s="23">
        <f t="shared" ca="1" si="14"/>
        <v>35.572580645161288</v>
      </c>
      <c r="AW10" s="17"/>
      <c r="AX10" s="17"/>
      <c r="AY10" s="17"/>
      <c r="AZ10" s="17"/>
      <c r="BA10" s="17"/>
      <c r="BB10" s="17"/>
      <c r="BC10" s="17"/>
      <c r="BD10" s="17"/>
      <c r="BE10" s="17"/>
    </row>
    <row r="11" spans="1:58" s="7" customFormat="1" ht="15" customHeight="1" x14ac:dyDescent="0.35">
      <c r="A11" s="2" t="s">
        <v>16</v>
      </c>
      <c r="B11" s="22">
        <f ca="1">INDIRECT("'("&amp;$A$4&amp;")'!b11")</f>
        <v>1</v>
      </c>
      <c r="C11" s="22">
        <f ca="1">INDIRECT("'("&amp;$A$4&amp;")'!c11")</f>
        <v>9</v>
      </c>
      <c r="D11" s="22">
        <f ca="1">INDIRECT("'("&amp;$A$4&amp;")'!d11")</f>
        <v>7</v>
      </c>
      <c r="E11" s="22">
        <f ca="1">INDIRECT("'("&amp;$A$4&amp;")'!e11")</f>
        <v>1</v>
      </c>
      <c r="F11" s="22">
        <f ca="1">INDIRECT("'("&amp;$A$4&amp;")'!f11")</f>
        <v>0</v>
      </c>
      <c r="G11" s="22">
        <f ca="1">INDIRECT("'("&amp;$A$4&amp;")'!g11")</f>
        <v>0</v>
      </c>
      <c r="H11" s="23">
        <f t="shared" ca="1" si="16"/>
        <v>34.666666666666664</v>
      </c>
      <c r="I11" s="22"/>
      <c r="J11" s="22">
        <f ca="1">INDIRECT("'("&amp;$A$4&amp;")'!j11")</f>
        <v>5</v>
      </c>
      <c r="K11" s="22">
        <f ca="1">INDIRECT("'("&amp;$A$4&amp;")'!k11")</f>
        <v>12</v>
      </c>
      <c r="L11" s="22">
        <f ca="1">INDIRECT("'("&amp;$A$4&amp;")'!l11")</f>
        <v>5</v>
      </c>
      <c r="M11" s="22">
        <f ca="1">INDIRECT("'("&amp;$A$4&amp;")'!m11")</f>
        <v>4</v>
      </c>
      <c r="N11" s="22">
        <f ca="1">INDIRECT("'("&amp;$A$4&amp;")'!n11")</f>
        <v>0</v>
      </c>
      <c r="O11" s="22">
        <f ca="1">INDIRECT("'("&amp;$A$4&amp;")'!o11")</f>
        <v>0</v>
      </c>
      <c r="P11" s="23">
        <f t="shared" ca="1" si="18"/>
        <v>33.25</v>
      </c>
      <c r="Q11" s="22"/>
      <c r="R11" s="21">
        <f t="shared" ca="1" si="19"/>
        <v>6</v>
      </c>
      <c r="S11" s="21">
        <f t="shared" ca="1" si="20"/>
        <v>21</v>
      </c>
      <c r="T11" s="21">
        <f t="shared" ca="1" si="21"/>
        <v>12</v>
      </c>
      <c r="U11" s="21">
        <f t="shared" ca="1" si="22"/>
        <v>5</v>
      </c>
      <c r="V11" s="21">
        <f t="shared" ca="1" si="23"/>
        <v>0</v>
      </c>
      <c r="W11" s="21">
        <f t="shared" ca="1" si="24"/>
        <v>0</v>
      </c>
      <c r="X11" s="23">
        <f t="shared" ca="1" si="3"/>
        <v>33.829545454545453</v>
      </c>
      <c r="Y11" s="22"/>
      <c r="Z11" s="22">
        <f ca="1">INDIRECT("'("&amp;$A$4&amp;")'!z11")</f>
        <v>0</v>
      </c>
      <c r="AA11" s="22">
        <f ca="1">INDIRECT("'("&amp;$A$4&amp;")'!aa11")</f>
        <v>1</v>
      </c>
      <c r="AB11" s="22">
        <f ca="1">INDIRECT("'("&amp;$A$4&amp;")'!ab11")</f>
        <v>1</v>
      </c>
      <c r="AC11" s="22">
        <f ca="1">INDIRECT("'("&amp;$A$4&amp;")'!ac11")</f>
        <v>0</v>
      </c>
      <c r="AD11" s="22">
        <f ca="1">INDIRECT("'("&amp;$A$4&amp;")'!ad11")</f>
        <v>0</v>
      </c>
      <c r="AE11" s="22">
        <f ca="1">INDIRECT("'("&amp;$A$4&amp;")'!ae11")</f>
        <v>0</v>
      </c>
      <c r="AF11" s="23">
        <f t="shared" ca="1" si="5"/>
        <v>35.25</v>
      </c>
      <c r="AG11" s="22"/>
      <c r="AH11" s="22">
        <f ca="1">INDIRECT("'("&amp;$A$4&amp;")'!ah11")</f>
        <v>1</v>
      </c>
      <c r="AI11" s="22">
        <f ca="1">INDIRECT("'("&amp;$A$4&amp;")'!ai11")</f>
        <v>8</v>
      </c>
      <c r="AJ11" s="22">
        <f ca="1">INDIRECT("'("&amp;$A$4&amp;")'!aj11")</f>
        <v>3</v>
      </c>
      <c r="AK11" s="22">
        <f ca="1">INDIRECT("'("&amp;$A$4&amp;")'!ak11")</f>
        <v>6</v>
      </c>
      <c r="AL11" s="22">
        <f ca="1">INDIRECT("'("&amp;$A$4&amp;")'!al11")</f>
        <v>4</v>
      </c>
      <c r="AM11" s="22">
        <f ca="1">INDIRECT("'("&amp;$A$4&amp;")'!am11")</f>
        <v>0</v>
      </c>
      <c r="AN11" s="23">
        <f t="shared" ca="1" si="7"/>
        <v>41.295454545454547</v>
      </c>
      <c r="AO11" s="22"/>
      <c r="AP11" s="21">
        <f t="shared" ca="1" si="8"/>
        <v>7</v>
      </c>
      <c r="AQ11" s="21">
        <f t="shared" ca="1" si="9"/>
        <v>30</v>
      </c>
      <c r="AR11" s="21">
        <f t="shared" ca="1" si="10"/>
        <v>16</v>
      </c>
      <c r="AS11" s="21">
        <f t="shared" ca="1" si="11"/>
        <v>11</v>
      </c>
      <c r="AT11" s="21">
        <f t="shared" ca="1" si="12"/>
        <v>4</v>
      </c>
      <c r="AU11" s="21">
        <f t="shared" ca="1" si="13"/>
        <v>0</v>
      </c>
      <c r="AV11" s="23">
        <f t="shared" ca="1" si="14"/>
        <v>36.286764705882355</v>
      </c>
      <c r="AW11" s="17"/>
      <c r="AX11" s="17"/>
      <c r="AY11" s="17"/>
      <c r="AZ11" s="17"/>
      <c r="BA11" s="17"/>
      <c r="BB11" s="17"/>
      <c r="BC11" s="17"/>
      <c r="BD11" s="17"/>
      <c r="BE11" s="17"/>
    </row>
    <row r="12" spans="1:58" s="7" customFormat="1" ht="15" customHeight="1" x14ac:dyDescent="0.35">
      <c r="A12" s="2" t="s">
        <v>17</v>
      </c>
      <c r="B12" s="22">
        <f ca="1">INDIRECT("'("&amp;$A$4&amp;")'!b12")</f>
        <v>2</v>
      </c>
      <c r="C12" s="22">
        <f ca="1">INDIRECT("'("&amp;$A$4&amp;")'!c12")</f>
        <v>10</v>
      </c>
      <c r="D12" s="22">
        <f ca="1">INDIRECT("'("&amp;$A$4&amp;")'!d12")</f>
        <v>2</v>
      </c>
      <c r="E12" s="22">
        <f ca="1">INDIRECT("'("&amp;$A$4&amp;")'!e12")</f>
        <v>0</v>
      </c>
      <c r="F12" s="22">
        <f ca="1">INDIRECT("'("&amp;$A$4&amp;")'!f12")</f>
        <v>0</v>
      </c>
      <c r="G12" s="22">
        <f ca="1">INDIRECT("'("&amp;$A$4&amp;")'!g12")</f>
        <v>0</v>
      </c>
      <c r="H12" s="23">
        <f t="shared" ca="1" si="16"/>
        <v>30.071428571428573</v>
      </c>
      <c r="I12" s="22"/>
      <c r="J12" s="22">
        <f ca="1">INDIRECT("'("&amp;$A$4&amp;")'!j12")</f>
        <v>7</v>
      </c>
      <c r="K12" s="22">
        <f ca="1">INDIRECT("'("&amp;$A$4&amp;")'!k12")</f>
        <v>8</v>
      </c>
      <c r="L12" s="22">
        <f ca="1">INDIRECT("'("&amp;$A$4&amp;")'!l12")</f>
        <v>7</v>
      </c>
      <c r="M12" s="22">
        <f ca="1">INDIRECT("'("&amp;$A$4&amp;")'!m12")</f>
        <v>1</v>
      </c>
      <c r="N12" s="22">
        <f ca="1">INDIRECT("'("&amp;$A$4&amp;")'!n12")</f>
        <v>0</v>
      </c>
      <c r="O12" s="22">
        <f ca="1">INDIRECT("'("&amp;$A$4&amp;")'!o12")</f>
        <v>0</v>
      </c>
      <c r="P12" s="23">
        <f t="shared" ca="1" si="18"/>
        <v>31.043478260869566</v>
      </c>
      <c r="Q12" s="22"/>
      <c r="R12" s="21">
        <f t="shared" ca="1" si="19"/>
        <v>9</v>
      </c>
      <c r="S12" s="21">
        <f t="shared" ca="1" si="20"/>
        <v>18</v>
      </c>
      <c r="T12" s="21">
        <f t="shared" ca="1" si="21"/>
        <v>9</v>
      </c>
      <c r="U12" s="21">
        <f t="shared" ca="1" si="22"/>
        <v>1</v>
      </c>
      <c r="V12" s="21">
        <f t="shared" ca="1" si="23"/>
        <v>0</v>
      </c>
      <c r="W12" s="21">
        <f t="shared" ca="1" si="24"/>
        <v>0</v>
      </c>
      <c r="X12" s="23">
        <f t="shared" ca="1" si="3"/>
        <v>30.675675675675677</v>
      </c>
      <c r="Y12" s="22"/>
      <c r="Z12" s="22">
        <f ca="1">INDIRECT("'("&amp;$A$4&amp;")'!z12")</f>
        <v>3</v>
      </c>
      <c r="AA12" s="22">
        <f ca="1">INDIRECT("'("&amp;$A$4&amp;")'!aa12")</f>
        <v>2</v>
      </c>
      <c r="AB12" s="22">
        <f ca="1">INDIRECT("'("&amp;$A$4&amp;")'!ab12")</f>
        <v>0</v>
      </c>
      <c r="AC12" s="22">
        <f ca="1">INDIRECT("'("&amp;$A$4&amp;")'!ac12")</f>
        <v>0</v>
      </c>
      <c r="AD12" s="22">
        <f ca="1">INDIRECT("'("&amp;$A$4&amp;")'!ad12")</f>
        <v>0</v>
      </c>
      <c r="AE12" s="22">
        <f ca="1">INDIRECT("'("&amp;$A$4&amp;")'!ae12")</f>
        <v>0</v>
      </c>
      <c r="AF12" s="23">
        <f t="shared" ca="1" si="5"/>
        <v>24</v>
      </c>
      <c r="AG12" s="22"/>
      <c r="AH12" s="22">
        <f ca="1">INDIRECT("'("&amp;$A$4&amp;")'!ah12")</f>
        <v>3</v>
      </c>
      <c r="AI12" s="22">
        <f ca="1">INDIRECT("'("&amp;$A$4&amp;")'!ai12")</f>
        <v>13</v>
      </c>
      <c r="AJ12" s="22">
        <f ca="1">INDIRECT("'("&amp;$A$4&amp;")'!aj12")</f>
        <v>5</v>
      </c>
      <c r="AK12" s="22">
        <f ca="1">INDIRECT("'("&amp;$A$4&amp;")'!ak12")</f>
        <v>5</v>
      </c>
      <c r="AL12" s="22">
        <f ca="1">INDIRECT("'("&amp;$A$4&amp;")'!al12")</f>
        <v>3</v>
      </c>
      <c r="AM12" s="22">
        <f ca="1">INDIRECT("'("&amp;$A$4&amp;")'!am12")</f>
        <v>0</v>
      </c>
      <c r="AN12" s="23">
        <f t="shared" ca="1" si="7"/>
        <v>37</v>
      </c>
      <c r="AO12" s="22"/>
      <c r="AP12" s="21">
        <f t="shared" ca="1" si="8"/>
        <v>15</v>
      </c>
      <c r="AQ12" s="21">
        <f t="shared" ca="1" si="9"/>
        <v>33</v>
      </c>
      <c r="AR12" s="21">
        <f t="shared" ca="1" si="10"/>
        <v>14</v>
      </c>
      <c r="AS12" s="21">
        <f t="shared" ca="1" si="11"/>
        <v>6</v>
      </c>
      <c r="AT12" s="21">
        <f t="shared" ca="1" si="12"/>
        <v>3</v>
      </c>
      <c r="AU12" s="21">
        <f t="shared" ca="1" si="13"/>
        <v>0</v>
      </c>
      <c r="AV12" s="23">
        <f t="shared" ca="1" si="14"/>
        <v>32.788732394366193</v>
      </c>
      <c r="AW12" s="17"/>
      <c r="AX12" s="17"/>
      <c r="AY12" s="17"/>
      <c r="AZ12" s="17"/>
      <c r="BA12" s="17"/>
      <c r="BB12" s="17"/>
      <c r="BC12" s="17"/>
      <c r="BD12" s="17"/>
      <c r="BE12" s="17"/>
    </row>
    <row r="13" spans="1:58" s="7" customFormat="1" ht="15" customHeight="1" x14ac:dyDescent="0.35">
      <c r="A13" s="2" t="s">
        <v>18</v>
      </c>
      <c r="B13" s="22">
        <f ca="1">INDIRECT("'("&amp;$A$4&amp;")'!b13")</f>
        <v>9</v>
      </c>
      <c r="C13" s="22">
        <f ca="1">INDIRECT("'("&amp;$A$4&amp;")'!c13")</f>
        <v>14</v>
      </c>
      <c r="D13" s="22">
        <f ca="1">INDIRECT("'("&amp;$A$4&amp;")'!d13")</f>
        <v>1</v>
      </c>
      <c r="E13" s="22">
        <f ca="1">INDIRECT("'("&amp;$A$4&amp;")'!e13")</f>
        <v>3</v>
      </c>
      <c r="F13" s="22">
        <f ca="1">INDIRECT("'("&amp;$A$4&amp;")'!f13")</f>
        <v>1</v>
      </c>
      <c r="G13" s="22">
        <f ca="1">INDIRECT("'("&amp;$A$4&amp;")'!g13")</f>
        <v>0</v>
      </c>
      <c r="H13" s="23">
        <f t="shared" ca="1" si="16"/>
        <v>30.285714285714288</v>
      </c>
      <c r="I13" s="22"/>
      <c r="J13" s="22">
        <f ca="1">INDIRECT("'("&amp;$A$4&amp;")'!j13")</f>
        <v>4</v>
      </c>
      <c r="K13" s="22">
        <f ca="1">INDIRECT("'("&amp;$A$4&amp;")'!k13")</f>
        <v>9</v>
      </c>
      <c r="L13" s="22">
        <f ca="1">INDIRECT("'("&amp;$A$4&amp;")'!l13")</f>
        <v>5</v>
      </c>
      <c r="M13" s="22">
        <f ca="1">INDIRECT("'("&amp;$A$4&amp;")'!m13")</f>
        <v>1</v>
      </c>
      <c r="N13" s="22">
        <f ca="1">INDIRECT("'("&amp;$A$4&amp;")'!n13")</f>
        <v>0</v>
      </c>
      <c r="O13" s="22">
        <f ca="1">INDIRECT("'("&amp;$A$4&amp;")'!o13")</f>
        <v>0</v>
      </c>
      <c r="P13" s="23">
        <f t="shared" ca="1" si="18"/>
        <v>31.736842105263154</v>
      </c>
      <c r="Q13" s="22"/>
      <c r="R13" s="21">
        <f t="shared" ca="1" si="19"/>
        <v>13</v>
      </c>
      <c r="S13" s="21">
        <f t="shared" ca="1" si="20"/>
        <v>23</v>
      </c>
      <c r="T13" s="21">
        <f t="shared" ca="1" si="21"/>
        <v>6</v>
      </c>
      <c r="U13" s="21">
        <f t="shared" ca="1" si="22"/>
        <v>4</v>
      </c>
      <c r="V13" s="21">
        <f t="shared" ca="1" si="23"/>
        <v>1</v>
      </c>
      <c r="W13" s="21">
        <f t="shared" ca="1" si="24"/>
        <v>0</v>
      </c>
      <c r="X13" s="23">
        <f t="shared" ca="1" si="3"/>
        <v>30.872340425531917</v>
      </c>
      <c r="Y13" s="22"/>
      <c r="Z13" s="22">
        <f ca="1">INDIRECT("'("&amp;$A$4&amp;")'!z13")</f>
        <v>0</v>
      </c>
      <c r="AA13" s="22">
        <f ca="1">INDIRECT("'("&amp;$A$4&amp;")'!aa13")</f>
        <v>0</v>
      </c>
      <c r="AB13" s="22">
        <f ca="1">INDIRECT("'("&amp;$A$4&amp;")'!ab13")</f>
        <v>0</v>
      </c>
      <c r="AC13" s="22">
        <f ca="1">INDIRECT("'("&amp;$A$4&amp;")'!ac13")</f>
        <v>0</v>
      </c>
      <c r="AD13" s="22">
        <f ca="1">INDIRECT("'("&amp;$A$4&amp;")'!ad13")</f>
        <v>0</v>
      </c>
      <c r="AE13" s="22">
        <f ca="1">INDIRECT("'("&amp;$A$4&amp;")'!ae13")</f>
        <v>0</v>
      </c>
      <c r="AF13" s="23" t="str">
        <f t="shared" ca="1" si="5"/>
        <v>-</v>
      </c>
      <c r="AG13" s="22"/>
      <c r="AH13" s="22">
        <f ca="1">INDIRECT("'("&amp;$A$4&amp;")'!ah13")</f>
        <v>0</v>
      </c>
      <c r="AI13" s="22">
        <f ca="1">INDIRECT("'("&amp;$A$4&amp;")'!ai13")</f>
        <v>0</v>
      </c>
      <c r="AJ13" s="22">
        <f ca="1">INDIRECT("'("&amp;$A$4&amp;")'!aj13")</f>
        <v>1</v>
      </c>
      <c r="AK13" s="22">
        <f ca="1">INDIRECT("'("&amp;$A$4&amp;")'!ak13")</f>
        <v>3</v>
      </c>
      <c r="AL13" s="22">
        <f ca="1">INDIRECT("'("&amp;$A$4&amp;")'!al13")</f>
        <v>2</v>
      </c>
      <c r="AM13" s="22">
        <f ca="1">INDIRECT("'("&amp;$A$4&amp;")'!am13")</f>
        <v>0</v>
      </c>
      <c r="AN13" s="23">
        <f t="shared" ca="1" si="7"/>
        <v>50.666666666666664</v>
      </c>
      <c r="AO13" s="22"/>
      <c r="AP13" s="21">
        <f t="shared" ca="1" si="8"/>
        <v>13</v>
      </c>
      <c r="AQ13" s="21">
        <f t="shared" ca="1" si="9"/>
        <v>23</v>
      </c>
      <c r="AR13" s="21">
        <f t="shared" ca="1" si="10"/>
        <v>7</v>
      </c>
      <c r="AS13" s="21">
        <f t="shared" ca="1" si="11"/>
        <v>7</v>
      </c>
      <c r="AT13" s="21">
        <f t="shared" ca="1" si="12"/>
        <v>3</v>
      </c>
      <c r="AU13" s="21">
        <f t="shared" ca="1" si="13"/>
        <v>0</v>
      </c>
      <c r="AV13" s="23">
        <f t="shared" ca="1" si="14"/>
        <v>33.113207547169814</v>
      </c>
      <c r="AW13" s="17"/>
      <c r="AX13" s="17"/>
      <c r="AY13" s="17"/>
      <c r="AZ13" s="17"/>
      <c r="BA13" s="17"/>
      <c r="BB13" s="17"/>
      <c r="BC13" s="17"/>
      <c r="BD13" s="17"/>
      <c r="BE13" s="17"/>
    </row>
    <row r="14" spans="1:58" s="7" customFormat="1" ht="15" customHeight="1" x14ac:dyDescent="0.35">
      <c r="A14" s="2" t="s">
        <v>19</v>
      </c>
      <c r="B14" s="22">
        <f ca="1">INDIRECT("'("&amp;$A$4&amp;")'!b14")</f>
        <v>0</v>
      </c>
      <c r="C14" s="22">
        <f ca="1">INDIRECT("'("&amp;$A$4&amp;")'!c14")</f>
        <v>12</v>
      </c>
      <c r="D14" s="22">
        <f ca="1">INDIRECT("'("&amp;$A$4&amp;")'!d14")</f>
        <v>1</v>
      </c>
      <c r="E14" s="22">
        <f ca="1">INDIRECT("'("&amp;$A$4&amp;")'!e14")</f>
        <v>1</v>
      </c>
      <c r="F14" s="22">
        <f ca="1">INDIRECT("'("&amp;$A$4&amp;")'!f14")</f>
        <v>0</v>
      </c>
      <c r="G14" s="22">
        <f ca="1">INDIRECT("'("&amp;$A$4&amp;")'!g14")</f>
        <v>0</v>
      </c>
      <c r="H14" s="23">
        <f t="shared" ca="1" si="16"/>
        <v>32.214285714285708</v>
      </c>
      <c r="I14" s="22"/>
      <c r="J14" s="22">
        <f ca="1">INDIRECT("'("&amp;$A$4&amp;")'!j14")</f>
        <v>7</v>
      </c>
      <c r="K14" s="22">
        <f ca="1">INDIRECT("'("&amp;$A$4&amp;")'!k14")</f>
        <v>17</v>
      </c>
      <c r="L14" s="22">
        <f ca="1">INDIRECT("'("&amp;$A$4&amp;")'!l14")</f>
        <v>6</v>
      </c>
      <c r="M14" s="22">
        <f ca="1">INDIRECT("'("&amp;$A$4&amp;")'!m14")</f>
        <v>6</v>
      </c>
      <c r="N14" s="22">
        <f ca="1">INDIRECT("'("&amp;$A$4&amp;")'!n14")</f>
        <v>0</v>
      </c>
      <c r="O14" s="22">
        <f ca="1">INDIRECT("'("&amp;$A$4&amp;")'!o14")</f>
        <v>0</v>
      </c>
      <c r="P14" s="23">
        <f t="shared" ca="1" si="18"/>
        <v>33.222222222222221</v>
      </c>
      <c r="Q14" s="22"/>
      <c r="R14" s="21">
        <f t="shared" ca="1" si="19"/>
        <v>7</v>
      </c>
      <c r="S14" s="21">
        <f t="shared" ca="1" si="20"/>
        <v>29</v>
      </c>
      <c r="T14" s="21">
        <f t="shared" ca="1" si="21"/>
        <v>7</v>
      </c>
      <c r="U14" s="21">
        <f t="shared" ca="1" si="22"/>
        <v>7</v>
      </c>
      <c r="V14" s="21">
        <f t="shared" ca="1" si="23"/>
        <v>0</v>
      </c>
      <c r="W14" s="21">
        <f t="shared" ca="1" si="24"/>
        <v>0</v>
      </c>
      <c r="X14" s="23">
        <f t="shared" ca="1" si="3"/>
        <v>32.94</v>
      </c>
      <c r="Y14" s="22"/>
      <c r="Z14" s="22">
        <f ca="1">INDIRECT("'("&amp;$A$4&amp;")'!z14")</f>
        <v>3</v>
      </c>
      <c r="AA14" s="22">
        <f ca="1">INDIRECT("'("&amp;$A$4&amp;")'!aa14")</f>
        <v>6</v>
      </c>
      <c r="AB14" s="22">
        <f ca="1">INDIRECT("'("&amp;$A$4&amp;")'!ab14")</f>
        <v>2</v>
      </c>
      <c r="AC14" s="22">
        <f ca="1">INDIRECT("'("&amp;$A$4&amp;")'!ac14")</f>
        <v>1</v>
      </c>
      <c r="AD14" s="22">
        <f ca="1">INDIRECT("'("&amp;$A$4&amp;")'!ad14")</f>
        <v>0</v>
      </c>
      <c r="AE14" s="22">
        <f ca="1">INDIRECT("'("&amp;$A$4&amp;")'!ae14")</f>
        <v>0</v>
      </c>
      <c r="AF14" s="23">
        <f t="shared" ca="1" si="5"/>
        <v>30.958333333333332</v>
      </c>
      <c r="AG14" s="22"/>
      <c r="AH14" s="22">
        <f ca="1">INDIRECT("'("&amp;$A$4&amp;")'!ah14")</f>
        <v>1</v>
      </c>
      <c r="AI14" s="22">
        <f ca="1">INDIRECT("'("&amp;$A$4&amp;")'!ai14")</f>
        <v>15</v>
      </c>
      <c r="AJ14" s="22">
        <f ca="1">INDIRECT("'("&amp;$A$4&amp;")'!aj14")</f>
        <v>1</v>
      </c>
      <c r="AK14" s="22">
        <f ca="1">INDIRECT("'("&amp;$A$4&amp;")'!ak14")</f>
        <v>4</v>
      </c>
      <c r="AL14" s="22">
        <f ca="1">INDIRECT("'("&amp;$A$4&amp;")'!al14")</f>
        <v>0</v>
      </c>
      <c r="AM14" s="22">
        <f ca="1">INDIRECT("'("&amp;$A$4&amp;")'!am14")</f>
        <v>0</v>
      </c>
      <c r="AN14" s="23">
        <f t="shared" ca="1" si="7"/>
        <v>33.928571428571431</v>
      </c>
      <c r="AO14" s="22"/>
      <c r="AP14" s="21">
        <f t="shared" ca="1" si="8"/>
        <v>11</v>
      </c>
      <c r="AQ14" s="21">
        <f t="shared" ca="1" si="9"/>
        <v>50</v>
      </c>
      <c r="AR14" s="21">
        <f t="shared" ca="1" si="10"/>
        <v>10</v>
      </c>
      <c r="AS14" s="21">
        <f t="shared" ca="1" si="11"/>
        <v>12</v>
      </c>
      <c r="AT14" s="21">
        <f t="shared" ca="1" si="12"/>
        <v>0</v>
      </c>
      <c r="AU14" s="21">
        <f t="shared" ca="1" si="13"/>
        <v>0</v>
      </c>
      <c r="AV14" s="23">
        <f t="shared" ca="1" si="14"/>
        <v>32.903614457831331</v>
      </c>
      <c r="AW14" s="17"/>
      <c r="AX14" s="17"/>
      <c r="AY14" s="17"/>
      <c r="AZ14" s="17"/>
      <c r="BA14" s="17"/>
      <c r="BB14" s="17"/>
      <c r="BC14" s="17"/>
      <c r="BD14" s="17"/>
      <c r="BE14" s="17"/>
    </row>
    <row r="15" spans="1:58" s="7" customFormat="1" ht="15" customHeight="1" x14ac:dyDescent="0.35">
      <c r="A15" s="2" t="s">
        <v>20</v>
      </c>
      <c r="B15" s="22">
        <f ca="1">INDIRECT("'("&amp;$A$4&amp;")'!b15")</f>
        <v>13</v>
      </c>
      <c r="C15" s="22">
        <f ca="1">INDIRECT("'("&amp;$A$4&amp;")'!c15")</f>
        <v>28</v>
      </c>
      <c r="D15" s="22">
        <f ca="1">INDIRECT("'("&amp;$A$4&amp;")'!d15")</f>
        <v>8</v>
      </c>
      <c r="E15" s="22">
        <f ca="1">INDIRECT("'("&amp;$A$4&amp;")'!e15")</f>
        <v>5</v>
      </c>
      <c r="F15" s="22">
        <f ca="1">INDIRECT("'("&amp;$A$4&amp;")'!f15")</f>
        <v>0</v>
      </c>
      <c r="G15" s="22">
        <f ca="1">INDIRECT("'("&amp;$A$4&amp;")'!g15")</f>
        <v>0</v>
      </c>
      <c r="H15" s="23">
        <f t="shared" ca="1" si="16"/>
        <v>31.046296296296298</v>
      </c>
      <c r="I15" s="22"/>
      <c r="J15" s="22">
        <f ca="1">INDIRECT("'("&amp;$A$4&amp;")'!j15")</f>
        <v>7</v>
      </c>
      <c r="K15" s="22">
        <f ca="1">INDIRECT("'("&amp;$A$4&amp;")'!k15")</f>
        <v>12</v>
      </c>
      <c r="L15" s="22">
        <f ca="1">INDIRECT("'("&amp;$A$4&amp;")'!l15")</f>
        <v>7</v>
      </c>
      <c r="M15" s="22">
        <f ca="1">INDIRECT("'("&amp;$A$4&amp;")'!m15")</f>
        <v>2</v>
      </c>
      <c r="N15" s="22">
        <f ca="1">INDIRECT("'("&amp;$A$4&amp;")'!n15")</f>
        <v>0</v>
      </c>
      <c r="O15" s="22">
        <f ca="1">INDIRECT("'("&amp;$A$4&amp;")'!o15")</f>
        <v>0</v>
      </c>
      <c r="P15" s="23">
        <f t="shared" ca="1" si="18"/>
        <v>31.589285714285712</v>
      </c>
      <c r="Q15" s="22"/>
      <c r="R15" s="21">
        <f t="shared" ca="1" si="19"/>
        <v>20</v>
      </c>
      <c r="S15" s="21">
        <f t="shared" ca="1" si="20"/>
        <v>40</v>
      </c>
      <c r="T15" s="21">
        <f t="shared" ca="1" si="21"/>
        <v>15</v>
      </c>
      <c r="U15" s="21">
        <f t="shared" ca="1" si="22"/>
        <v>7</v>
      </c>
      <c r="V15" s="21">
        <f t="shared" ca="1" si="23"/>
        <v>0</v>
      </c>
      <c r="W15" s="21">
        <f t="shared" ca="1" si="24"/>
        <v>0</v>
      </c>
      <c r="X15" s="23">
        <f t="shared" ca="1" si="3"/>
        <v>31.231707317073173</v>
      </c>
      <c r="Y15" s="22"/>
      <c r="Z15" s="22">
        <f ca="1">INDIRECT("'("&amp;$A$4&amp;")'!z15")</f>
        <v>0</v>
      </c>
      <c r="AA15" s="22">
        <f ca="1">INDIRECT("'("&amp;$A$4&amp;")'!aa15")</f>
        <v>0</v>
      </c>
      <c r="AB15" s="22">
        <f ca="1">INDIRECT("'("&amp;$A$4&amp;")'!ab15")</f>
        <v>0</v>
      </c>
      <c r="AC15" s="22">
        <f ca="1">INDIRECT("'("&amp;$A$4&amp;")'!ac15")</f>
        <v>0</v>
      </c>
      <c r="AD15" s="22">
        <f ca="1">INDIRECT("'("&amp;$A$4&amp;")'!ad15")</f>
        <v>0</v>
      </c>
      <c r="AE15" s="22">
        <f ca="1">INDIRECT("'("&amp;$A$4&amp;")'!ae15")</f>
        <v>0</v>
      </c>
      <c r="AF15" s="23" t="str">
        <f t="shared" ca="1" si="5"/>
        <v>-</v>
      </c>
      <c r="AG15" s="22"/>
      <c r="AH15" s="22">
        <f ca="1">INDIRECT("'("&amp;$A$4&amp;")'!ah15")</f>
        <v>5</v>
      </c>
      <c r="AI15" s="22">
        <f ca="1">INDIRECT("'("&amp;$A$4&amp;")'!ai15")</f>
        <v>3</v>
      </c>
      <c r="AJ15" s="22">
        <f ca="1">INDIRECT("'("&amp;$A$4&amp;")'!aj15")</f>
        <v>1</v>
      </c>
      <c r="AK15" s="22">
        <f ca="1">INDIRECT("'("&amp;$A$4&amp;")'!ak15")</f>
        <v>2</v>
      </c>
      <c r="AL15" s="22">
        <f ca="1">INDIRECT("'("&amp;$A$4&amp;")'!al15")</f>
        <v>5</v>
      </c>
      <c r="AM15" s="22">
        <f ca="1">INDIRECT("'("&amp;$A$4&amp;")'!am15")</f>
        <v>0</v>
      </c>
      <c r="AN15" s="23">
        <f t="shared" ca="1" si="7"/>
        <v>38.21875</v>
      </c>
      <c r="AO15" s="22"/>
      <c r="AP15" s="21">
        <f t="shared" ca="1" si="8"/>
        <v>25</v>
      </c>
      <c r="AQ15" s="21">
        <f t="shared" ca="1" si="9"/>
        <v>43</v>
      </c>
      <c r="AR15" s="21">
        <f t="shared" ca="1" si="10"/>
        <v>16</v>
      </c>
      <c r="AS15" s="21">
        <f t="shared" ca="1" si="11"/>
        <v>9</v>
      </c>
      <c r="AT15" s="21">
        <f t="shared" ca="1" si="12"/>
        <v>5</v>
      </c>
      <c r="AU15" s="21">
        <f t="shared" ca="1" si="13"/>
        <v>0</v>
      </c>
      <c r="AV15" s="23">
        <f t="shared" ca="1" si="14"/>
        <v>32.372448979591837</v>
      </c>
      <c r="AW15" s="17"/>
      <c r="AX15" s="17"/>
      <c r="AY15" s="17"/>
      <c r="AZ15" s="17"/>
      <c r="BA15" s="17"/>
      <c r="BB15" s="17"/>
      <c r="BC15" s="17"/>
      <c r="BD15" s="17"/>
      <c r="BE15" s="17"/>
    </row>
    <row r="16" spans="1:58" s="7" customFormat="1" ht="15" customHeight="1" x14ac:dyDescent="0.35">
      <c r="A16" s="2" t="s">
        <v>21</v>
      </c>
      <c r="B16" s="22">
        <f ca="1">INDIRECT("'("&amp;$A$4&amp;")'!b16")</f>
        <v>5</v>
      </c>
      <c r="C16" s="22">
        <f ca="1">INDIRECT("'("&amp;$A$4&amp;")'!c16")</f>
        <v>22</v>
      </c>
      <c r="D16" s="22">
        <f ca="1">INDIRECT("'("&amp;$A$4&amp;")'!d16")</f>
        <v>7</v>
      </c>
      <c r="E16" s="22">
        <f ca="1">INDIRECT("'("&amp;$A$4&amp;")'!e16")</f>
        <v>2</v>
      </c>
      <c r="F16" s="22">
        <f ca="1">INDIRECT("'("&amp;$A$4&amp;")'!f16")</f>
        <v>0</v>
      </c>
      <c r="G16" s="22">
        <f ca="1">INDIRECT("'("&amp;$A$4&amp;")'!g16")</f>
        <v>0</v>
      </c>
      <c r="H16" s="23">
        <f t="shared" ca="1" si="16"/>
        <v>31.791666666666671</v>
      </c>
      <c r="I16" s="22"/>
      <c r="J16" s="22">
        <f ca="1">INDIRECT("'("&amp;$A$4&amp;")'!j16")</f>
        <v>4</v>
      </c>
      <c r="K16" s="22">
        <f ca="1">INDIRECT("'("&amp;$A$4&amp;")'!k16")</f>
        <v>8</v>
      </c>
      <c r="L16" s="22">
        <f ca="1">INDIRECT("'("&amp;$A$4&amp;")'!l16")</f>
        <v>1</v>
      </c>
      <c r="M16" s="22">
        <f ca="1">INDIRECT("'("&amp;$A$4&amp;")'!m16")</f>
        <v>0</v>
      </c>
      <c r="N16" s="22">
        <f ca="1">INDIRECT("'("&amp;$A$4&amp;")'!n16")</f>
        <v>0</v>
      </c>
      <c r="O16" s="22">
        <f ca="1">INDIRECT("'("&amp;$A$4&amp;")'!o16")</f>
        <v>0</v>
      </c>
      <c r="P16" s="23">
        <f t="shared" ca="1" si="18"/>
        <v>27.730769230769234</v>
      </c>
      <c r="Q16" s="22"/>
      <c r="R16" s="21">
        <f t="shared" ca="1" si="19"/>
        <v>9</v>
      </c>
      <c r="S16" s="21">
        <f t="shared" ca="1" si="20"/>
        <v>30</v>
      </c>
      <c r="T16" s="21">
        <f t="shared" ca="1" si="21"/>
        <v>8</v>
      </c>
      <c r="U16" s="21">
        <f t="shared" ca="1" si="22"/>
        <v>2</v>
      </c>
      <c r="V16" s="21">
        <f t="shared" ca="1" si="23"/>
        <v>0</v>
      </c>
      <c r="W16" s="21">
        <f t="shared" ca="1" si="24"/>
        <v>0</v>
      </c>
      <c r="X16" s="23">
        <f t="shared" ca="1" si="3"/>
        <v>30.714285714285715</v>
      </c>
      <c r="Y16" s="22"/>
      <c r="Z16" s="22">
        <f ca="1">INDIRECT("'("&amp;$A$4&amp;")'!z16")</f>
        <v>0</v>
      </c>
      <c r="AA16" s="22">
        <f ca="1">INDIRECT("'("&amp;$A$4&amp;")'!aa16")</f>
        <v>0</v>
      </c>
      <c r="AB16" s="22">
        <f ca="1">INDIRECT("'("&amp;$A$4&amp;")'!ab16")</f>
        <v>1</v>
      </c>
      <c r="AC16" s="22">
        <f ca="1">INDIRECT("'("&amp;$A$4&amp;")'!ac16")</f>
        <v>1</v>
      </c>
      <c r="AD16" s="22">
        <f ca="1">INDIRECT("'("&amp;$A$4&amp;")'!ad16")</f>
        <v>0</v>
      </c>
      <c r="AE16" s="22">
        <f ca="1">INDIRECT("'("&amp;$A$4&amp;")'!ae16")</f>
        <v>0</v>
      </c>
      <c r="AF16" s="23">
        <f t="shared" ca="1" si="5"/>
        <v>45.5</v>
      </c>
      <c r="AG16" s="22"/>
      <c r="AH16" s="22">
        <f ca="1">INDIRECT("'("&amp;$A$4&amp;")'!ah16")</f>
        <v>1</v>
      </c>
      <c r="AI16" s="22">
        <f ca="1">INDIRECT("'("&amp;$A$4&amp;")'!ai16")</f>
        <v>2</v>
      </c>
      <c r="AJ16" s="22">
        <f ca="1">INDIRECT("'("&amp;$A$4&amp;")'!aj16")</f>
        <v>4</v>
      </c>
      <c r="AK16" s="22">
        <f ca="1">INDIRECT("'("&amp;$A$4&amp;")'!ak16")</f>
        <v>4</v>
      </c>
      <c r="AL16" s="22">
        <f ca="1">INDIRECT("'("&amp;$A$4&amp;")'!al16")</f>
        <v>1</v>
      </c>
      <c r="AM16" s="22">
        <f ca="1">INDIRECT("'("&amp;$A$4&amp;")'!am16")</f>
        <v>0</v>
      </c>
      <c r="AN16" s="23">
        <f t="shared" ca="1" si="7"/>
        <v>41.666666666666664</v>
      </c>
      <c r="AO16" s="22"/>
      <c r="AP16" s="21">
        <f t="shared" ca="1" si="8"/>
        <v>10</v>
      </c>
      <c r="AQ16" s="21">
        <f t="shared" ca="1" si="9"/>
        <v>32</v>
      </c>
      <c r="AR16" s="21">
        <f t="shared" ca="1" si="10"/>
        <v>13</v>
      </c>
      <c r="AS16" s="21">
        <f t="shared" ca="1" si="11"/>
        <v>7</v>
      </c>
      <c r="AT16" s="21">
        <f t="shared" ca="1" si="12"/>
        <v>1</v>
      </c>
      <c r="AU16" s="21">
        <f t="shared" ca="1" si="13"/>
        <v>0</v>
      </c>
      <c r="AV16" s="23">
        <f t="shared" ca="1" si="14"/>
        <v>33.269841269841265</v>
      </c>
      <c r="AW16" s="17"/>
      <c r="AX16" s="17"/>
      <c r="AY16" s="17"/>
      <c r="AZ16" s="17"/>
      <c r="BA16" s="17"/>
      <c r="BB16" s="17"/>
      <c r="BC16" s="17"/>
      <c r="BD16" s="17"/>
      <c r="BE16" s="17"/>
    </row>
    <row r="17" spans="1:57" s="7" customFormat="1" ht="15" customHeight="1" x14ac:dyDescent="0.35">
      <c r="A17" s="2" t="s">
        <v>22</v>
      </c>
      <c r="B17" s="22">
        <f ca="1">INDIRECT("'("&amp;$A$4&amp;")'!b17")</f>
        <v>0</v>
      </c>
      <c r="C17" s="22">
        <f ca="1">INDIRECT("'("&amp;$A$4&amp;")'!c17")</f>
        <v>5</v>
      </c>
      <c r="D17" s="22">
        <f ca="1">INDIRECT("'("&amp;$A$4&amp;")'!d17")</f>
        <v>5</v>
      </c>
      <c r="E17" s="22">
        <f ca="1">INDIRECT("'("&amp;$A$4&amp;")'!e17")</f>
        <v>2</v>
      </c>
      <c r="F17" s="22">
        <f ca="1">INDIRECT("'("&amp;$A$4&amp;")'!f17")</f>
        <v>0</v>
      </c>
      <c r="G17" s="22">
        <f ca="1">INDIRECT("'("&amp;$A$4&amp;")'!g17")</f>
        <v>0</v>
      </c>
      <c r="H17" s="23">
        <f t="shared" ca="1" si="16"/>
        <v>37.791666666666664</v>
      </c>
      <c r="I17" s="22"/>
      <c r="J17" s="22">
        <f ca="1">INDIRECT("'("&amp;$A$4&amp;")'!j17")</f>
        <v>11</v>
      </c>
      <c r="K17" s="22">
        <f ca="1">INDIRECT("'("&amp;$A$4&amp;")'!k17")</f>
        <v>18</v>
      </c>
      <c r="L17" s="22">
        <f ca="1">INDIRECT("'("&amp;$A$4&amp;")'!l17")</f>
        <v>12</v>
      </c>
      <c r="M17" s="22">
        <f ca="1">INDIRECT("'("&amp;$A$4&amp;")'!m17")</f>
        <v>15</v>
      </c>
      <c r="N17" s="22">
        <f ca="1">INDIRECT("'("&amp;$A$4&amp;")'!n17")</f>
        <v>3</v>
      </c>
      <c r="O17" s="22">
        <f ca="1">INDIRECT("'("&amp;$A$4&amp;")'!o17")</f>
        <v>0</v>
      </c>
      <c r="P17" s="23">
        <f t="shared" ca="1" si="18"/>
        <v>36.805084745762713</v>
      </c>
      <c r="Q17" s="22"/>
      <c r="R17" s="21">
        <f t="shared" ca="1" si="19"/>
        <v>11</v>
      </c>
      <c r="S17" s="21">
        <f t="shared" ca="1" si="20"/>
        <v>23</v>
      </c>
      <c r="T17" s="21">
        <f t="shared" ca="1" si="21"/>
        <v>17</v>
      </c>
      <c r="U17" s="21">
        <f t="shared" ca="1" si="22"/>
        <v>17</v>
      </c>
      <c r="V17" s="21">
        <f t="shared" ca="1" si="23"/>
        <v>3</v>
      </c>
      <c r="W17" s="21">
        <f t="shared" ca="1" si="24"/>
        <v>0</v>
      </c>
      <c r="X17" s="23">
        <f t="shared" ca="1" si="3"/>
        <v>36.971830985915489</v>
      </c>
      <c r="Y17" s="22"/>
      <c r="Z17" s="22">
        <f ca="1">INDIRECT("'("&amp;$A$4&amp;")'!z17")</f>
        <v>1</v>
      </c>
      <c r="AA17" s="22">
        <f ca="1">INDIRECT("'("&amp;$A$4&amp;")'!aa17")</f>
        <v>0</v>
      </c>
      <c r="AB17" s="22">
        <f ca="1">INDIRECT("'("&amp;$A$4&amp;")'!ab17")</f>
        <v>0</v>
      </c>
      <c r="AC17" s="22">
        <f ca="1">INDIRECT("'("&amp;$A$4&amp;")'!ac17")</f>
        <v>2</v>
      </c>
      <c r="AD17" s="22">
        <f ca="1">INDIRECT("'("&amp;$A$4&amp;")'!ad17")</f>
        <v>0</v>
      </c>
      <c r="AE17" s="22">
        <f ca="1">INDIRECT("'("&amp;$A$4&amp;")'!ae17")</f>
        <v>0</v>
      </c>
      <c r="AF17" s="23">
        <f t="shared" ca="1" si="5"/>
        <v>40.333333333333329</v>
      </c>
      <c r="AG17" s="22"/>
      <c r="AH17" s="22">
        <f ca="1">INDIRECT("'("&amp;$A$4&amp;")'!ah17")</f>
        <v>5</v>
      </c>
      <c r="AI17" s="22">
        <f ca="1">INDIRECT("'("&amp;$A$4&amp;")'!ai17")</f>
        <v>10</v>
      </c>
      <c r="AJ17" s="22">
        <f ca="1">INDIRECT("'("&amp;$A$4&amp;")'!aj17")</f>
        <v>5</v>
      </c>
      <c r="AK17" s="22">
        <f ca="1">INDIRECT("'("&amp;$A$4&amp;")'!ak17")</f>
        <v>2</v>
      </c>
      <c r="AL17" s="22">
        <f ca="1">INDIRECT("'("&amp;$A$4&amp;")'!al17")</f>
        <v>2</v>
      </c>
      <c r="AM17" s="22">
        <f ca="1">INDIRECT("'("&amp;$A$4&amp;")'!am17")</f>
        <v>0</v>
      </c>
      <c r="AN17" s="23">
        <f t="shared" ca="1" si="7"/>
        <v>33.979166666666664</v>
      </c>
      <c r="AO17" s="22"/>
      <c r="AP17" s="21">
        <f t="shared" ca="1" si="8"/>
        <v>17</v>
      </c>
      <c r="AQ17" s="21">
        <f t="shared" ca="1" si="9"/>
        <v>33</v>
      </c>
      <c r="AR17" s="21">
        <f t="shared" ca="1" si="10"/>
        <v>22</v>
      </c>
      <c r="AS17" s="21">
        <f t="shared" ca="1" si="11"/>
        <v>21</v>
      </c>
      <c r="AT17" s="21">
        <f t="shared" ca="1" si="12"/>
        <v>5</v>
      </c>
      <c r="AU17" s="21">
        <f t="shared" ca="1" si="13"/>
        <v>0</v>
      </c>
      <c r="AV17" s="23">
        <f t="shared" ca="1" si="14"/>
        <v>36.341836734693871</v>
      </c>
      <c r="AW17" s="17"/>
      <c r="AX17" s="17"/>
      <c r="AY17" s="17"/>
      <c r="AZ17" s="17"/>
      <c r="BA17" s="17"/>
      <c r="BB17" s="17"/>
      <c r="BC17" s="17"/>
      <c r="BD17" s="17"/>
      <c r="BE17" s="17"/>
    </row>
    <row r="18" spans="1:57" s="7" customFormat="1" ht="15" customHeight="1" x14ac:dyDescent="0.35">
      <c r="A18" s="2" t="s">
        <v>23</v>
      </c>
      <c r="B18" s="22">
        <f ca="1">INDIRECT("'("&amp;$A$4&amp;")'!b18")</f>
        <v>0</v>
      </c>
      <c r="C18" s="22">
        <f ca="1">INDIRECT("'("&amp;$A$4&amp;")'!c18")</f>
        <v>5</v>
      </c>
      <c r="D18" s="22">
        <f ca="1">INDIRECT("'("&amp;$A$4&amp;")'!d18")</f>
        <v>2</v>
      </c>
      <c r="E18" s="22">
        <f ca="1">INDIRECT("'("&amp;$A$4&amp;")'!e18")</f>
        <v>1</v>
      </c>
      <c r="F18" s="22">
        <f ca="1">INDIRECT("'("&amp;$A$4&amp;")'!f18")</f>
        <v>0</v>
      </c>
      <c r="G18" s="22">
        <f ca="1">INDIRECT("'("&amp;$A$4&amp;")'!g18")</f>
        <v>0</v>
      </c>
      <c r="H18" s="23">
        <f t="shared" ca="1" si="16"/>
        <v>35.1875</v>
      </c>
      <c r="I18" s="22"/>
      <c r="J18" s="22">
        <f ca="1">INDIRECT("'("&amp;$A$4&amp;")'!j18")</f>
        <v>5</v>
      </c>
      <c r="K18" s="22">
        <f ca="1">INDIRECT("'("&amp;$A$4&amp;")'!k18")</f>
        <v>5</v>
      </c>
      <c r="L18" s="22">
        <f ca="1">INDIRECT("'("&amp;$A$4&amp;")'!l18")</f>
        <v>2</v>
      </c>
      <c r="M18" s="22">
        <f ca="1">INDIRECT("'("&amp;$A$4&amp;")'!m18")</f>
        <v>4</v>
      </c>
      <c r="N18" s="22">
        <f ca="1">INDIRECT("'("&amp;$A$4&amp;")'!n18")</f>
        <v>1</v>
      </c>
      <c r="O18" s="22">
        <f ca="1">INDIRECT("'("&amp;$A$4&amp;")'!o18")</f>
        <v>0</v>
      </c>
      <c r="P18" s="23">
        <f t="shared" ca="1" si="18"/>
        <v>34.647058823529413</v>
      </c>
      <c r="Q18" s="22"/>
      <c r="R18" s="21">
        <f t="shared" ca="1" si="19"/>
        <v>5</v>
      </c>
      <c r="S18" s="21">
        <f t="shared" ca="1" si="20"/>
        <v>10</v>
      </c>
      <c r="T18" s="21">
        <f t="shared" ca="1" si="21"/>
        <v>4</v>
      </c>
      <c r="U18" s="21">
        <f t="shared" ca="1" si="22"/>
        <v>5</v>
      </c>
      <c r="V18" s="21">
        <f t="shared" ca="1" si="23"/>
        <v>1</v>
      </c>
      <c r="W18" s="21">
        <f t="shared" ca="1" si="24"/>
        <v>0</v>
      </c>
      <c r="X18" s="23">
        <f t="shared" ca="1" si="3"/>
        <v>34.82</v>
      </c>
      <c r="Y18" s="22"/>
      <c r="Z18" s="22">
        <f ca="1">INDIRECT("'("&amp;$A$4&amp;")'!z18")</f>
        <v>0</v>
      </c>
      <c r="AA18" s="22">
        <f ca="1">INDIRECT("'("&amp;$A$4&amp;")'!aa18")</f>
        <v>0</v>
      </c>
      <c r="AB18" s="22">
        <f ca="1">INDIRECT("'("&amp;$A$4&amp;")'!ab18")</f>
        <v>0</v>
      </c>
      <c r="AC18" s="22">
        <f ca="1">INDIRECT("'("&amp;$A$4&amp;")'!ac18")</f>
        <v>0</v>
      </c>
      <c r="AD18" s="22">
        <f ca="1">INDIRECT("'("&amp;$A$4&amp;")'!ad18")</f>
        <v>0</v>
      </c>
      <c r="AE18" s="22">
        <f ca="1">INDIRECT("'("&amp;$A$4&amp;")'!ae18")</f>
        <v>0</v>
      </c>
      <c r="AF18" s="23" t="str">
        <f t="shared" ca="1" si="5"/>
        <v>-</v>
      </c>
      <c r="AG18" s="22"/>
      <c r="AH18" s="22">
        <f ca="1">INDIRECT("'("&amp;$A$4&amp;")'!ah18")</f>
        <v>0</v>
      </c>
      <c r="AI18" s="22">
        <f ca="1">INDIRECT("'("&amp;$A$4&amp;")'!ai18")</f>
        <v>2</v>
      </c>
      <c r="AJ18" s="22">
        <f ca="1">INDIRECT("'("&amp;$A$4&amp;")'!aj18")</f>
        <v>0</v>
      </c>
      <c r="AK18" s="22">
        <f ca="1">INDIRECT("'("&amp;$A$4&amp;")'!ak18")</f>
        <v>1</v>
      </c>
      <c r="AL18" s="22">
        <f ca="1">INDIRECT("'("&amp;$A$4&amp;")'!al18")</f>
        <v>2</v>
      </c>
      <c r="AM18" s="22">
        <f ca="1">INDIRECT("'("&amp;$A$4&amp;")'!am18")</f>
        <v>0</v>
      </c>
      <c r="AN18" s="23">
        <f t="shared" ca="1" si="7"/>
        <v>44.5</v>
      </c>
      <c r="AO18" s="22"/>
      <c r="AP18" s="21">
        <f t="shared" ca="1" si="8"/>
        <v>5</v>
      </c>
      <c r="AQ18" s="21">
        <f t="shared" ca="1" si="9"/>
        <v>12</v>
      </c>
      <c r="AR18" s="21">
        <f t="shared" ca="1" si="10"/>
        <v>4</v>
      </c>
      <c r="AS18" s="21">
        <f t="shared" ca="1" si="11"/>
        <v>6</v>
      </c>
      <c r="AT18" s="21">
        <f t="shared" ca="1" si="12"/>
        <v>3</v>
      </c>
      <c r="AU18" s="21">
        <f t="shared" ca="1" si="13"/>
        <v>0</v>
      </c>
      <c r="AV18" s="23">
        <f t="shared" ca="1" si="14"/>
        <v>36.433333333333337</v>
      </c>
      <c r="AW18" s="17"/>
      <c r="AX18" s="17"/>
      <c r="AY18" s="17"/>
      <c r="AZ18" s="17"/>
      <c r="BA18" s="17"/>
      <c r="BB18" s="17"/>
      <c r="BC18" s="17"/>
      <c r="BD18" s="17"/>
      <c r="BE18" s="17"/>
    </row>
    <row r="19" spans="1:57" s="7" customFormat="1" ht="15" customHeight="1" x14ac:dyDescent="0.35">
      <c r="A19" s="24" t="s">
        <v>24</v>
      </c>
      <c r="B19" s="22">
        <f ca="1">INDIRECT("'("&amp;$A$4&amp;")'!b19")</f>
        <v>5</v>
      </c>
      <c r="C19" s="22">
        <f ca="1">INDIRECT("'("&amp;$A$4&amp;")'!c19")</f>
        <v>24</v>
      </c>
      <c r="D19" s="22">
        <f ca="1">INDIRECT("'("&amp;$A$4&amp;")'!d19")</f>
        <v>2</v>
      </c>
      <c r="E19" s="22">
        <f ca="1">INDIRECT("'("&amp;$A$4&amp;")'!e19")</f>
        <v>0</v>
      </c>
      <c r="F19" s="22">
        <f ca="1">INDIRECT("'("&amp;$A$4&amp;")'!f19")</f>
        <v>0</v>
      </c>
      <c r="G19" s="22">
        <f ca="1">INDIRECT("'("&amp;$A$4&amp;")'!g19")</f>
        <v>0</v>
      </c>
      <c r="H19" s="23">
        <f t="shared" ca="1" si="16"/>
        <v>29.06451612903226</v>
      </c>
      <c r="I19" s="22"/>
      <c r="J19" s="22">
        <f ca="1">INDIRECT("'("&amp;$A$4&amp;")'!j19")</f>
        <v>6</v>
      </c>
      <c r="K19" s="22">
        <f ca="1">INDIRECT("'("&amp;$A$4&amp;")'!k19")</f>
        <v>17</v>
      </c>
      <c r="L19" s="22">
        <f ca="1">INDIRECT("'("&amp;$A$4&amp;")'!l19")</f>
        <v>4</v>
      </c>
      <c r="M19" s="22">
        <f ca="1">INDIRECT("'("&amp;$A$4&amp;")'!m19")</f>
        <v>2</v>
      </c>
      <c r="N19" s="22">
        <f ca="1">INDIRECT("'("&amp;$A$4&amp;")'!n19")</f>
        <v>1</v>
      </c>
      <c r="O19" s="22">
        <f ca="1">INDIRECT("'("&amp;$A$4&amp;")'!o19")</f>
        <v>0</v>
      </c>
      <c r="P19" s="23">
        <f t="shared" ca="1" si="18"/>
        <v>31.633333333333333</v>
      </c>
      <c r="Q19" s="22"/>
      <c r="R19" s="21">
        <f t="shared" ca="1" si="19"/>
        <v>11</v>
      </c>
      <c r="S19" s="21">
        <f t="shared" ca="1" si="20"/>
        <v>41</v>
      </c>
      <c r="T19" s="21">
        <f t="shared" ca="1" si="21"/>
        <v>6</v>
      </c>
      <c r="U19" s="21">
        <f t="shared" ca="1" si="22"/>
        <v>2</v>
      </c>
      <c r="V19" s="21">
        <f t="shared" ca="1" si="23"/>
        <v>1</v>
      </c>
      <c r="W19" s="21">
        <f t="shared" ca="1" si="24"/>
        <v>0</v>
      </c>
      <c r="X19" s="23">
        <f t="shared" ca="1" si="3"/>
        <v>30.327868852459012</v>
      </c>
      <c r="Y19" s="22"/>
      <c r="Z19" s="22">
        <f ca="1">INDIRECT("'("&amp;$A$4&amp;")'!z19")</f>
        <v>0</v>
      </c>
      <c r="AA19" s="22">
        <f ca="1">INDIRECT("'("&amp;$A$4&amp;")'!aa19")</f>
        <v>0</v>
      </c>
      <c r="AB19" s="22">
        <f ca="1">INDIRECT("'("&amp;$A$4&amp;")'!ab19")</f>
        <v>0</v>
      </c>
      <c r="AC19" s="22">
        <f ca="1">INDIRECT("'("&amp;$A$4&amp;")'!ac19")</f>
        <v>0</v>
      </c>
      <c r="AD19" s="22">
        <f ca="1">INDIRECT("'("&amp;$A$4&amp;")'!ad19")</f>
        <v>0</v>
      </c>
      <c r="AE19" s="22">
        <f ca="1">INDIRECT("'("&amp;$A$4&amp;")'!ae19")</f>
        <v>0</v>
      </c>
      <c r="AF19" s="23" t="str">
        <f t="shared" ca="1" si="5"/>
        <v>-</v>
      </c>
      <c r="AG19" s="22"/>
      <c r="AH19" s="22">
        <f ca="1">INDIRECT("'("&amp;$A$4&amp;")'!ah19")</f>
        <v>1</v>
      </c>
      <c r="AI19" s="22">
        <f ca="1">INDIRECT("'("&amp;$A$4&amp;")'!ai19")</f>
        <v>8</v>
      </c>
      <c r="AJ19" s="22">
        <f ca="1">INDIRECT("'("&amp;$A$4&amp;")'!aj19")</f>
        <v>9</v>
      </c>
      <c r="AK19" s="22">
        <f ca="1">INDIRECT("'("&amp;$A$4&amp;")'!ak19")</f>
        <v>11</v>
      </c>
      <c r="AL19" s="22">
        <f ca="1">INDIRECT("'("&amp;$A$4&amp;")'!al19")</f>
        <v>1</v>
      </c>
      <c r="AM19" s="22">
        <f ca="1">INDIRECT("'("&amp;$A$4&amp;")'!am19")</f>
        <v>0</v>
      </c>
      <c r="AN19" s="23">
        <f t="shared" ca="1" si="7"/>
        <v>41.199999999999996</v>
      </c>
      <c r="AO19" s="22"/>
      <c r="AP19" s="21">
        <f t="shared" ca="1" si="8"/>
        <v>12</v>
      </c>
      <c r="AQ19" s="21">
        <f t="shared" ca="1" si="9"/>
        <v>49</v>
      </c>
      <c r="AR19" s="21">
        <f t="shared" ca="1" si="10"/>
        <v>15</v>
      </c>
      <c r="AS19" s="21">
        <f t="shared" ca="1" si="11"/>
        <v>13</v>
      </c>
      <c r="AT19" s="21">
        <f t="shared" ca="1" si="12"/>
        <v>2</v>
      </c>
      <c r="AU19" s="21">
        <f t="shared" ca="1" si="13"/>
        <v>0</v>
      </c>
      <c r="AV19" s="23">
        <f t="shared" ca="1" si="14"/>
        <v>33.912087912087912</v>
      </c>
      <c r="AW19" s="17"/>
      <c r="AX19" s="17"/>
      <c r="AY19" s="17"/>
      <c r="AZ19" s="17"/>
      <c r="BA19" s="17"/>
      <c r="BB19" s="17"/>
      <c r="BC19" s="17"/>
      <c r="BD19" s="17"/>
      <c r="BE19" s="17"/>
    </row>
    <row r="20" spans="1:57" s="7" customFormat="1" ht="15" customHeight="1" x14ac:dyDescent="0.35">
      <c r="A20" s="24" t="s">
        <v>25</v>
      </c>
      <c r="B20" s="22">
        <f ca="1">INDIRECT("'("&amp;$A$4&amp;")'!b20")</f>
        <v>0</v>
      </c>
      <c r="C20" s="22">
        <f ca="1">INDIRECT("'("&amp;$A$4&amp;")'!c20")</f>
        <v>2</v>
      </c>
      <c r="D20" s="22">
        <f ca="1">INDIRECT("'("&amp;$A$4&amp;")'!d20")</f>
        <v>3</v>
      </c>
      <c r="E20" s="22">
        <f ca="1">INDIRECT("'("&amp;$A$4&amp;")'!e20")</f>
        <v>2</v>
      </c>
      <c r="F20" s="22">
        <f ca="1">INDIRECT("'("&amp;$A$4&amp;")'!f20")</f>
        <v>1</v>
      </c>
      <c r="G20" s="22">
        <f ca="1">INDIRECT("'("&amp;$A$4&amp;")'!g20")</f>
        <v>0</v>
      </c>
      <c r="H20" s="23">
        <f t="shared" ca="1" si="16"/>
        <v>42.3125</v>
      </c>
      <c r="I20" s="22"/>
      <c r="J20" s="22">
        <f ca="1">INDIRECT("'("&amp;$A$4&amp;")'!j20")</f>
        <v>26</v>
      </c>
      <c r="K20" s="22">
        <f ca="1">INDIRECT("'("&amp;$A$4&amp;")'!k20")</f>
        <v>57</v>
      </c>
      <c r="L20" s="22">
        <f ca="1">INDIRECT("'("&amp;$A$4&amp;")'!l20")</f>
        <v>26</v>
      </c>
      <c r="M20" s="22">
        <f ca="1">INDIRECT("'("&amp;$A$4&amp;")'!m20")</f>
        <v>14</v>
      </c>
      <c r="N20" s="22">
        <f ca="1">INDIRECT("'("&amp;$A$4&amp;")'!n20")</f>
        <v>6</v>
      </c>
      <c r="O20" s="22">
        <f ca="1">INDIRECT("'("&amp;$A$4&amp;")'!o20")</f>
        <v>0</v>
      </c>
      <c r="P20" s="23">
        <f t="shared" ca="1" si="18"/>
        <v>33.534883720930232</v>
      </c>
      <c r="Q20" s="22"/>
      <c r="R20" s="21">
        <f t="shared" ca="1" si="19"/>
        <v>26</v>
      </c>
      <c r="S20" s="21">
        <f t="shared" ca="1" si="20"/>
        <v>59</v>
      </c>
      <c r="T20" s="21">
        <f t="shared" ca="1" si="21"/>
        <v>29</v>
      </c>
      <c r="U20" s="21">
        <f t="shared" ca="1" si="22"/>
        <v>16</v>
      </c>
      <c r="V20" s="21">
        <f t="shared" ca="1" si="23"/>
        <v>7</v>
      </c>
      <c r="W20" s="21">
        <f t="shared" ca="1" si="24"/>
        <v>0</v>
      </c>
      <c r="X20" s="23">
        <f t="shared" ca="1" si="3"/>
        <v>34.04744525547445</v>
      </c>
      <c r="Y20" s="22"/>
      <c r="Z20" s="22">
        <f ca="1">INDIRECT("'("&amp;$A$4&amp;")'!z20")</f>
        <v>0</v>
      </c>
      <c r="AA20" s="22">
        <f ca="1">INDIRECT("'("&amp;$A$4&amp;")'!aa20")</f>
        <v>0</v>
      </c>
      <c r="AB20" s="22">
        <f ca="1">INDIRECT("'("&amp;$A$4&amp;")'!ab20")</f>
        <v>0</v>
      </c>
      <c r="AC20" s="22">
        <f ca="1">INDIRECT("'("&amp;$A$4&amp;")'!ac20")</f>
        <v>0</v>
      </c>
      <c r="AD20" s="22">
        <f ca="1">INDIRECT("'("&amp;$A$4&amp;")'!ad20")</f>
        <v>0</v>
      </c>
      <c r="AE20" s="22">
        <f ca="1">INDIRECT("'("&amp;$A$4&amp;")'!ae20")</f>
        <v>0</v>
      </c>
      <c r="AF20" s="23" t="str">
        <f t="shared" ca="1" si="5"/>
        <v>-</v>
      </c>
      <c r="AG20" s="22"/>
      <c r="AH20" s="22">
        <f ca="1">INDIRECT("'("&amp;$A$4&amp;")'!ah20")</f>
        <v>5</v>
      </c>
      <c r="AI20" s="22">
        <f ca="1">INDIRECT("'("&amp;$A$4&amp;")'!ai20")</f>
        <v>6</v>
      </c>
      <c r="AJ20" s="22">
        <f ca="1">INDIRECT("'("&amp;$A$4&amp;")'!aj20")</f>
        <v>4</v>
      </c>
      <c r="AK20" s="22">
        <f ca="1">INDIRECT("'("&amp;$A$4&amp;")'!ak20")</f>
        <v>10</v>
      </c>
      <c r="AL20" s="22">
        <f ca="1">INDIRECT("'("&amp;$A$4&amp;")'!al20")</f>
        <v>2</v>
      </c>
      <c r="AM20" s="22">
        <f ca="1">INDIRECT("'("&amp;$A$4&amp;")'!am20")</f>
        <v>0</v>
      </c>
      <c r="AN20" s="23">
        <f t="shared" ca="1" si="7"/>
        <v>39.222222222222221</v>
      </c>
      <c r="AO20" s="22"/>
      <c r="AP20" s="21">
        <f t="shared" ca="1" si="8"/>
        <v>31</v>
      </c>
      <c r="AQ20" s="21">
        <f t="shared" ca="1" si="9"/>
        <v>65</v>
      </c>
      <c r="AR20" s="21">
        <f t="shared" ca="1" si="10"/>
        <v>33</v>
      </c>
      <c r="AS20" s="21">
        <f t="shared" ca="1" si="11"/>
        <v>26</v>
      </c>
      <c r="AT20" s="21">
        <f t="shared" ca="1" si="12"/>
        <v>9</v>
      </c>
      <c r="AU20" s="21">
        <f t="shared" ca="1" si="13"/>
        <v>0</v>
      </c>
      <c r="AV20" s="23">
        <f t="shared" ca="1" si="14"/>
        <v>34.899390243902438</v>
      </c>
      <c r="AW20" s="17"/>
      <c r="AX20" s="17"/>
      <c r="AY20" s="17"/>
      <c r="AZ20" s="17"/>
      <c r="BA20" s="17"/>
      <c r="BB20" s="17"/>
      <c r="BC20" s="17"/>
      <c r="BD20" s="17"/>
      <c r="BE20" s="17"/>
    </row>
    <row r="21" spans="1:57" s="7" customFormat="1" ht="15" customHeight="1" x14ac:dyDescent="0.35">
      <c r="A21" s="2" t="s">
        <v>26</v>
      </c>
      <c r="B21" s="22">
        <f ca="1">INDIRECT("'("&amp;$A$4&amp;")'!b21")</f>
        <v>5</v>
      </c>
      <c r="C21" s="22">
        <f ca="1">INDIRECT("'("&amp;$A$4&amp;")'!c21")</f>
        <v>15</v>
      </c>
      <c r="D21" s="22">
        <f ca="1">INDIRECT("'("&amp;$A$4&amp;")'!d21")</f>
        <v>6</v>
      </c>
      <c r="E21" s="22">
        <f ca="1">INDIRECT("'("&amp;$A$4&amp;")'!e21")</f>
        <v>6</v>
      </c>
      <c r="F21" s="22">
        <f ca="1">INDIRECT("'("&amp;$A$4&amp;")'!f21")</f>
        <v>0</v>
      </c>
      <c r="G21" s="22">
        <f ca="1">INDIRECT("'("&amp;$A$4&amp;")'!g21")</f>
        <v>0</v>
      </c>
      <c r="H21" s="23">
        <f t="shared" ca="1" si="16"/>
        <v>34.25</v>
      </c>
      <c r="I21" s="22"/>
      <c r="J21" s="22">
        <f ca="1">INDIRECT("'("&amp;$A$4&amp;")'!j21")</f>
        <v>18</v>
      </c>
      <c r="K21" s="22">
        <f ca="1">INDIRECT("'("&amp;$A$4&amp;")'!k21")</f>
        <v>39</v>
      </c>
      <c r="L21" s="22">
        <f ca="1">INDIRECT("'("&amp;$A$4&amp;")'!l21")</f>
        <v>8</v>
      </c>
      <c r="M21" s="22">
        <f ca="1">INDIRECT("'("&amp;$A$4&amp;")'!m21")</f>
        <v>2</v>
      </c>
      <c r="N21" s="22">
        <f ca="1">INDIRECT("'("&amp;$A$4&amp;")'!n21")</f>
        <v>0</v>
      </c>
      <c r="O21" s="22">
        <f ca="1">INDIRECT("'("&amp;$A$4&amp;")'!o21")</f>
        <v>0</v>
      </c>
      <c r="P21" s="23">
        <f t="shared" ca="1" si="18"/>
        <v>29.17910447761194</v>
      </c>
      <c r="Q21" s="22"/>
      <c r="R21" s="21">
        <f t="shared" ca="1" si="19"/>
        <v>23</v>
      </c>
      <c r="S21" s="21">
        <f t="shared" ca="1" si="20"/>
        <v>54</v>
      </c>
      <c r="T21" s="21">
        <f t="shared" ca="1" si="21"/>
        <v>14</v>
      </c>
      <c r="U21" s="21">
        <f t="shared" ca="1" si="22"/>
        <v>8</v>
      </c>
      <c r="V21" s="21">
        <f t="shared" ca="1" si="23"/>
        <v>0</v>
      </c>
      <c r="W21" s="21">
        <f t="shared" ca="1" si="24"/>
        <v>0</v>
      </c>
      <c r="X21" s="23">
        <f t="shared" ca="1" si="3"/>
        <v>30.81818181818182</v>
      </c>
      <c r="Y21" s="22"/>
      <c r="Z21" s="22">
        <f ca="1">INDIRECT("'("&amp;$A$4&amp;")'!z21")</f>
        <v>0</v>
      </c>
      <c r="AA21" s="22">
        <f ca="1">INDIRECT("'("&amp;$A$4&amp;")'!aa21")</f>
        <v>0</v>
      </c>
      <c r="AB21" s="22">
        <f ca="1">INDIRECT("'("&amp;$A$4&amp;")'!ab21")</f>
        <v>0</v>
      </c>
      <c r="AC21" s="22">
        <f ca="1">INDIRECT("'("&amp;$A$4&amp;")'!ac21")</f>
        <v>0</v>
      </c>
      <c r="AD21" s="22">
        <f ca="1">INDIRECT("'("&amp;$A$4&amp;")'!ad21")</f>
        <v>0</v>
      </c>
      <c r="AE21" s="22">
        <f ca="1">INDIRECT("'("&amp;$A$4&amp;")'!ae21")</f>
        <v>0</v>
      </c>
      <c r="AF21" s="23" t="str">
        <f t="shared" ca="1" si="5"/>
        <v>-</v>
      </c>
      <c r="AG21" s="22"/>
      <c r="AH21" s="22">
        <f ca="1">INDIRECT("'("&amp;$A$4&amp;")'!ah21")</f>
        <v>5</v>
      </c>
      <c r="AI21" s="22">
        <f ca="1">INDIRECT("'("&amp;$A$4&amp;")'!ai21")</f>
        <v>16</v>
      </c>
      <c r="AJ21" s="22">
        <f ca="1">INDIRECT("'("&amp;$A$4&amp;")'!aj21")</f>
        <v>16</v>
      </c>
      <c r="AK21" s="22">
        <f ca="1">INDIRECT("'("&amp;$A$4&amp;")'!ak21")</f>
        <v>14</v>
      </c>
      <c r="AL21" s="22">
        <f ca="1">INDIRECT("'("&amp;$A$4&amp;")'!al21")</f>
        <v>5</v>
      </c>
      <c r="AM21" s="22">
        <f ca="1">INDIRECT("'("&amp;$A$4&amp;")'!am21")</f>
        <v>0</v>
      </c>
      <c r="AN21" s="23">
        <f t="shared" ca="1" si="7"/>
        <v>39.553571428571431</v>
      </c>
      <c r="AO21" s="22"/>
      <c r="AP21" s="21">
        <f t="shared" ca="1" si="8"/>
        <v>28</v>
      </c>
      <c r="AQ21" s="21">
        <f t="shared" ca="1" si="9"/>
        <v>70</v>
      </c>
      <c r="AR21" s="21">
        <f t="shared" ca="1" si="10"/>
        <v>30</v>
      </c>
      <c r="AS21" s="21">
        <f t="shared" ca="1" si="11"/>
        <v>22</v>
      </c>
      <c r="AT21" s="21">
        <f t="shared" ca="1" si="12"/>
        <v>5</v>
      </c>
      <c r="AU21" s="21">
        <f t="shared" ca="1" si="13"/>
        <v>0</v>
      </c>
      <c r="AV21" s="23">
        <f t="shared" ca="1" si="14"/>
        <v>33.974193548387099</v>
      </c>
      <c r="AW21" s="17"/>
      <c r="AX21" s="17"/>
      <c r="AY21" s="17"/>
      <c r="AZ21" s="17"/>
      <c r="BA21" s="17"/>
      <c r="BB21" s="17"/>
      <c r="BC21" s="17"/>
      <c r="BD21" s="17"/>
      <c r="BE21" s="17"/>
    </row>
    <row r="22" spans="1:57" s="7" customFormat="1" ht="15" customHeight="1" x14ac:dyDescent="0.35">
      <c r="A22" s="2" t="s">
        <v>27</v>
      </c>
      <c r="B22" s="22">
        <f ca="1">INDIRECT("'("&amp;$A$4&amp;")'!b22")</f>
        <v>0</v>
      </c>
      <c r="C22" s="22">
        <f ca="1">INDIRECT("'("&amp;$A$4&amp;")'!c22")</f>
        <v>0</v>
      </c>
      <c r="D22" s="22">
        <f ca="1">INDIRECT("'("&amp;$A$4&amp;")'!d22")</f>
        <v>0</v>
      </c>
      <c r="E22" s="22">
        <f ca="1">INDIRECT("'("&amp;$A$4&amp;")'!e22")</f>
        <v>0</v>
      </c>
      <c r="F22" s="22">
        <f ca="1">INDIRECT("'("&amp;$A$4&amp;")'!f22")</f>
        <v>0</v>
      </c>
      <c r="G22" s="22">
        <f ca="1">INDIRECT("'("&amp;$A$4&amp;")'!g22")</f>
        <v>0</v>
      </c>
      <c r="H22" s="23" t="str">
        <f t="shared" ca="1" si="16"/>
        <v>-</v>
      </c>
      <c r="I22" s="22"/>
      <c r="J22" s="22">
        <f ca="1">INDIRECT("'("&amp;$A$4&amp;")'!j22")</f>
        <v>7</v>
      </c>
      <c r="K22" s="22">
        <f ca="1">INDIRECT("'("&amp;$A$4&amp;")'!k22")</f>
        <v>11</v>
      </c>
      <c r="L22" s="22">
        <f ca="1">INDIRECT("'("&amp;$A$4&amp;")'!l22")</f>
        <v>2</v>
      </c>
      <c r="M22" s="22">
        <f ca="1">INDIRECT("'("&amp;$A$4&amp;")'!m22")</f>
        <v>1</v>
      </c>
      <c r="N22" s="22">
        <f ca="1">INDIRECT("'("&amp;$A$4&amp;")'!n22")</f>
        <v>0</v>
      </c>
      <c r="O22" s="22">
        <f ca="1">INDIRECT("'("&amp;$A$4&amp;")'!o22")</f>
        <v>1</v>
      </c>
      <c r="P22" s="23">
        <f t="shared" ca="1" si="18"/>
        <v>28.642857142857142</v>
      </c>
      <c r="Q22" s="22"/>
      <c r="R22" s="21">
        <f t="shared" ca="1" si="19"/>
        <v>7</v>
      </c>
      <c r="S22" s="21">
        <f t="shared" ca="1" si="20"/>
        <v>11</v>
      </c>
      <c r="T22" s="21">
        <f t="shared" ca="1" si="21"/>
        <v>2</v>
      </c>
      <c r="U22" s="21">
        <f t="shared" ca="1" si="22"/>
        <v>1</v>
      </c>
      <c r="V22" s="21">
        <f t="shared" ca="1" si="23"/>
        <v>0</v>
      </c>
      <c r="W22" s="21">
        <f t="shared" ca="1" si="24"/>
        <v>1</v>
      </c>
      <c r="X22" s="23">
        <f t="shared" ca="1" si="3"/>
        <v>28.642857142857142</v>
      </c>
      <c r="Y22" s="22"/>
      <c r="Z22" s="22">
        <f ca="1">INDIRECT("'("&amp;$A$4&amp;")'!z22")</f>
        <v>0</v>
      </c>
      <c r="AA22" s="22">
        <f ca="1">INDIRECT("'("&amp;$A$4&amp;")'!aa22")</f>
        <v>0</v>
      </c>
      <c r="AB22" s="22">
        <f ca="1">INDIRECT("'("&amp;$A$4&amp;")'!ab22")</f>
        <v>0</v>
      </c>
      <c r="AC22" s="22">
        <f ca="1">INDIRECT("'("&amp;$A$4&amp;")'!ac22")</f>
        <v>0</v>
      </c>
      <c r="AD22" s="22">
        <f ca="1">INDIRECT("'("&amp;$A$4&amp;")'!ad22")</f>
        <v>0</v>
      </c>
      <c r="AE22" s="22">
        <f ca="1">INDIRECT("'("&amp;$A$4&amp;")'!ae22")</f>
        <v>0</v>
      </c>
      <c r="AF22" s="23" t="str">
        <f t="shared" ca="1" si="5"/>
        <v>-</v>
      </c>
      <c r="AG22" s="22"/>
      <c r="AH22" s="22">
        <f ca="1">INDIRECT("'("&amp;$A$4&amp;")'!ah22")</f>
        <v>3</v>
      </c>
      <c r="AI22" s="22">
        <f ca="1">INDIRECT("'("&amp;$A$4&amp;")'!ai22")</f>
        <v>5</v>
      </c>
      <c r="AJ22" s="22">
        <f ca="1">INDIRECT("'("&amp;$A$4&amp;")'!aj22")</f>
        <v>2</v>
      </c>
      <c r="AK22" s="22">
        <f ca="1">INDIRECT("'("&amp;$A$4&amp;")'!ak22")</f>
        <v>1</v>
      </c>
      <c r="AL22" s="22">
        <f ca="1">INDIRECT("'("&amp;$A$4&amp;")'!al22")</f>
        <v>0</v>
      </c>
      <c r="AM22" s="22">
        <f ca="1">INDIRECT("'("&amp;$A$4&amp;")'!am22")</f>
        <v>0</v>
      </c>
      <c r="AN22" s="23">
        <f t="shared" ca="1" si="7"/>
        <v>31.045454545454543</v>
      </c>
      <c r="AO22" s="22"/>
      <c r="AP22" s="21">
        <f t="shared" ca="1" si="8"/>
        <v>10</v>
      </c>
      <c r="AQ22" s="21">
        <f t="shared" ca="1" si="9"/>
        <v>16</v>
      </c>
      <c r="AR22" s="21">
        <f t="shared" ca="1" si="10"/>
        <v>4</v>
      </c>
      <c r="AS22" s="21">
        <f t="shared" ca="1" si="11"/>
        <v>2</v>
      </c>
      <c r="AT22" s="21">
        <f t="shared" ca="1" si="12"/>
        <v>0</v>
      </c>
      <c r="AU22" s="21">
        <f t="shared" ca="1" si="13"/>
        <v>1</v>
      </c>
      <c r="AV22" s="23">
        <f t="shared" ca="1" si="14"/>
        <v>29.46875</v>
      </c>
      <c r="AW22" s="17"/>
      <c r="AX22" s="17"/>
      <c r="AY22" s="17"/>
      <c r="AZ22" s="17"/>
      <c r="BA22" s="17"/>
      <c r="BB22" s="17"/>
      <c r="BC22" s="17"/>
      <c r="BD22" s="17"/>
      <c r="BE22" s="17"/>
    </row>
    <row r="23" spans="1:57" s="7" customFormat="1" ht="15" customHeight="1" x14ac:dyDescent="0.35">
      <c r="A23" s="2" t="s">
        <v>28</v>
      </c>
      <c r="B23" s="22">
        <f ca="1">INDIRECT("'("&amp;$A$4&amp;")'!b23")</f>
        <v>0</v>
      </c>
      <c r="C23" s="22">
        <f ca="1">INDIRECT("'("&amp;$A$4&amp;")'!c23")</f>
        <v>1</v>
      </c>
      <c r="D23" s="22">
        <f ca="1">INDIRECT("'("&amp;$A$4&amp;")'!d23")</f>
        <v>1</v>
      </c>
      <c r="E23" s="22">
        <f ca="1">INDIRECT("'("&amp;$A$4&amp;")'!e23")</f>
        <v>0</v>
      </c>
      <c r="F23" s="22">
        <f ca="1">INDIRECT("'("&amp;$A$4&amp;")'!f23")</f>
        <v>0</v>
      </c>
      <c r="G23" s="22">
        <f ca="1">INDIRECT("'("&amp;$A$4&amp;")'!g23")</f>
        <v>0</v>
      </c>
      <c r="H23" s="23">
        <f t="shared" ca="1" si="16"/>
        <v>35.25</v>
      </c>
      <c r="I23" s="22"/>
      <c r="J23" s="22">
        <f ca="1">INDIRECT("'("&amp;$A$4&amp;")'!j23")</f>
        <v>7</v>
      </c>
      <c r="K23" s="22">
        <f ca="1">INDIRECT("'("&amp;$A$4&amp;")'!k23")</f>
        <v>12</v>
      </c>
      <c r="L23" s="22">
        <f ca="1">INDIRECT("'("&amp;$A$4&amp;")'!l23")</f>
        <v>6</v>
      </c>
      <c r="M23" s="22">
        <f ca="1">INDIRECT("'("&amp;$A$4&amp;")'!m23")</f>
        <v>2</v>
      </c>
      <c r="N23" s="22">
        <f ca="1">INDIRECT("'("&amp;$A$4&amp;")'!n23")</f>
        <v>0</v>
      </c>
      <c r="O23" s="22">
        <f ca="1">INDIRECT("'("&amp;$A$4&amp;")'!o23")</f>
        <v>0</v>
      </c>
      <c r="P23" s="23">
        <f t="shared" ca="1" si="18"/>
        <v>31.25925925925926</v>
      </c>
      <c r="Q23" s="22"/>
      <c r="R23" s="21">
        <f t="shared" ca="1" si="19"/>
        <v>7</v>
      </c>
      <c r="S23" s="21">
        <f t="shared" ca="1" si="20"/>
        <v>13</v>
      </c>
      <c r="T23" s="21">
        <f t="shared" ca="1" si="21"/>
        <v>7</v>
      </c>
      <c r="U23" s="21">
        <f t="shared" ca="1" si="22"/>
        <v>2</v>
      </c>
      <c r="V23" s="21">
        <f t="shared" ca="1" si="23"/>
        <v>0</v>
      </c>
      <c r="W23" s="21">
        <f t="shared" ca="1" si="24"/>
        <v>0</v>
      </c>
      <c r="X23" s="23">
        <f t="shared" ca="1" si="3"/>
        <v>31.534482758620687</v>
      </c>
      <c r="Y23" s="22"/>
      <c r="Z23" s="22">
        <f ca="1">INDIRECT("'("&amp;$A$4&amp;")'!z23")</f>
        <v>2</v>
      </c>
      <c r="AA23" s="22">
        <f ca="1">INDIRECT("'("&amp;$A$4&amp;")'!aa23")</f>
        <v>0</v>
      </c>
      <c r="AB23" s="22">
        <f ca="1">INDIRECT("'("&amp;$A$4&amp;")'!ab23")</f>
        <v>0</v>
      </c>
      <c r="AC23" s="22">
        <f ca="1">INDIRECT("'("&amp;$A$4&amp;")'!ac23")</f>
        <v>0</v>
      </c>
      <c r="AD23" s="22">
        <f ca="1">INDIRECT("'("&amp;$A$4&amp;")'!ad23")</f>
        <v>0</v>
      </c>
      <c r="AE23" s="22">
        <f ca="1">INDIRECT("'("&amp;$A$4&amp;")'!ae23")</f>
        <v>0</v>
      </c>
      <c r="AF23" s="23">
        <f t="shared" ca="1" si="5"/>
        <v>20</v>
      </c>
      <c r="AG23" s="22"/>
      <c r="AH23" s="22">
        <f ca="1">INDIRECT("'("&amp;$A$4&amp;")'!ah23")</f>
        <v>2</v>
      </c>
      <c r="AI23" s="22">
        <f ca="1">INDIRECT("'("&amp;$A$4&amp;")'!ai23")</f>
        <v>5</v>
      </c>
      <c r="AJ23" s="22">
        <f ca="1">INDIRECT("'("&amp;$A$4&amp;")'!aj23")</f>
        <v>5</v>
      </c>
      <c r="AK23" s="22">
        <f ca="1">INDIRECT("'("&amp;$A$4&amp;")'!ak23")</f>
        <v>12</v>
      </c>
      <c r="AL23" s="22">
        <f ca="1">INDIRECT("'("&amp;$A$4&amp;")'!al23")</f>
        <v>2</v>
      </c>
      <c r="AM23" s="22">
        <f ca="1">INDIRECT("'("&amp;$A$4&amp;")'!am23")</f>
        <v>0</v>
      </c>
      <c r="AN23" s="23">
        <f t="shared" ca="1" si="7"/>
        <v>42.711538461538467</v>
      </c>
      <c r="AO23" s="22"/>
      <c r="AP23" s="21">
        <f t="shared" ca="1" si="8"/>
        <v>11</v>
      </c>
      <c r="AQ23" s="21">
        <f t="shared" ca="1" si="9"/>
        <v>18</v>
      </c>
      <c r="AR23" s="21">
        <f t="shared" ca="1" si="10"/>
        <v>12</v>
      </c>
      <c r="AS23" s="21">
        <f t="shared" ca="1" si="11"/>
        <v>14</v>
      </c>
      <c r="AT23" s="21">
        <f t="shared" ca="1" si="12"/>
        <v>2</v>
      </c>
      <c r="AU23" s="21">
        <f t="shared" ca="1" si="13"/>
        <v>0</v>
      </c>
      <c r="AV23" s="23">
        <f t="shared" ca="1" si="14"/>
        <v>36.228070175438589</v>
      </c>
      <c r="AW23" s="17"/>
      <c r="AX23" s="17"/>
      <c r="AY23" s="17"/>
      <c r="AZ23" s="17"/>
      <c r="BA23" s="17"/>
      <c r="BB23" s="17"/>
      <c r="BC23" s="17"/>
      <c r="BD23" s="17"/>
      <c r="BE23" s="17"/>
    </row>
    <row r="24" spans="1:57" s="7" customFormat="1" ht="15" customHeight="1" x14ac:dyDescent="0.35">
      <c r="A24" s="2" t="s">
        <v>29</v>
      </c>
      <c r="B24" s="22">
        <f ca="1">INDIRECT("'("&amp;$A$4&amp;")'!b24")</f>
        <v>5</v>
      </c>
      <c r="C24" s="22">
        <f ca="1">INDIRECT("'("&amp;$A$4&amp;")'!c24")</f>
        <v>36</v>
      </c>
      <c r="D24" s="22">
        <f ca="1">INDIRECT("'("&amp;$A$4&amp;")'!d24")</f>
        <v>11</v>
      </c>
      <c r="E24" s="22">
        <f ca="1">INDIRECT("'("&amp;$A$4&amp;")'!e24")</f>
        <v>5</v>
      </c>
      <c r="F24" s="22">
        <f ca="1">INDIRECT("'("&amp;$A$4&amp;")'!f24")</f>
        <v>0</v>
      </c>
      <c r="G24" s="22">
        <f ca="1">INDIRECT("'("&amp;$A$4&amp;")'!g24")</f>
        <v>0</v>
      </c>
      <c r="H24" s="23">
        <f t="shared" ca="1" si="16"/>
        <v>32.94736842105263</v>
      </c>
      <c r="I24" s="22"/>
      <c r="J24" s="22">
        <f ca="1">INDIRECT("'("&amp;$A$4&amp;")'!j24")</f>
        <v>18</v>
      </c>
      <c r="K24" s="22">
        <f ca="1">INDIRECT("'("&amp;$A$4&amp;")'!k24")</f>
        <v>29</v>
      </c>
      <c r="L24" s="22">
        <f ca="1">INDIRECT("'("&amp;$A$4&amp;")'!l24")</f>
        <v>11</v>
      </c>
      <c r="M24" s="22">
        <f ca="1">INDIRECT("'("&amp;$A$4&amp;")'!m24")</f>
        <v>3</v>
      </c>
      <c r="N24" s="22">
        <f ca="1">INDIRECT("'("&amp;$A$4&amp;")'!n24")</f>
        <v>1</v>
      </c>
      <c r="O24" s="22">
        <f ca="1">INDIRECT("'("&amp;$A$4&amp;")'!o24")</f>
        <v>0</v>
      </c>
      <c r="P24" s="23">
        <f t="shared" ca="1" si="18"/>
        <v>30.370967741935484</v>
      </c>
      <c r="Q24" s="22"/>
      <c r="R24" s="21">
        <f t="shared" ca="1" si="19"/>
        <v>23</v>
      </c>
      <c r="S24" s="21">
        <f t="shared" ca="1" si="20"/>
        <v>65</v>
      </c>
      <c r="T24" s="21">
        <f t="shared" ca="1" si="21"/>
        <v>22</v>
      </c>
      <c r="U24" s="21">
        <f t="shared" ca="1" si="22"/>
        <v>8</v>
      </c>
      <c r="V24" s="21">
        <f t="shared" ca="1" si="23"/>
        <v>1</v>
      </c>
      <c r="W24" s="21">
        <f t="shared" ca="1" si="24"/>
        <v>0</v>
      </c>
      <c r="X24" s="23">
        <f t="shared" ca="1" si="3"/>
        <v>31.605042016806717</v>
      </c>
      <c r="Y24" s="22"/>
      <c r="Z24" s="22">
        <f ca="1">INDIRECT("'("&amp;$A$4&amp;")'!z24")</f>
        <v>0</v>
      </c>
      <c r="AA24" s="22">
        <f ca="1">INDIRECT("'("&amp;$A$4&amp;")'!aa24")</f>
        <v>1</v>
      </c>
      <c r="AB24" s="22">
        <f ca="1">INDIRECT("'("&amp;$A$4&amp;")'!ab24")</f>
        <v>1</v>
      </c>
      <c r="AC24" s="22">
        <f ca="1">INDIRECT("'("&amp;$A$4&amp;")'!ac24")</f>
        <v>1</v>
      </c>
      <c r="AD24" s="22">
        <f ca="1">INDIRECT("'("&amp;$A$4&amp;")'!ad24")</f>
        <v>0</v>
      </c>
      <c r="AE24" s="22">
        <f ca="1">INDIRECT("'("&amp;$A$4&amp;")'!ae24")</f>
        <v>0</v>
      </c>
      <c r="AF24" s="23">
        <f t="shared" ca="1" si="5"/>
        <v>40.333333333333329</v>
      </c>
      <c r="AG24" s="22"/>
      <c r="AH24" s="22">
        <f ca="1">INDIRECT("'("&amp;$A$4&amp;")'!ah24")</f>
        <v>5</v>
      </c>
      <c r="AI24" s="22">
        <f ca="1">INDIRECT("'("&amp;$A$4&amp;")'!ai24")</f>
        <v>9</v>
      </c>
      <c r="AJ24" s="22">
        <f ca="1">INDIRECT("'("&amp;$A$4&amp;")'!aj24")</f>
        <v>5</v>
      </c>
      <c r="AK24" s="22">
        <f ca="1">INDIRECT("'("&amp;$A$4&amp;")'!ak24")</f>
        <v>10</v>
      </c>
      <c r="AL24" s="22">
        <f ca="1">INDIRECT("'("&amp;$A$4&amp;")'!al24")</f>
        <v>2</v>
      </c>
      <c r="AM24" s="22">
        <f ca="1">INDIRECT("'("&amp;$A$4&amp;")'!am24")</f>
        <v>0</v>
      </c>
      <c r="AN24" s="23">
        <f t="shared" ca="1" si="7"/>
        <v>38.37096774193548</v>
      </c>
      <c r="AO24" s="22"/>
      <c r="AP24" s="21">
        <f t="shared" ca="1" si="8"/>
        <v>28</v>
      </c>
      <c r="AQ24" s="21">
        <f t="shared" ca="1" si="9"/>
        <v>75</v>
      </c>
      <c r="AR24" s="21">
        <f t="shared" ca="1" si="10"/>
        <v>28</v>
      </c>
      <c r="AS24" s="21">
        <f t="shared" ca="1" si="11"/>
        <v>19</v>
      </c>
      <c r="AT24" s="21">
        <f t="shared" ca="1" si="12"/>
        <v>3</v>
      </c>
      <c r="AU24" s="21">
        <f t="shared" ca="1" si="13"/>
        <v>0</v>
      </c>
      <c r="AV24" s="23">
        <f t="shared" ca="1" si="14"/>
        <v>33.147058823529413</v>
      </c>
      <c r="AW24" s="17"/>
      <c r="AX24" s="17"/>
      <c r="AY24" s="17"/>
      <c r="AZ24" s="17"/>
      <c r="BA24" s="17"/>
      <c r="BB24" s="17"/>
      <c r="BC24" s="17"/>
      <c r="BD24" s="17"/>
      <c r="BE24" s="17"/>
    </row>
    <row r="25" spans="1:57" s="7" customFormat="1" ht="15" customHeight="1" x14ac:dyDescent="0.35">
      <c r="A25" s="2" t="s">
        <v>30</v>
      </c>
      <c r="B25" s="22">
        <f ca="1">INDIRECT("'("&amp;$A$4&amp;")'!b25")</f>
        <v>0</v>
      </c>
      <c r="C25" s="22">
        <f ca="1">INDIRECT("'("&amp;$A$4&amp;")'!c25")</f>
        <v>2</v>
      </c>
      <c r="D25" s="22">
        <f ca="1">INDIRECT("'("&amp;$A$4&amp;")'!d25")</f>
        <v>3</v>
      </c>
      <c r="E25" s="22">
        <f ca="1">INDIRECT("'("&amp;$A$4&amp;")'!e25")</f>
        <v>2</v>
      </c>
      <c r="F25" s="22">
        <f ca="1">INDIRECT("'("&amp;$A$4&amp;")'!f25")</f>
        <v>0</v>
      </c>
      <c r="G25" s="22">
        <f ca="1">INDIRECT("'("&amp;$A$4&amp;")'!g25")</f>
        <v>0</v>
      </c>
      <c r="H25" s="23">
        <f t="shared" ca="1" si="16"/>
        <v>40.357142857142861</v>
      </c>
      <c r="I25" s="22"/>
      <c r="J25" s="22">
        <f ca="1">INDIRECT("'("&amp;$A$4&amp;")'!j25")</f>
        <v>11</v>
      </c>
      <c r="K25" s="22">
        <f ca="1">INDIRECT("'("&amp;$A$4&amp;")'!k25")</f>
        <v>19</v>
      </c>
      <c r="L25" s="22">
        <f ca="1">INDIRECT("'("&amp;$A$4&amp;")'!l25")</f>
        <v>13</v>
      </c>
      <c r="M25" s="22">
        <f ca="1">INDIRECT("'("&amp;$A$4&amp;")'!m25")</f>
        <v>6</v>
      </c>
      <c r="N25" s="22">
        <f ca="1">INDIRECT("'("&amp;$A$4&amp;")'!n25")</f>
        <v>2</v>
      </c>
      <c r="O25" s="22">
        <f ca="1">INDIRECT("'("&amp;$A$4&amp;")'!o25")</f>
        <v>0</v>
      </c>
      <c r="P25" s="23">
        <f t="shared" ca="1" si="18"/>
        <v>33.950980392156865</v>
      </c>
      <c r="Q25" s="22"/>
      <c r="R25" s="21">
        <f t="shared" ca="1" si="19"/>
        <v>11</v>
      </c>
      <c r="S25" s="21">
        <f t="shared" ca="1" si="20"/>
        <v>21</v>
      </c>
      <c r="T25" s="21">
        <f t="shared" ca="1" si="21"/>
        <v>16</v>
      </c>
      <c r="U25" s="21">
        <f t="shared" ca="1" si="22"/>
        <v>8</v>
      </c>
      <c r="V25" s="21">
        <f t="shared" ca="1" si="23"/>
        <v>2</v>
      </c>
      <c r="W25" s="21">
        <f t="shared" ca="1" si="24"/>
        <v>0</v>
      </c>
      <c r="X25" s="23">
        <f t="shared" ca="1" si="3"/>
        <v>34.724137931034484</v>
      </c>
      <c r="Y25" s="22"/>
      <c r="Z25" s="22">
        <f ca="1">INDIRECT("'("&amp;$A$4&amp;")'!z25")</f>
        <v>0</v>
      </c>
      <c r="AA25" s="22">
        <f ca="1">INDIRECT("'("&amp;$A$4&amp;")'!aa25")</f>
        <v>0</v>
      </c>
      <c r="AB25" s="22">
        <f ca="1">INDIRECT("'("&amp;$A$4&amp;")'!ab25")</f>
        <v>0</v>
      </c>
      <c r="AC25" s="22">
        <f ca="1">INDIRECT("'("&amp;$A$4&amp;")'!ac25")</f>
        <v>0</v>
      </c>
      <c r="AD25" s="22">
        <f ca="1">INDIRECT("'("&amp;$A$4&amp;")'!ad25")</f>
        <v>0</v>
      </c>
      <c r="AE25" s="22">
        <f ca="1">INDIRECT("'("&amp;$A$4&amp;")'!ae25")</f>
        <v>0</v>
      </c>
      <c r="AF25" s="23" t="str">
        <f t="shared" ca="1" si="5"/>
        <v>-</v>
      </c>
      <c r="AG25" s="22"/>
      <c r="AH25" s="22">
        <f ca="1">INDIRECT("'("&amp;$A$4&amp;")'!ah25")</f>
        <v>1</v>
      </c>
      <c r="AI25" s="22">
        <f ca="1">INDIRECT("'("&amp;$A$4&amp;")'!ai25")</f>
        <v>0</v>
      </c>
      <c r="AJ25" s="22">
        <f ca="1">INDIRECT("'("&amp;$A$4&amp;")'!aj25")</f>
        <v>2</v>
      </c>
      <c r="AK25" s="22">
        <f ca="1">INDIRECT("'("&amp;$A$4&amp;")'!ak25")</f>
        <v>1</v>
      </c>
      <c r="AL25" s="22">
        <f ca="1">INDIRECT("'("&amp;$A$4&amp;")'!al25")</f>
        <v>1</v>
      </c>
      <c r="AM25" s="22">
        <f ca="1">INDIRECT("'("&amp;$A$4&amp;")'!am25")</f>
        <v>0</v>
      </c>
      <c r="AN25" s="23">
        <f t="shared" ca="1" si="7"/>
        <v>41.5</v>
      </c>
      <c r="AO25" s="22"/>
      <c r="AP25" s="21">
        <f t="shared" ca="1" si="8"/>
        <v>12</v>
      </c>
      <c r="AQ25" s="21">
        <f t="shared" ca="1" si="9"/>
        <v>21</v>
      </c>
      <c r="AR25" s="21">
        <f t="shared" ca="1" si="10"/>
        <v>18</v>
      </c>
      <c r="AS25" s="21">
        <f t="shared" ca="1" si="11"/>
        <v>9</v>
      </c>
      <c r="AT25" s="21">
        <f t="shared" ca="1" si="12"/>
        <v>3</v>
      </c>
      <c r="AU25" s="21">
        <f t="shared" ca="1" si="13"/>
        <v>0</v>
      </c>
      <c r="AV25" s="23">
        <f t="shared" ca="1" si="14"/>
        <v>35.261904761904759</v>
      </c>
      <c r="AW25" s="17"/>
      <c r="AX25" s="17"/>
      <c r="AY25" s="17"/>
      <c r="AZ25" s="17"/>
      <c r="BA25" s="17"/>
      <c r="BB25" s="17"/>
      <c r="BC25" s="17"/>
      <c r="BD25" s="17"/>
      <c r="BE25" s="17"/>
    </row>
    <row r="26" spans="1:57" s="7" customFormat="1" ht="15" customHeight="1" x14ac:dyDescent="0.35">
      <c r="A26" s="2" t="s">
        <v>31</v>
      </c>
      <c r="B26" s="22">
        <f ca="1">INDIRECT("'("&amp;$A$4&amp;")'!b26")</f>
        <v>5</v>
      </c>
      <c r="C26" s="22">
        <f ca="1">INDIRECT("'("&amp;$A$4&amp;")'!c26")</f>
        <v>19</v>
      </c>
      <c r="D26" s="22">
        <f ca="1">INDIRECT("'("&amp;$A$4&amp;")'!d26")</f>
        <v>19</v>
      </c>
      <c r="E26" s="22">
        <f ca="1">INDIRECT("'("&amp;$A$4&amp;")'!e26")</f>
        <v>14</v>
      </c>
      <c r="F26" s="22">
        <f ca="1">INDIRECT("'("&amp;$A$4&amp;")'!f26")</f>
        <v>2</v>
      </c>
      <c r="G26" s="22">
        <f ca="1">INDIRECT("'("&amp;$A$4&amp;")'!g26")</f>
        <v>0</v>
      </c>
      <c r="H26" s="23">
        <f t="shared" ca="1" si="16"/>
        <v>38.279661016949156</v>
      </c>
      <c r="I26" s="22"/>
      <c r="J26" s="22">
        <f ca="1">INDIRECT("'("&amp;$A$4&amp;")'!j26")</f>
        <v>18</v>
      </c>
      <c r="K26" s="22">
        <f ca="1">INDIRECT("'("&amp;$A$4&amp;")'!k26")</f>
        <v>39</v>
      </c>
      <c r="L26" s="22">
        <f ca="1">INDIRECT("'("&amp;$A$4&amp;")'!l26")</f>
        <v>27</v>
      </c>
      <c r="M26" s="22">
        <f ca="1">INDIRECT("'("&amp;$A$4&amp;")'!m26")</f>
        <v>23</v>
      </c>
      <c r="N26" s="22">
        <f ca="1">INDIRECT("'("&amp;$A$4&amp;")'!n26")</f>
        <v>3</v>
      </c>
      <c r="O26" s="22">
        <f ca="1">INDIRECT("'("&amp;$A$4&amp;")'!o26")</f>
        <v>0</v>
      </c>
      <c r="P26" s="23">
        <f t="shared" ca="1" si="18"/>
        <v>35.93636363636363</v>
      </c>
      <c r="Q26" s="22"/>
      <c r="R26" s="21">
        <f t="shared" ca="1" si="19"/>
        <v>23</v>
      </c>
      <c r="S26" s="21">
        <f t="shared" ca="1" si="20"/>
        <v>58</v>
      </c>
      <c r="T26" s="21">
        <f t="shared" ca="1" si="21"/>
        <v>46</v>
      </c>
      <c r="U26" s="21">
        <f t="shared" ca="1" si="22"/>
        <v>37</v>
      </c>
      <c r="V26" s="21">
        <f t="shared" ca="1" si="23"/>
        <v>5</v>
      </c>
      <c r="W26" s="21">
        <f t="shared" ca="1" si="24"/>
        <v>0</v>
      </c>
      <c r="X26" s="23">
        <f t="shared" ca="1" si="3"/>
        <v>36.754437869822482</v>
      </c>
      <c r="Y26" s="22"/>
      <c r="Z26" s="22">
        <f ca="1">INDIRECT("'("&amp;$A$4&amp;")'!z26")</f>
        <v>0</v>
      </c>
      <c r="AA26" s="22">
        <f ca="1">INDIRECT("'("&amp;$A$4&amp;")'!aa26")</f>
        <v>3</v>
      </c>
      <c r="AB26" s="22">
        <f ca="1">INDIRECT("'("&amp;$A$4&amp;")'!ab26")</f>
        <v>0</v>
      </c>
      <c r="AC26" s="22">
        <f ca="1">INDIRECT("'("&amp;$A$4&amp;")'!ac26")</f>
        <v>0</v>
      </c>
      <c r="AD26" s="22">
        <f ca="1">INDIRECT("'("&amp;$A$4&amp;")'!ad26")</f>
        <v>0</v>
      </c>
      <c r="AE26" s="22">
        <f ca="1">INDIRECT("'("&amp;$A$4&amp;")'!ae26")</f>
        <v>0</v>
      </c>
      <c r="AF26" s="23">
        <f t="shared" ca="1" si="5"/>
        <v>30</v>
      </c>
      <c r="AG26" s="22"/>
      <c r="AH26" s="22">
        <f ca="1">INDIRECT("'("&amp;$A$4&amp;")'!ah26")</f>
        <v>2</v>
      </c>
      <c r="AI26" s="22">
        <f ca="1">INDIRECT("'("&amp;$A$4&amp;")'!ai26")</f>
        <v>13</v>
      </c>
      <c r="AJ26" s="22">
        <f ca="1">INDIRECT("'("&amp;$A$4&amp;")'!aj26")</f>
        <v>8</v>
      </c>
      <c r="AK26" s="22">
        <f ca="1">INDIRECT("'("&amp;$A$4&amp;")'!ak26")</f>
        <v>4</v>
      </c>
      <c r="AL26" s="22">
        <f ca="1">INDIRECT("'("&amp;$A$4&amp;")'!al26")</f>
        <v>1</v>
      </c>
      <c r="AM26" s="22">
        <f ca="1">INDIRECT("'("&amp;$A$4&amp;")'!am26")</f>
        <v>0</v>
      </c>
      <c r="AN26" s="23">
        <f t="shared" ca="1" si="7"/>
        <v>36.142857142857146</v>
      </c>
      <c r="AO26" s="22"/>
      <c r="AP26" s="21">
        <f t="shared" ca="1" si="8"/>
        <v>25</v>
      </c>
      <c r="AQ26" s="21">
        <f t="shared" ca="1" si="9"/>
        <v>74</v>
      </c>
      <c r="AR26" s="21">
        <f t="shared" ca="1" si="10"/>
        <v>54</v>
      </c>
      <c r="AS26" s="21">
        <f t="shared" ca="1" si="11"/>
        <v>41</v>
      </c>
      <c r="AT26" s="21">
        <f t="shared" ca="1" si="12"/>
        <v>6</v>
      </c>
      <c r="AU26" s="21">
        <f t="shared" ca="1" si="13"/>
        <v>0</v>
      </c>
      <c r="AV26" s="23">
        <f t="shared" ca="1" si="14"/>
        <v>36.567500000000003</v>
      </c>
      <c r="AW26" s="17"/>
      <c r="AX26" s="17"/>
      <c r="AY26" s="17"/>
      <c r="AZ26" s="17"/>
      <c r="BA26" s="17"/>
      <c r="BB26" s="17"/>
      <c r="BC26" s="17"/>
      <c r="BD26" s="17"/>
      <c r="BE26" s="17"/>
    </row>
    <row r="27" spans="1:57" s="7" customFormat="1" ht="15" customHeight="1" x14ac:dyDescent="0.35">
      <c r="A27" s="2" t="s">
        <v>32</v>
      </c>
      <c r="B27" s="22">
        <f ca="1">INDIRECT("'("&amp;$A$4&amp;")'!b27")</f>
        <v>1</v>
      </c>
      <c r="C27" s="22">
        <f ca="1">INDIRECT("'("&amp;$A$4&amp;")'!c27")</f>
        <v>17</v>
      </c>
      <c r="D27" s="22">
        <f ca="1">INDIRECT("'("&amp;$A$4&amp;")'!d27")</f>
        <v>6</v>
      </c>
      <c r="E27" s="22">
        <f ca="1">INDIRECT("'("&amp;$A$4&amp;")'!e27")</f>
        <v>1</v>
      </c>
      <c r="F27" s="22">
        <f ca="1">INDIRECT("'("&amp;$A$4&amp;")'!f27")</f>
        <v>0</v>
      </c>
      <c r="G27" s="22">
        <f ca="1">INDIRECT("'("&amp;$A$4&amp;")'!g27")</f>
        <v>0</v>
      </c>
      <c r="H27" s="23">
        <f t="shared" ca="1" si="16"/>
        <v>32.940000000000005</v>
      </c>
      <c r="I27" s="22"/>
      <c r="J27" s="22">
        <f ca="1">INDIRECT("'("&amp;$A$4&amp;")'!j27")</f>
        <v>7</v>
      </c>
      <c r="K27" s="22">
        <f ca="1">INDIRECT("'("&amp;$A$4&amp;")'!k27")</f>
        <v>33</v>
      </c>
      <c r="L27" s="22">
        <f ca="1">INDIRECT("'("&amp;$A$4&amp;")'!l27")</f>
        <v>12</v>
      </c>
      <c r="M27" s="22">
        <f ca="1">INDIRECT("'("&amp;$A$4&amp;")'!m27")</f>
        <v>9</v>
      </c>
      <c r="N27" s="22">
        <f ca="1">INDIRECT("'("&amp;$A$4&amp;")'!n27")</f>
        <v>2</v>
      </c>
      <c r="O27" s="22">
        <f ca="1">INDIRECT("'("&amp;$A$4&amp;")'!o27")</f>
        <v>0</v>
      </c>
      <c r="P27" s="23">
        <f t="shared" ca="1" si="18"/>
        <v>34.642857142857146</v>
      </c>
      <c r="Q27" s="22"/>
      <c r="R27" s="21">
        <f t="shared" ca="1" si="19"/>
        <v>8</v>
      </c>
      <c r="S27" s="21">
        <f t="shared" ca="1" si="20"/>
        <v>50</v>
      </c>
      <c r="T27" s="21">
        <f t="shared" ca="1" si="21"/>
        <v>18</v>
      </c>
      <c r="U27" s="21">
        <f t="shared" ca="1" si="22"/>
        <v>10</v>
      </c>
      <c r="V27" s="21">
        <f t="shared" ca="1" si="23"/>
        <v>2</v>
      </c>
      <c r="W27" s="21">
        <f t="shared" ca="1" si="24"/>
        <v>0</v>
      </c>
      <c r="X27" s="23">
        <f t="shared" ca="1" si="3"/>
        <v>34.159090909090914</v>
      </c>
      <c r="Y27" s="22"/>
      <c r="Z27" s="22">
        <f ca="1">INDIRECT("'("&amp;$A$4&amp;")'!z27")</f>
        <v>0</v>
      </c>
      <c r="AA27" s="22">
        <f ca="1">INDIRECT("'("&amp;$A$4&amp;")'!aa27")</f>
        <v>2</v>
      </c>
      <c r="AB27" s="22">
        <f ca="1">INDIRECT("'("&amp;$A$4&amp;")'!ab27")</f>
        <v>0</v>
      </c>
      <c r="AC27" s="22">
        <f ca="1">INDIRECT("'("&amp;$A$4&amp;")'!ac27")</f>
        <v>0</v>
      </c>
      <c r="AD27" s="22">
        <f ca="1">INDIRECT("'("&amp;$A$4&amp;")'!ad27")</f>
        <v>0</v>
      </c>
      <c r="AE27" s="22">
        <f ca="1">INDIRECT("'("&amp;$A$4&amp;")'!ae27")</f>
        <v>0</v>
      </c>
      <c r="AF27" s="23">
        <f t="shared" ca="1" si="5"/>
        <v>30</v>
      </c>
      <c r="AG27" s="22"/>
      <c r="AH27" s="22">
        <f ca="1">INDIRECT("'("&amp;$A$4&amp;")'!ah27")</f>
        <v>3</v>
      </c>
      <c r="AI27" s="22">
        <f ca="1">INDIRECT("'("&amp;$A$4&amp;")'!ai27")</f>
        <v>4</v>
      </c>
      <c r="AJ27" s="22">
        <f ca="1">INDIRECT("'("&amp;$A$4&amp;")'!aj27")</f>
        <v>6</v>
      </c>
      <c r="AK27" s="22">
        <f ca="1">INDIRECT("'("&amp;$A$4&amp;")'!ak27")</f>
        <v>7</v>
      </c>
      <c r="AL27" s="22">
        <f ca="1">INDIRECT("'("&amp;$A$4&amp;")'!al27")</f>
        <v>5</v>
      </c>
      <c r="AM27" s="22">
        <f ca="1">INDIRECT("'("&amp;$A$4&amp;")'!am27")</f>
        <v>0</v>
      </c>
      <c r="AN27" s="23">
        <f t="shared" ca="1" si="7"/>
        <v>42.26</v>
      </c>
      <c r="AO27" s="22"/>
      <c r="AP27" s="21">
        <f t="shared" ca="1" si="8"/>
        <v>11</v>
      </c>
      <c r="AQ27" s="21">
        <f t="shared" ca="1" si="9"/>
        <v>56</v>
      </c>
      <c r="AR27" s="21">
        <f t="shared" ca="1" si="10"/>
        <v>24</v>
      </c>
      <c r="AS27" s="21">
        <f t="shared" ca="1" si="11"/>
        <v>17</v>
      </c>
      <c r="AT27" s="21">
        <f t="shared" ca="1" si="12"/>
        <v>7</v>
      </c>
      <c r="AU27" s="21">
        <f t="shared" ca="1" si="13"/>
        <v>0</v>
      </c>
      <c r="AV27" s="23">
        <f t="shared" ca="1" si="14"/>
        <v>35.847826086956523</v>
      </c>
      <c r="AW27" s="17"/>
      <c r="AX27" s="17"/>
      <c r="AY27" s="17"/>
      <c r="AZ27" s="17"/>
      <c r="BA27" s="17"/>
      <c r="BB27" s="17"/>
      <c r="BC27" s="17"/>
      <c r="BD27" s="17"/>
      <c r="BE27" s="17"/>
    </row>
    <row r="28" spans="1:57" s="7" customFormat="1" ht="15" customHeight="1" x14ac:dyDescent="0.35">
      <c r="A28" s="2" t="s">
        <v>33</v>
      </c>
      <c r="B28" s="22">
        <f ca="1">INDIRECT("'("&amp;$A$4&amp;")'!b28")</f>
        <v>6</v>
      </c>
      <c r="C28" s="22">
        <f ca="1">INDIRECT("'("&amp;$A$4&amp;")'!c28")</f>
        <v>12</v>
      </c>
      <c r="D28" s="22">
        <f ca="1">INDIRECT("'("&amp;$A$4&amp;")'!d28")</f>
        <v>4</v>
      </c>
      <c r="E28" s="22">
        <f ca="1">INDIRECT("'("&amp;$A$4&amp;")'!e28")</f>
        <v>4</v>
      </c>
      <c r="F28" s="22">
        <f ca="1">INDIRECT("'("&amp;$A$4&amp;")'!f28")</f>
        <v>0</v>
      </c>
      <c r="G28" s="22">
        <f ca="1">INDIRECT("'("&amp;$A$4&amp;")'!g28")</f>
        <v>0</v>
      </c>
      <c r="H28" s="23">
        <f t="shared" ca="1" si="16"/>
        <v>32.461538461538467</v>
      </c>
      <c r="I28" s="22"/>
      <c r="J28" s="22">
        <f ca="1">INDIRECT("'("&amp;$A$4&amp;")'!j28")</f>
        <v>3</v>
      </c>
      <c r="K28" s="22">
        <f ca="1">INDIRECT("'("&amp;$A$4&amp;")'!k28")</f>
        <v>10</v>
      </c>
      <c r="L28" s="22">
        <f ca="1">INDIRECT("'("&amp;$A$4&amp;")'!l28")</f>
        <v>7</v>
      </c>
      <c r="M28" s="22">
        <f ca="1">INDIRECT("'("&amp;$A$4&amp;")'!m28")</f>
        <v>1</v>
      </c>
      <c r="N28" s="22">
        <f ca="1">INDIRECT("'("&amp;$A$4&amp;")'!n28")</f>
        <v>1</v>
      </c>
      <c r="O28" s="22">
        <f ca="1">INDIRECT("'("&amp;$A$4&amp;")'!o28")</f>
        <v>0</v>
      </c>
      <c r="P28" s="23">
        <f t="shared" ca="1" si="18"/>
        <v>34.090909090909093</v>
      </c>
      <c r="Q28" s="22"/>
      <c r="R28" s="21">
        <f t="shared" ca="1" si="19"/>
        <v>9</v>
      </c>
      <c r="S28" s="21">
        <f t="shared" ca="1" si="20"/>
        <v>22</v>
      </c>
      <c r="T28" s="21">
        <f t="shared" ca="1" si="21"/>
        <v>11</v>
      </c>
      <c r="U28" s="21">
        <f t="shared" ca="1" si="22"/>
        <v>5</v>
      </c>
      <c r="V28" s="21">
        <f t="shared" ca="1" si="23"/>
        <v>1</v>
      </c>
      <c r="W28" s="21">
        <f t="shared" ca="1" si="24"/>
        <v>0</v>
      </c>
      <c r="X28" s="23">
        <f t="shared" ca="1" si="3"/>
        <v>33.208333333333329</v>
      </c>
      <c r="Y28" s="22"/>
      <c r="Z28" s="22">
        <f ca="1">INDIRECT("'("&amp;$A$4&amp;")'!z28")</f>
        <v>0</v>
      </c>
      <c r="AA28" s="22">
        <f ca="1">INDIRECT("'("&amp;$A$4&amp;")'!aa28")</f>
        <v>0</v>
      </c>
      <c r="AB28" s="22">
        <f ca="1">INDIRECT("'("&amp;$A$4&amp;")'!ab28")</f>
        <v>0</v>
      </c>
      <c r="AC28" s="22">
        <f ca="1">INDIRECT("'("&amp;$A$4&amp;")'!ac28")</f>
        <v>0</v>
      </c>
      <c r="AD28" s="22">
        <f ca="1">INDIRECT("'("&amp;$A$4&amp;")'!ad28")</f>
        <v>0</v>
      </c>
      <c r="AE28" s="22">
        <f ca="1">INDIRECT("'("&amp;$A$4&amp;")'!ae28")</f>
        <v>0</v>
      </c>
      <c r="AF28" s="23" t="str">
        <f t="shared" ca="1" si="5"/>
        <v>-</v>
      </c>
      <c r="AG28" s="22"/>
      <c r="AH28" s="22">
        <f ca="1">INDIRECT("'("&amp;$A$4&amp;")'!ah28")</f>
        <v>0</v>
      </c>
      <c r="AI28" s="22">
        <f ca="1">INDIRECT("'("&amp;$A$4&amp;")'!ai28")</f>
        <v>0</v>
      </c>
      <c r="AJ28" s="22">
        <f ca="1">INDIRECT("'("&amp;$A$4&amp;")'!aj28")</f>
        <v>2</v>
      </c>
      <c r="AK28" s="22">
        <f ca="1">INDIRECT("'("&amp;$A$4&amp;")'!ak28")</f>
        <v>8</v>
      </c>
      <c r="AL28" s="22">
        <f ca="1">INDIRECT("'("&amp;$A$4&amp;")'!al28")</f>
        <v>2</v>
      </c>
      <c r="AM28" s="22">
        <f ca="1">INDIRECT("'("&amp;$A$4&amp;")'!am28")</f>
        <v>0</v>
      </c>
      <c r="AN28" s="23">
        <f t="shared" ca="1" si="7"/>
        <v>49.75</v>
      </c>
      <c r="AO28" s="22"/>
      <c r="AP28" s="21">
        <f t="shared" ca="1" si="8"/>
        <v>9</v>
      </c>
      <c r="AQ28" s="21">
        <f t="shared" ca="1" si="9"/>
        <v>22</v>
      </c>
      <c r="AR28" s="21">
        <f t="shared" ca="1" si="10"/>
        <v>13</v>
      </c>
      <c r="AS28" s="21">
        <f t="shared" ca="1" si="11"/>
        <v>13</v>
      </c>
      <c r="AT28" s="21">
        <f t="shared" ca="1" si="12"/>
        <v>3</v>
      </c>
      <c r="AU28" s="21">
        <f t="shared" ca="1" si="13"/>
        <v>0</v>
      </c>
      <c r="AV28" s="23">
        <f t="shared" ca="1" si="14"/>
        <v>36.516666666666666</v>
      </c>
      <c r="AW28" s="17"/>
      <c r="AX28" s="17"/>
      <c r="AY28" s="17"/>
      <c r="AZ28" s="17"/>
      <c r="BA28" s="17"/>
      <c r="BB28" s="17"/>
      <c r="BC28" s="17"/>
      <c r="BD28" s="17"/>
      <c r="BE28" s="17"/>
    </row>
    <row r="29" spans="1:57" s="7" customFormat="1" ht="15" customHeight="1" x14ac:dyDescent="0.35">
      <c r="A29" s="2" t="s">
        <v>34</v>
      </c>
      <c r="B29" s="22">
        <f ca="1">INDIRECT("'("&amp;$A$4&amp;")'!b29")</f>
        <v>4</v>
      </c>
      <c r="C29" s="22">
        <f ca="1">INDIRECT("'("&amp;$A$4&amp;")'!c29")</f>
        <v>15</v>
      </c>
      <c r="D29" s="22">
        <f ca="1">INDIRECT("'("&amp;$A$4&amp;")'!d29")</f>
        <v>3</v>
      </c>
      <c r="E29" s="22">
        <f ca="1">INDIRECT("'("&amp;$A$4&amp;")'!e29")</f>
        <v>0</v>
      </c>
      <c r="F29" s="22">
        <f ca="1">INDIRECT("'("&amp;$A$4&amp;")'!f29")</f>
        <v>0</v>
      </c>
      <c r="G29" s="22">
        <f ca="1">INDIRECT("'("&amp;$A$4&amp;")'!g29")</f>
        <v>0</v>
      </c>
      <c r="H29" s="23">
        <f t="shared" ca="1" si="16"/>
        <v>29.613636363636363</v>
      </c>
      <c r="I29" s="22"/>
      <c r="J29" s="22">
        <f ca="1">INDIRECT("'("&amp;$A$4&amp;")'!j29")</f>
        <v>10</v>
      </c>
      <c r="K29" s="22">
        <f ca="1">INDIRECT("'("&amp;$A$4&amp;")'!k29")</f>
        <v>16</v>
      </c>
      <c r="L29" s="22">
        <f ca="1">INDIRECT("'("&amp;$A$4&amp;")'!l29")</f>
        <v>3</v>
      </c>
      <c r="M29" s="22">
        <f ca="1">INDIRECT("'("&amp;$A$4&amp;")'!m29")</f>
        <v>2</v>
      </c>
      <c r="N29" s="22">
        <f ca="1">INDIRECT("'("&amp;$A$4&amp;")'!n29")</f>
        <v>0</v>
      </c>
      <c r="O29" s="22">
        <f ca="1">INDIRECT("'("&amp;$A$4&amp;")'!o29")</f>
        <v>0</v>
      </c>
      <c r="P29" s="23">
        <f t="shared" ca="1" si="18"/>
        <v>29.112903225806452</v>
      </c>
      <c r="Q29" s="22"/>
      <c r="R29" s="21">
        <f t="shared" ca="1" si="19"/>
        <v>14</v>
      </c>
      <c r="S29" s="21">
        <f t="shared" ca="1" si="20"/>
        <v>31</v>
      </c>
      <c r="T29" s="21">
        <f t="shared" ca="1" si="21"/>
        <v>6</v>
      </c>
      <c r="U29" s="21">
        <f t="shared" ca="1" si="22"/>
        <v>2</v>
      </c>
      <c r="V29" s="21">
        <f t="shared" ca="1" si="23"/>
        <v>0</v>
      </c>
      <c r="W29" s="21">
        <f t="shared" ca="1" si="24"/>
        <v>0</v>
      </c>
      <c r="X29" s="23">
        <f t="shared" ca="1" si="3"/>
        <v>29.320754716981131</v>
      </c>
      <c r="Y29" s="22"/>
      <c r="Z29" s="22">
        <f ca="1">INDIRECT("'("&amp;$A$4&amp;")'!z29")</f>
        <v>0</v>
      </c>
      <c r="AA29" s="22">
        <f ca="1">INDIRECT("'("&amp;$A$4&amp;")'!aa29")</f>
        <v>1</v>
      </c>
      <c r="AB29" s="22">
        <f ca="1">INDIRECT("'("&amp;$A$4&amp;")'!ab29")</f>
        <v>2</v>
      </c>
      <c r="AC29" s="22">
        <f ca="1">INDIRECT("'("&amp;$A$4&amp;")'!ac29")</f>
        <v>1</v>
      </c>
      <c r="AD29" s="22">
        <f ca="1">INDIRECT("'("&amp;$A$4&amp;")'!ad29")</f>
        <v>0</v>
      </c>
      <c r="AE29" s="22">
        <f ca="1">INDIRECT("'("&amp;$A$4&amp;")'!ae29")</f>
        <v>0</v>
      </c>
      <c r="AF29" s="23">
        <f t="shared" ca="1" si="5"/>
        <v>40.375</v>
      </c>
      <c r="AG29" s="22"/>
      <c r="AH29" s="22">
        <f ca="1">INDIRECT("'("&amp;$A$4&amp;")'!ah29")</f>
        <v>3</v>
      </c>
      <c r="AI29" s="22">
        <f ca="1">INDIRECT("'("&amp;$A$4&amp;")'!ai29")</f>
        <v>7</v>
      </c>
      <c r="AJ29" s="22">
        <f ca="1">INDIRECT("'("&amp;$A$4&amp;")'!aj29")</f>
        <v>5</v>
      </c>
      <c r="AK29" s="22">
        <f ca="1">INDIRECT("'("&amp;$A$4&amp;")'!ak29")</f>
        <v>2</v>
      </c>
      <c r="AL29" s="22">
        <f ca="1">INDIRECT("'("&amp;$A$4&amp;")'!al29")</f>
        <v>1</v>
      </c>
      <c r="AM29" s="22">
        <f ca="1">INDIRECT("'("&amp;$A$4&amp;")'!am29")</f>
        <v>0</v>
      </c>
      <c r="AN29" s="23">
        <f t="shared" ca="1" si="7"/>
        <v>34.972222222222221</v>
      </c>
      <c r="AO29" s="22"/>
      <c r="AP29" s="21">
        <f t="shared" ca="1" si="8"/>
        <v>17</v>
      </c>
      <c r="AQ29" s="21">
        <f t="shared" ca="1" si="9"/>
        <v>39</v>
      </c>
      <c r="AR29" s="21">
        <f t="shared" ca="1" si="10"/>
        <v>13</v>
      </c>
      <c r="AS29" s="21">
        <f t="shared" ca="1" si="11"/>
        <v>5</v>
      </c>
      <c r="AT29" s="21">
        <f t="shared" ca="1" si="12"/>
        <v>1</v>
      </c>
      <c r="AU29" s="21">
        <f t="shared" ca="1" si="13"/>
        <v>0</v>
      </c>
      <c r="AV29" s="23">
        <f t="shared" ca="1" si="14"/>
        <v>31.266666666666666</v>
      </c>
      <c r="AW29" s="17"/>
      <c r="AX29" s="17"/>
      <c r="AY29" s="17"/>
      <c r="AZ29" s="17"/>
      <c r="BA29" s="17"/>
      <c r="BB29" s="17"/>
      <c r="BC29" s="17"/>
      <c r="BD29" s="17"/>
      <c r="BE29" s="17"/>
    </row>
    <row r="30" spans="1:57" s="7" customFormat="1" ht="15" customHeight="1" x14ac:dyDescent="0.35">
      <c r="A30" s="2" t="s">
        <v>35</v>
      </c>
      <c r="B30" s="22">
        <f ca="1">INDIRECT("'("&amp;$A$4&amp;")'!b30")</f>
        <v>0</v>
      </c>
      <c r="C30" s="22">
        <f ca="1">INDIRECT("'("&amp;$A$4&amp;")'!c30")</f>
        <v>0</v>
      </c>
      <c r="D30" s="22">
        <f ca="1">INDIRECT("'("&amp;$A$4&amp;")'!d30")</f>
        <v>0</v>
      </c>
      <c r="E30" s="22">
        <f ca="1">INDIRECT("'("&amp;$A$4&amp;")'!e30")</f>
        <v>0</v>
      </c>
      <c r="F30" s="22">
        <f ca="1">INDIRECT("'("&amp;$A$4&amp;")'!f30")</f>
        <v>0</v>
      </c>
      <c r="G30" s="22">
        <f ca="1">INDIRECT("'("&amp;$A$4&amp;")'!g30")</f>
        <v>0</v>
      </c>
      <c r="H30" s="23" t="str">
        <f t="shared" ca="1" si="16"/>
        <v>-</v>
      </c>
      <c r="I30" s="22"/>
      <c r="J30" s="22">
        <f ca="1">INDIRECT("'("&amp;$A$4&amp;")'!j30")</f>
        <v>0</v>
      </c>
      <c r="K30" s="22">
        <f ca="1">INDIRECT("'("&amp;$A$4&amp;")'!k30")</f>
        <v>5</v>
      </c>
      <c r="L30" s="22">
        <f ca="1">INDIRECT("'("&amp;$A$4&amp;")'!l30")</f>
        <v>3</v>
      </c>
      <c r="M30" s="22">
        <f ca="1">INDIRECT("'("&amp;$A$4&amp;")'!m30")</f>
        <v>1</v>
      </c>
      <c r="N30" s="22">
        <f ca="1">INDIRECT("'("&amp;$A$4&amp;")'!n30")</f>
        <v>0</v>
      </c>
      <c r="O30" s="22">
        <f ca="1">INDIRECT("'("&amp;$A$4&amp;")'!o30")</f>
        <v>0</v>
      </c>
      <c r="P30" s="23">
        <f t="shared" ca="1" si="18"/>
        <v>35.777777777777779</v>
      </c>
      <c r="Q30" s="22"/>
      <c r="R30" s="21">
        <f t="shared" ca="1" si="19"/>
        <v>0</v>
      </c>
      <c r="S30" s="21">
        <f t="shared" ca="1" si="20"/>
        <v>5</v>
      </c>
      <c r="T30" s="21">
        <f t="shared" ca="1" si="21"/>
        <v>3</v>
      </c>
      <c r="U30" s="21">
        <f t="shared" ca="1" si="22"/>
        <v>1</v>
      </c>
      <c r="V30" s="21">
        <f t="shared" ca="1" si="23"/>
        <v>0</v>
      </c>
      <c r="W30" s="21">
        <f t="shared" ca="1" si="24"/>
        <v>0</v>
      </c>
      <c r="X30" s="23">
        <f t="shared" ca="1" si="3"/>
        <v>35.777777777777779</v>
      </c>
      <c r="Y30" s="22"/>
      <c r="Z30" s="22">
        <f ca="1">INDIRECT("'("&amp;$A$4&amp;")'!z30")</f>
        <v>0</v>
      </c>
      <c r="AA30" s="22">
        <f ca="1">INDIRECT("'("&amp;$A$4&amp;")'!aa30")</f>
        <v>0</v>
      </c>
      <c r="AB30" s="22">
        <f ca="1">INDIRECT("'("&amp;$A$4&amp;")'!ab30")</f>
        <v>0</v>
      </c>
      <c r="AC30" s="22">
        <f ca="1">INDIRECT("'("&amp;$A$4&amp;")'!ac30")</f>
        <v>0</v>
      </c>
      <c r="AD30" s="22">
        <f ca="1">INDIRECT("'("&amp;$A$4&amp;")'!ad30")</f>
        <v>0</v>
      </c>
      <c r="AE30" s="22">
        <f ca="1">INDIRECT("'("&amp;$A$4&amp;")'!ae30")</f>
        <v>0</v>
      </c>
      <c r="AF30" s="23" t="str">
        <f t="shared" ca="1" si="5"/>
        <v>-</v>
      </c>
      <c r="AG30" s="22"/>
      <c r="AH30" s="22">
        <f ca="1">INDIRECT("'("&amp;$A$4&amp;")'!ah30")</f>
        <v>0</v>
      </c>
      <c r="AI30" s="22">
        <f ca="1">INDIRECT("'("&amp;$A$4&amp;")'!ai30")</f>
        <v>0</v>
      </c>
      <c r="AJ30" s="22">
        <f ca="1">INDIRECT("'("&amp;$A$4&amp;")'!aj30")</f>
        <v>0</v>
      </c>
      <c r="AK30" s="22">
        <f ca="1">INDIRECT("'("&amp;$A$4&amp;")'!ak30")</f>
        <v>2</v>
      </c>
      <c r="AL30" s="22">
        <f ca="1">INDIRECT("'("&amp;$A$4&amp;")'!al30")</f>
        <v>0</v>
      </c>
      <c r="AM30" s="22">
        <f ca="1">INDIRECT("'("&amp;$A$4&amp;")'!am30")</f>
        <v>0</v>
      </c>
      <c r="AN30" s="23">
        <f t="shared" ca="1" si="7"/>
        <v>50.5</v>
      </c>
      <c r="AO30" s="22"/>
      <c r="AP30" s="21">
        <f t="shared" ca="1" si="8"/>
        <v>0</v>
      </c>
      <c r="AQ30" s="21">
        <f t="shared" ca="1" si="9"/>
        <v>5</v>
      </c>
      <c r="AR30" s="21">
        <f t="shared" ca="1" si="10"/>
        <v>3</v>
      </c>
      <c r="AS30" s="21">
        <f t="shared" ca="1" si="11"/>
        <v>3</v>
      </c>
      <c r="AT30" s="21">
        <f t="shared" ca="1" si="12"/>
        <v>0</v>
      </c>
      <c r="AU30" s="21">
        <f t="shared" ca="1" si="13"/>
        <v>0</v>
      </c>
      <c r="AV30" s="23">
        <f t="shared" ca="1" si="14"/>
        <v>38.454545454545453</v>
      </c>
      <c r="AW30" s="17"/>
      <c r="AX30" s="17"/>
      <c r="AY30" s="17"/>
      <c r="AZ30" s="17"/>
      <c r="BA30" s="17"/>
      <c r="BB30" s="17"/>
      <c r="BC30" s="17"/>
      <c r="BD30" s="17"/>
      <c r="BE30" s="17"/>
    </row>
    <row r="31" spans="1:57" s="7" customFormat="1" ht="15" customHeight="1" x14ac:dyDescent="0.35">
      <c r="A31" s="3" t="s">
        <v>36</v>
      </c>
      <c r="B31" s="22">
        <f ca="1">INDIRECT("'("&amp;$A$4&amp;")'!b31")</f>
        <v>3</v>
      </c>
      <c r="C31" s="22">
        <f ca="1">INDIRECT("'("&amp;$A$4&amp;")'!c31")</f>
        <v>20</v>
      </c>
      <c r="D31" s="22">
        <f ca="1">INDIRECT("'("&amp;$A$4&amp;")'!d31")</f>
        <v>6</v>
      </c>
      <c r="E31" s="22">
        <f ca="1">INDIRECT("'("&amp;$A$4&amp;")'!e31")</f>
        <v>4</v>
      </c>
      <c r="F31" s="22">
        <f ca="1">INDIRECT("'("&amp;$A$4&amp;")'!f31")</f>
        <v>0</v>
      </c>
      <c r="G31" s="22">
        <f ca="1">INDIRECT("'("&amp;$A$4&amp;")'!g31")</f>
        <v>0</v>
      </c>
      <c r="H31" s="23">
        <f t="shared" ca="1" si="16"/>
        <v>33.484848484848484</v>
      </c>
      <c r="I31" s="22"/>
      <c r="J31" s="22">
        <f ca="1">INDIRECT("'("&amp;$A$4&amp;")'!j31")</f>
        <v>19</v>
      </c>
      <c r="K31" s="22">
        <f ca="1">INDIRECT("'("&amp;$A$4&amp;")'!k31")</f>
        <v>50</v>
      </c>
      <c r="L31" s="22">
        <f ca="1">INDIRECT("'("&amp;$A$4&amp;")'!l31")</f>
        <v>20</v>
      </c>
      <c r="M31" s="22">
        <f ca="1">INDIRECT("'("&amp;$A$4&amp;")'!m31")</f>
        <v>11</v>
      </c>
      <c r="N31" s="22">
        <f ca="1">INDIRECT("'("&amp;$A$4&amp;")'!n31")</f>
        <v>2</v>
      </c>
      <c r="O31" s="22">
        <f ca="1">INDIRECT("'("&amp;$A$4&amp;")'!o31")</f>
        <v>0</v>
      </c>
      <c r="P31" s="23">
        <f t="shared" ca="1" si="18"/>
        <v>32.916666666666664</v>
      </c>
      <c r="Q31" s="22"/>
      <c r="R31" s="21">
        <f t="shared" ca="1" si="19"/>
        <v>22</v>
      </c>
      <c r="S31" s="21">
        <f t="shared" ca="1" si="20"/>
        <v>70</v>
      </c>
      <c r="T31" s="21">
        <f t="shared" ca="1" si="21"/>
        <v>26</v>
      </c>
      <c r="U31" s="21">
        <f t="shared" ca="1" si="22"/>
        <v>15</v>
      </c>
      <c r="V31" s="21">
        <f t="shared" ca="1" si="23"/>
        <v>2</v>
      </c>
      <c r="W31" s="21">
        <f t="shared" ca="1" si="24"/>
        <v>0</v>
      </c>
      <c r="X31" s="23">
        <f t="shared" ca="1" si="3"/>
        <v>33.055555555555557</v>
      </c>
      <c r="Y31" s="22"/>
      <c r="Z31" s="22">
        <f ca="1">INDIRECT("'("&amp;$A$4&amp;")'!z31")</f>
        <v>0</v>
      </c>
      <c r="AA31" s="22">
        <f ca="1">INDIRECT("'("&amp;$A$4&amp;")'!aa31")</f>
        <v>0</v>
      </c>
      <c r="AB31" s="22">
        <f ca="1">INDIRECT("'("&amp;$A$4&amp;")'!ab31")</f>
        <v>0</v>
      </c>
      <c r="AC31" s="22">
        <f ca="1">INDIRECT("'("&amp;$A$4&amp;")'!ac31")</f>
        <v>1</v>
      </c>
      <c r="AD31" s="22">
        <f ca="1">INDIRECT("'("&amp;$A$4&amp;")'!ad31")</f>
        <v>0</v>
      </c>
      <c r="AE31" s="22">
        <f ca="1">INDIRECT("'("&amp;$A$4&amp;")'!ae31")</f>
        <v>0</v>
      </c>
      <c r="AF31" s="23">
        <f t="shared" ca="1" si="5"/>
        <v>50.5</v>
      </c>
      <c r="AG31" s="22"/>
      <c r="AH31" s="22">
        <f ca="1">INDIRECT("'("&amp;$A$4&amp;")'!ah31")</f>
        <v>2</v>
      </c>
      <c r="AI31" s="22">
        <f ca="1">INDIRECT("'("&amp;$A$4&amp;")'!ai31")</f>
        <v>10</v>
      </c>
      <c r="AJ31" s="22">
        <f ca="1">INDIRECT("'("&amp;$A$4&amp;")'!aj31")</f>
        <v>10</v>
      </c>
      <c r="AK31" s="22">
        <f ca="1">INDIRECT("'("&amp;$A$4&amp;")'!ak31")</f>
        <v>9</v>
      </c>
      <c r="AL31" s="22">
        <f ca="1">INDIRECT("'("&amp;$A$4&amp;")'!al31")</f>
        <v>9</v>
      </c>
      <c r="AM31" s="22">
        <f ca="1">INDIRECT("'("&amp;$A$4&amp;")'!am31")</f>
        <v>0</v>
      </c>
      <c r="AN31" s="23">
        <f t="shared" ca="1" si="7"/>
        <v>42.587499999999999</v>
      </c>
      <c r="AO31" s="22"/>
      <c r="AP31" s="21">
        <f t="shared" ca="1" si="8"/>
        <v>24</v>
      </c>
      <c r="AQ31" s="21">
        <f t="shared" ca="1" si="9"/>
        <v>80</v>
      </c>
      <c r="AR31" s="21">
        <f t="shared" ca="1" si="10"/>
        <v>36</v>
      </c>
      <c r="AS31" s="21">
        <f t="shared" ca="1" si="11"/>
        <v>25</v>
      </c>
      <c r="AT31" s="21">
        <f t="shared" ca="1" si="12"/>
        <v>11</v>
      </c>
      <c r="AU31" s="21">
        <f t="shared" ca="1" si="13"/>
        <v>0</v>
      </c>
      <c r="AV31" s="23">
        <f t="shared" ca="1" si="14"/>
        <v>35.321022727272727</v>
      </c>
      <c r="AW31" s="17"/>
      <c r="AX31" s="17"/>
      <c r="AY31" s="17"/>
      <c r="AZ31" s="17"/>
      <c r="BA31" s="17"/>
      <c r="BB31" s="17"/>
      <c r="BC31" s="17"/>
      <c r="BD31" s="17"/>
      <c r="BE31" s="17"/>
    </row>
    <row r="32" spans="1:57" s="7" customFormat="1" ht="15" customHeight="1" x14ac:dyDescent="0.35">
      <c r="A32" s="3" t="s">
        <v>37</v>
      </c>
      <c r="B32" s="22">
        <f ca="1">INDIRECT("'("&amp;$A$4&amp;")'!b32")</f>
        <v>6</v>
      </c>
      <c r="C32" s="22">
        <f ca="1">INDIRECT("'("&amp;$A$4&amp;")'!c32")</f>
        <v>29</v>
      </c>
      <c r="D32" s="22">
        <f ca="1">INDIRECT("'("&amp;$A$4&amp;")'!d32")</f>
        <v>17</v>
      </c>
      <c r="E32" s="22">
        <f ca="1">INDIRECT("'("&amp;$A$4&amp;")'!e32")</f>
        <v>3</v>
      </c>
      <c r="F32" s="22">
        <f ca="1">INDIRECT("'("&amp;$A$4&amp;")'!f32")</f>
        <v>0</v>
      </c>
      <c r="G32" s="22">
        <f ca="1">INDIRECT("'("&amp;$A$4&amp;")'!g32")</f>
        <v>0</v>
      </c>
      <c r="H32" s="23">
        <f t="shared" ca="1" si="16"/>
        <v>33.272727272727273</v>
      </c>
      <c r="I32" s="22"/>
      <c r="J32" s="22">
        <f ca="1">INDIRECT("'("&amp;$A$4&amp;")'!j32")</f>
        <v>19</v>
      </c>
      <c r="K32" s="22">
        <f ca="1">INDIRECT("'("&amp;$A$4&amp;")'!k32")</f>
        <v>32</v>
      </c>
      <c r="L32" s="22">
        <f ca="1">INDIRECT("'("&amp;$A$4&amp;")'!l32")</f>
        <v>18</v>
      </c>
      <c r="M32" s="22">
        <f ca="1">INDIRECT("'("&amp;$A$4&amp;")'!m32")</f>
        <v>3</v>
      </c>
      <c r="N32" s="22">
        <f ca="1">INDIRECT("'("&amp;$A$4&amp;")'!n32")</f>
        <v>0</v>
      </c>
      <c r="O32" s="22">
        <f ca="1">INDIRECT("'("&amp;$A$4&amp;")'!o32")</f>
        <v>0</v>
      </c>
      <c r="P32" s="23">
        <f t="shared" ca="1" si="18"/>
        <v>30.840277777777779</v>
      </c>
      <c r="Q32" s="22"/>
      <c r="R32" s="21">
        <f t="shared" ca="1" si="19"/>
        <v>25</v>
      </c>
      <c r="S32" s="21">
        <f t="shared" ca="1" si="20"/>
        <v>61</v>
      </c>
      <c r="T32" s="21">
        <f t="shared" ca="1" si="21"/>
        <v>35</v>
      </c>
      <c r="U32" s="21">
        <f t="shared" ca="1" si="22"/>
        <v>6</v>
      </c>
      <c r="V32" s="21">
        <f t="shared" ca="1" si="23"/>
        <v>0</v>
      </c>
      <c r="W32" s="21">
        <f t="shared" ca="1" si="24"/>
        <v>0</v>
      </c>
      <c r="X32" s="23">
        <f t="shared" ca="1" si="3"/>
        <v>31.893700787401574</v>
      </c>
      <c r="Y32" s="22"/>
      <c r="Z32" s="22">
        <f ca="1">INDIRECT("'("&amp;$A$4&amp;")'!z32")</f>
        <v>0</v>
      </c>
      <c r="AA32" s="22">
        <f ca="1">INDIRECT("'("&amp;$A$4&amp;")'!aa32")</f>
        <v>0</v>
      </c>
      <c r="AB32" s="22">
        <f ca="1">INDIRECT("'("&amp;$A$4&amp;")'!ab32")</f>
        <v>0</v>
      </c>
      <c r="AC32" s="22">
        <f ca="1">INDIRECT("'("&amp;$A$4&amp;")'!ac32")</f>
        <v>0</v>
      </c>
      <c r="AD32" s="22">
        <f ca="1">INDIRECT("'("&amp;$A$4&amp;")'!ad32")</f>
        <v>0</v>
      </c>
      <c r="AE32" s="22">
        <f ca="1">INDIRECT("'("&amp;$A$4&amp;")'!ae32")</f>
        <v>0</v>
      </c>
      <c r="AF32" s="23" t="str">
        <f t="shared" ca="1" si="5"/>
        <v>-</v>
      </c>
      <c r="AG32" s="22"/>
      <c r="AH32" s="22">
        <f ca="1">INDIRECT("'("&amp;$A$4&amp;")'!ah32")</f>
        <v>4</v>
      </c>
      <c r="AI32" s="22">
        <f ca="1">INDIRECT("'("&amp;$A$4&amp;")'!ai32")</f>
        <v>6</v>
      </c>
      <c r="AJ32" s="22">
        <f ca="1">INDIRECT("'("&amp;$A$4&amp;")'!aj32")</f>
        <v>7</v>
      </c>
      <c r="AK32" s="22">
        <f ca="1">INDIRECT("'("&amp;$A$4&amp;")'!ak32")</f>
        <v>4</v>
      </c>
      <c r="AL32" s="22">
        <f ca="1">INDIRECT("'("&amp;$A$4&amp;")'!al32")</f>
        <v>1</v>
      </c>
      <c r="AM32" s="22">
        <f ca="1">INDIRECT("'("&amp;$A$4&amp;")'!am32")</f>
        <v>0</v>
      </c>
      <c r="AN32" s="23">
        <f t="shared" ca="1" si="7"/>
        <v>36.43181818181818</v>
      </c>
      <c r="AO32" s="22"/>
      <c r="AP32" s="21">
        <f t="shared" ca="1" si="8"/>
        <v>29</v>
      </c>
      <c r="AQ32" s="21">
        <f t="shared" ca="1" si="9"/>
        <v>67</v>
      </c>
      <c r="AR32" s="21">
        <f t="shared" ca="1" si="10"/>
        <v>42</v>
      </c>
      <c r="AS32" s="21">
        <f t="shared" ca="1" si="11"/>
        <v>10</v>
      </c>
      <c r="AT32" s="21">
        <f t="shared" ca="1" si="12"/>
        <v>1</v>
      </c>
      <c r="AU32" s="21">
        <f t="shared" ca="1" si="13"/>
        <v>0</v>
      </c>
      <c r="AV32" s="23">
        <f t="shared" ca="1" si="14"/>
        <v>32.563758389261743</v>
      </c>
      <c r="AW32" s="17"/>
      <c r="AX32" s="17"/>
      <c r="AY32" s="17"/>
      <c r="AZ32" s="17"/>
      <c r="BA32" s="17"/>
      <c r="BB32" s="17"/>
      <c r="BC32" s="17"/>
      <c r="BD32" s="17"/>
      <c r="BE32" s="17"/>
    </row>
    <row r="33" spans="1:57" s="7" customFormat="1" ht="15" customHeight="1" x14ac:dyDescent="0.35">
      <c r="A33" s="2" t="s">
        <v>38</v>
      </c>
      <c r="B33" s="22">
        <f ca="1">INDIRECT("'("&amp;$A$4&amp;")'!b33")</f>
        <v>2</v>
      </c>
      <c r="C33" s="22">
        <f ca="1">INDIRECT("'("&amp;$A$4&amp;")'!c33")</f>
        <v>0</v>
      </c>
      <c r="D33" s="22">
        <f ca="1">INDIRECT("'("&amp;$A$4&amp;")'!d33")</f>
        <v>6</v>
      </c>
      <c r="E33" s="22">
        <f ca="1">INDIRECT("'("&amp;$A$4&amp;")'!e33")</f>
        <v>0</v>
      </c>
      <c r="F33" s="22">
        <f ca="1">INDIRECT("'("&amp;$A$4&amp;")'!f33")</f>
        <v>0</v>
      </c>
      <c r="G33" s="22">
        <f ca="1">INDIRECT("'("&amp;$A$4&amp;")'!g33")</f>
        <v>0</v>
      </c>
      <c r="H33" s="23">
        <f t="shared" ca="1" si="16"/>
        <v>35.375</v>
      </c>
      <c r="I33" s="22"/>
      <c r="J33" s="22">
        <f ca="1">INDIRECT("'("&amp;$A$4&amp;")'!j33")</f>
        <v>7</v>
      </c>
      <c r="K33" s="22">
        <f ca="1">INDIRECT("'("&amp;$A$4&amp;")'!k33")</f>
        <v>10</v>
      </c>
      <c r="L33" s="22">
        <f ca="1">INDIRECT("'("&amp;$A$4&amp;")'!l33")</f>
        <v>14</v>
      </c>
      <c r="M33" s="22">
        <f ca="1">INDIRECT("'("&amp;$A$4&amp;")'!m33")</f>
        <v>2</v>
      </c>
      <c r="N33" s="22">
        <f ca="1">INDIRECT("'("&amp;$A$4&amp;")'!n33")</f>
        <v>0</v>
      </c>
      <c r="O33" s="22">
        <f ca="1">INDIRECT("'("&amp;$A$4&amp;")'!o33")</f>
        <v>0</v>
      </c>
      <c r="P33" s="23">
        <f t="shared" ca="1" si="18"/>
        <v>33.575757575757578</v>
      </c>
      <c r="Q33" s="22"/>
      <c r="R33" s="21">
        <f t="shared" ca="1" si="19"/>
        <v>9</v>
      </c>
      <c r="S33" s="21">
        <f t="shared" ca="1" si="20"/>
        <v>10</v>
      </c>
      <c r="T33" s="21">
        <f t="shared" ca="1" si="21"/>
        <v>20</v>
      </c>
      <c r="U33" s="21">
        <f t="shared" ca="1" si="22"/>
        <v>2</v>
      </c>
      <c r="V33" s="21">
        <f t="shared" ca="1" si="23"/>
        <v>0</v>
      </c>
      <c r="W33" s="21">
        <f t="shared" ca="1" si="24"/>
        <v>0</v>
      </c>
      <c r="X33" s="23">
        <f t="shared" ca="1" si="3"/>
        <v>33.926829268292678</v>
      </c>
      <c r="Y33" s="22"/>
      <c r="Z33" s="22">
        <f ca="1">INDIRECT("'("&amp;$A$4&amp;")'!z33")</f>
        <v>0</v>
      </c>
      <c r="AA33" s="22">
        <f ca="1">INDIRECT("'("&amp;$A$4&amp;")'!aa33")</f>
        <v>0</v>
      </c>
      <c r="AB33" s="22">
        <f ca="1">INDIRECT("'("&amp;$A$4&amp;")'!ab33")</f>
        <v>0</v>
      </c>
      <c r="AC33" s="22">
        <f ca="1">INDIRECT("'("&amp;$A$4&amp;")'!ac33")</f>
        <v>0</v>
      </c>
      <c r="AD33" s="22">
        <f ca="1">INDIRECT("'("&amp;$A$4&amp;")'!ad33")</f>
        <v>0</v>
      </c>
      <c r="AE33" s="22">
        <f ca="1">INDIRECT("'("&amp;$A$4&amp;")'!ae33")</f>
        <v>0</v>
      </c>
      <c r="AF33" s="23" t="str">
        <f t="shared" ca="1" si="5"/>
        <v>-</v>
      </c>
      <c r="AG33" s="22"/>
      <c r="AH33" s="22">
        <f ca="1">INDIRECT("'("&amp;$A$4&amp;")'!ah33")</f>
        <v>0</v>
      </c>
      <c r="AI33" s="22">
        <f ca="1">INDIRECT("'("&amp;$A$4&amp;")'!ai33")</f>
        <v>5</v>
      </c>
      <c r="AJ33" s="22">
        <f ca="1">INDIRECT("'("&amp;$A$4&amp;")'!aj33")</f>
        <v>1</v>
      </c>
      <c r="AK33" s="22">
        <f ca="1">INDIRECT("'("&amp;$A$4&amp;")'!ak33")</f>
        <v>2</v>
      </c>
      <c r="AL33" s="22">
        <f ca="1">INDIRECT("'("&amp;$A$4&amp;")'!al33")</f>
        <v>1</v>
      </c>
      <c r="AM33" s="22">
        <f ca="1">INDIRECT("'("&amp;$A$4&amp;")'!am33")</f>
        <v>0</v>
      </c>
      <c r="AN33" s="23">
        <f t="shared" ca="1" si="7"/>
        <v>38.611111111111107</v>
      </c>
      <c r="AO33" s="22"/>
      <c r="AP33" s="21">
        <f t="shared" ca="1" si="8"/>
        <v>9</v>
      </c>
      <c r="AQ33" s="21">
        <f t="shared" ca="1" si="9"/>
        <v>15</v>
      </c>
      <c r="AR33" s="21">
        <f t="shared" ca="1" si="10"/>
        <v>21</v>
      </c>
      <c r="AS33" s="21">
        <f t="shared" ca="1" si="11"/>
        <v>4</v>
      </c>
      <c r="AT33" s="21">
        <f t="shared" ca="1" si="12"/>
        <v>1</v>
      </c>
      <c r="AU33" s="21">
        <f t="shared" ca="1" si="13"/>
        <v>0</v>
      </c>
      <c r="AV33" s="23">
        <f t="shared" ca="1" si="14"/>
        <v>34.769999999999996</v>
      </c>
      <c r="AW33" s="17"/>
      <c r="AX33" s="17"/>
      <c r="AY33" s="17"/>
      <c r="AZ33" s="17"/>
      <c r="BA33" s="17"/>
      <c r="BB33" s="17"/>
      <c r="BC33" s="17"/>
      <c r="BD33" s="17"/>
      <c r="BE33" s="17"/>
    </row>
    <row r="34" spans="1:57" s="7" customFormat="1" ht="15" customHeight="1" x14ac:dyDescent="0.35">
      <c r="A34" s="3" t="s">
        <v>39</v>
      </c>
      <c r="B34" s="22">
        <f ca="1">INDIRECT("'("&amp;$A$4&amp;")'!b34")</f>
        <v>1</v>
      </c>
      <c r="C34" s="22">
        <f ca="1">INDIRECT("'("&amp;$A$4&amp;")'!c34")</f>
        <v>12</v>
      </c>
      <c r="D34" s="22">
        <f ca="1">INDIRECT("'("&amp;$A$4&amp;")'!d34")</f>
        <v>0</v>
      </c>
      <c r="E34" s="22">
        <f ca="1">INDIRECT("'("&amp;$A$4&amp;")'!e34")</f>
        <v>0</v>
      </c>
      <c r="F34" s="22">
        <f ca="1">INDIRECT("'("&amp;$A$4&amp;")'!f34")</f>
        <v>0</v>
      </c>
      <c r="G34" s="22">
        <f ca="1">INDIRECT("'("&amp;$A$4&amp;")'!g34")</f>
        <v>0</v>
      </c>
      <c r="H34" s="23">
        <f t="shared" ca="1" si="16"/>
        <v>29.230769230769234</v>
      </c>
      <c r="I34" s="22"/>
      <c r="J34" s="22">
        <f ca="1">INDIRECT("'("&amp;$A$4&amp;")'!j34")</f>
        <v>17</v>
      </c>
      <c r="K34" s="22">
        <f ca="1">INDIRECT("'("&amp;$A$4&amp;")'!k34")</f>
        <v>21</v>
      </c>
      <c r="L34" s="22">
        <f ca="1">INDIRECT("'("&amp;$A$4&amp;")'!l34")</f>
        <v>10</v>
      </c>
      <c r="M34" s="22">
        <f ca="1">INDIRECT("'("&amp;$A$4&amp;")'!m34")</f>
        <v>4</v>
      </c>
      <c r="N34" s="22">
        <f ca="1">INDIRECT("'("&amp;$A$4&amp;")'!n34")</f>
        <v>1</v>
      </c>
      <c r="O34" s="22">
        <f ca="1">INDIRECT("'("&amp;$A$4&amp;")'!o34")</f>
        <v>0</v>
      </c>
      <c r="P34" s="23">
        <f t="shared" ca="1" si="18"/>
        <v>30.811320754716984</v>
      </c>
      <c r="Q34" s="22"/>
      <c r="R34" s="21">
        <f t="shared" ca="1" si="19"/>
        <v>18</v>
      </c>
      <c r="S34" s="21">
        <f t="shared" ca="1" si="20"/>
        <v>33</v>
      </c>
      <c r="T34" s="21">
        <f t="shared" ca="1" si="21"/>
        <v>10</v>
      </c>
      <c r="U34" s="21">
        <f t="shared" ca="1" si="22"/>
        <v>4</v>
      </c>
      <c r="V34" s="21">
        <f t="shared" ca="1" si="23"/>
        <v>1</v>
      </c>
      <c r="W34" s="21">
        <f t="shared" ca="1" si="24"/>
        <v>0</v>
      </c>
      <c r="X34" s="23">
        <f t="shared" ca="1" si="3"/>
        <v>30.499999999999996</v>
      </c>
      <c r="Y34" s="22"/>
      <c r="Z34" s="22">
        <f ca="1">INDIRECT("'("&amp;$A$4&amp;")'!z34")</f>
        <v>0</v>
      </c>
      <c r="AA34" s="22">
        <f ca="1">INDIRECT("'("&amp;$A$4&amp;")'!aa34")</f>
        <v>4</v>
      </c>
      <c r="AB34" s="22">
        <f ca="1">INDIRECT("'("&amp;$A$4&amp;")'!ab34")</f>
        <v>0</v>
      </c>
      <c r="AC34" s="22">
        <f ca="1">INDIRECT("'("&amp;$A$4&amp;")'!ac34")</f>
        <v>0</v>
      </c>
      <c r="AD34" s="22">
        <f ca="1">INDIRECT("'("&amp;$A$4&amp;")'!ad34")</f>
        <v>0</v>
      </c>
      <c r="AE34" s="22">
        <f ca="1">INDIRECT("'("&amp;$A$4&amp;")'!ae34")</f>
        <v>0</v>
      </c>
      <c r="AF34" s="23">
        <f t="shared" ca="1" si="5"/>
        <v>30</v>
      </c>
      <c r="AG34" s="22"/>
      <c r="AH34" s="22">
        <f ca="1">INDIRECT("'("&amp;$A$4&amp;")'!ah34")</f>
        <v>3</v>
      </c>
      <c r="AI34" s="22">
        <f ca="1">INDIRECT("'("&amp;$A$4&amp;")'!ai34")</f>
        <v>2</v>
      </c>
      <c r="AJ34" s="22">
        <f ca="1">INDIRECT("'("&amp;$A$4&amp;")'!aj34")</f>
        <v>1</v>
      </c>
      <c r="AK34" s="22">
        <f ca="1">INDIRECT("'("&amp;$A$4&amp;")'!ak34")</f>
        <v>2</v>
      </c>
      <c r="AL34" s="22">
        <f ca="1">INDIRECT("'("&amp;$A$4&amp;")'!al34")</f>
        <v>2</v>
      </c>
      <c r="AM34" s="22">
        <f ca="1">INDIRECT("'("&amp;$A$4&amp;")'!am34")</f>
        <v>0</v>
      </c>
      <c r="AN34" s="23">
        <f t="shared" ca="1" si="7"/>
        <v>37.35</v>
      </c>
      <c r="AO34" s="22"/>
      <c r="AP34" s="21">
        <f t="shared" ca="1" si="8"/>
        <v>21</v>
      </c>
      <c r="AQ34" s="21">
        <f t="shared" ca="1" si="9"/>
        <v>39</v>
      </c>
      <c r="AR34" s="21">
        <f t="shared" ca="1" si="10"/>
        <v>11</v>
      </c>
      <c r="AS34" s="21">
        <f t="shared" ca="1" si="11"/>
        <v>6</v>
      </c>
      <c r="AT34" s="21">
        <f t="shared" ca="1" si="12"/>
        <v>3</v>
      </c>
      <c r="AU34" s="21">
        <f t="shared" ca="1" si="13"/>
        <v>0</v>
      </c>
      <c r="AV34" s="23">
        <f t="shared" ca="1" si="14"/>
        <v>31.331250000000004</v>
      </c>
      <c r="AW34" s="17"/>
      <c r="AX34" s="17"/>
      <c r="AY34" s="17"/>
      <c r="AZ34" s="17"/>
      <c r="BA34" s="17"/>
      <c r="BB34" s="17"/>
      <c r="BC34" s="17"/>
      <c r="BD34" s="17"/>
      <c r="BE34" s="17"/>
    </row>
    <row r="35" spans="1:57" s="7" customFormat="1" ht="15" customHeight="1" x14ac:dyDescent="0.35">
      <c r="A35" s="3" t="s">
        <v>40</v>
      </c>
      <c r="B35" s="22">
        <f ca="1">INDIRECT("'("&amp;$A$4&amp;")'!b35")</f>
        <v>5</v>
      </c>
      <c r="C35" s="22">
        <f ca="1">INDIRECT("'("&amp;$A$4&amp;")'!c35")</f>
        <v>12</v>
      </c>
      <c r="D35" s="22">
        <f ca="1">INDIRECT("'("&amp;$A$4&amp;")'!d35")</f>
        <v>10</v>
      </c>
      <c r="E35" s="22">
        <f ca="1">INDIRECT("'("&amp;$A$4&amp;")'!e35")</f>
        <v>3</v>
      </c>
      <c r="F35" s="22">
        <f ca="1">INDIRECT("'("&amp;$A$4&amp;")'!f35")</f>
        <v>0</v>
      </c>
      <c r="G35" s="22">
        <f ca="1">INDIRECT("'("&amp;$A$4&amp;")'!g35")</f>
        <v>0</v>
      </c>
      <c r="H35" s="23">
        <f t="shared" ca="1" si="16"/>
        <v>33.883333333333333</v>
      </c>
      <c r="I35" s="22"/>
      <c r="J35" s="22">
        <f ca="1">INDIRECT("'("&amp;$A$4&amp;")'!j35")</f>
        <v>7</v>
      </c>
      <c r="K35" s="22">
        <f ca="1">INDIRECT("'("&amp;$A$4&amp;")'!k35")</f>
        <v>17</v>
      </c>
      <c r="L35" s="22">
        <f ca="1">INDIRECT("'("&amp;$A$4&amp;")'!l35")</f>
        <v>11</v>
      </c>
      <c r="M35" s="22">
        <f ca="1">INDIRECT("'("&amp;$A$4&amp;")'!m35")</f>
        <v>3</v>
      </c>
      <c r="N35" s="22">
        <f ca="1">INDIRECT("'("&amp;$A$4&amp;")'!n35")</f>
        <v>0</v>
      </c>
      <c r="O35" s="22">
        <f ca="1">INDIRECT("'("&amp;$A$4&amp;")'!o35")</f>
        <v>0</v>
      </c>
      <c r="P35" s="23">
        <f t="shared" ca="1" si="18"/>
        <v>32.815789473684212</v>
      </c>
      <c r="Q35" s="22"/>
      <c r="R35" s="21">
        <f t="shared" ca="1" si="19"/>
        <v>12</v>
      </c>
      <c r="S35" s="21">
        <f t="shared" ca="1" si="20"/>
        <v>29</v>
      </c>
      <c r="T35" s="21">
        <f t="shared" ca="1" si="21"/>
        <v>21</v>
      </c>
      <c r="U35" s="21">
        <f t="shared" ca="1" si="22"/>
        <v>6</v>
      </c>
      <c r="V35" s="21">
        <f t="shared" ca="1" si="23"/>
        <v>0</v>
      </c>
      <c r="W35" s="21">
        <f t="shared" ca="1" si="24"/>
        <v>0</v>
      </c>
      <c r="X35" s="23">
        <f t="shared" ca="1" si="3"/>
        <v>33.286764705882355</v>
      </c>
      <c r="Y35" s="22"/>
      <c r="Z35" s="22">
        <f ca="1">INDIRECT("'("&amp;$A$4&amp;")'!z35")</f>
        <v>0</v>
      </c>
      <c r="AA35" s="22">
        <f ca="1">INDIRECT("'("&amp;$A$4&amp;")'!aa35")</f>
        <v>2</v>
      </c>
      <c r="AB35" s="22">
        <f ca="1">INDIRECT("'("&amp;$A$4&amp;")'!ab35")</f>
        <v>0</v>
      </c>
      <c r="AC35" s="22">
        <f ca="1">INDIRECT("'("&amp;$A$4&amp;")'!ac35")</f>
        <v>0</v>
      </c>
      <c r="AD35" s="22">
        <f ca="1">INDIRECT("'("&amp;$A$4&amp;")'!ad35")</f>
        <v>0</v>
      </c>
      <c r="AE35" s="22">
        <f ca="1">INDIRECT("'("&amp;$A$4&amp;")'!ae35")</f>
        <v>0</v>
      </c>
      <c r="AF35" s="23">
        <f t="shared" ca="1" si="5"/>
        <v>30</v>
      </c>
      <c r="AG35" s="22"/>
      <c r="AH35" s="22">
        <f ca="1">INDIRECT("'("&amp;$A$4&amp;")'!ah35")</f>
        <v>2</v>
      </c>
      <c r="AI35" s="22">
        <f ca="1">INDIRECT("'("&amp;$A$4&amp;")'!ai35")</f>
        <v>2</v>
      </c>
      <c r="AJ35" s="22">
        <f ca="1">INDIRECT("'("&amp;$A$4&amp;")'!aj35")</f>
        <v>2</v>
      </c>
      <c r="AK35" s="22">
        <f ca="1">INDIRECT("'("&amp;$A$4&amp;")'!ak35")</f>
        <v>2</v>
      </c>
      <c r="AL35" s="22">
        <f ca="1">INDIRECT("'("&amp;$A$4&amp;")'!al35")</f>
        <v>2</v>
      </c>
      <c r="AM35" s="22">
        <f ca="1">INDIRECT("'("&amp;$A$4&amp;")'!am35")</f>
        <v>0</v>
      </c>
      <c r="AN35" s="23">
        <f t="shared" ca="1" si="7"/>
        <v>39.400000000000006</v>
      </c>
      <c r="AO35" s="22"/>
      <c r="AP35" s="21">
        <f t="shared" ca="1" si="8"/>
        <v>14</v>
      </c>
      <c r="AQ35" s="21">
        <f t="shared" ca="1" si="9"/>
        <v>33</v>
      </c>
      <c r="AR35" s="21">
        <f t="shared" ca="1" si="10"/>
        <v>23</v>
      </c>
      <c r="AS35" s="21">
        <f t="shared" ca="1" si="11"/>
        <v>8</v>
      </c>
      <c r="AT35" s="21">
        <f t="shared" ca="1" si="12"/>
        <v>2</v>
      </c>
      <c r="AU35" s="21">
        <f t="shared" ca="1" si="13"/>
        <v>0</v>
      </c>
      <c r="AV35" s="23">
        <f t="shared" ca="1" si="14"/>
        <v>33.968749999999993</v>
      </c>
      <c r="AW35" s="17"/>
      <c r="AX35" s="17"/>
      <c r="AY35" s="17"/>
      <c r="AZ35" s="17"/>
      <c r="BA35" s="17"/>
      <c r="BB35" s="17"/>
      <c r="BC35" s="17"/>
      <c r="BD35" s="17"/>
      <c r="BE35" s="17"/>
    </row>
    <row r="36" spans="1:57" s="7" customFormat="1" ht="15" customHeight="1" x14ac:dyDescent="0.35">
      <c r="A36" s="2" t="s">
        <v>41</v>
      </c>
      <c r="B36" s="22">
        <f ca="1">INDIRECT("'("&amp;$A$4&amp;")'!b36")</f>
        <v>0</v>
      </c>
      <c r="C36" s="22">
        <f ca="1">INDIRECT("'("&amp;$A$4&amp;")'!c36")</f>
        <v>0</v>
      </c>
      <c r="D36" s="22">
        <f ca="1">INDIRECT("'("&amp;$A$4&amp;")'!d36")</f>
        <v>0</v>
      </c>
      <c r="E36" s="22">
        <f ca="1">INDIRECT("'("&amp;$A$4&amp;")'!e36")</f>
        <v>0</v>
      </c>
      <c r="F36" s="22">
        <f ca="1">INDIRECT("'("&amp;$A$4&amp;")'!f36")</f>
        <v>0</v>
      </c>
      <c r="G36" s="22">
        <f ca="1">INDIRECT("'("&amp;$A$4&amp;")'!g36")</f>
        <v>0</v>
      </c>
      <c r="H36" s="23" t="str">
        <f t="shared" ca="1" si="16"/>
        <v>-</v>
      </c>
      <c r="I36" s="22"/>
      <c r="J36" s="22">
        <f ca="1">INDIRECT("'("&amp;$A$4&amp;")'!j36")</f>
        <v>0</v>
      </c>
      <c r="K36" s="22">
        <f ca="1">INDIRECT("'("&amp;$A$4&amp;")'!k36")</f>
        <v>0</v>
      </c>
      <c r="L36" s="22">
        <f ca="1">INDIRECT("'("&amp;$A$4&amp;")'!l36")</f>
        <v>0</v>
      </c>
      <c r="M36" s="22">
        <f ca="1">INDIRECT("'("&amp;$A$4&amp;")'!m36")</f>
        <v>0</v>
      </c>
      <c r="N36" s="22">
        <f ca="1">INDIRECT("'("&amp;$A$4&amp;")'!n36")</f>
        <v>0</v>
      </c>
      <c r="O36" s="22">
        <f ca="1">INDIRECT("'("&amp;$A$4&amp;")'!o36")</f>
        <v>0</v>
      </c>
      <c r="P36" s="23" t="str">
        <f t="shared" ca="1" si="18"/>
        <v>-</v>
      </c>
      <c r="Q36" s="22"/>
      <c r="R36" s="21">
        <f t="shared" ca="1" si="19"/>
        <v>0</v>
      </c>
      <c r="S36" s="21">
        <f t="shared" ca="1" si="20"/>
        <v>0</v>
      </c>
      <c r="T36" s="21">
        <f t="shared" ca="1" si="21"/>
        <v>0</v>
      </c>
      <c r="U36" s="21">
        <f t="shared" ca="1" si="22"/>
        <v>0</v>
      </c>
      <c r="V36" s="21">
        <f t="shared" ca="1" si="23"/>
        <v>0</v>
      </c>
      <c r="W36" s="21">
        <f t="shared" ca="1" si="24"/>
        <v>0</v>
      </c>
      <c r="X36" s="23" t="str">
        <f t="shared" ca="1" si="3"/>
        <v>-</v>
      </c>
      <c r="Y36" s="22"/>
      <c r="Z36" s="22">
        <f ca="1">INDIRECT("'("&amp;$A$4&amp;")'!z36")</f>
        <v>2</v>
      </c>
      <c r="AA36" s="22">
        <f ca="1">INDIRECT("'("&amp;$A$4&amp;")'!aa36")</f>
        <v>3</v>
      </c>
      <c r="AB36" s="22">
        <f ca="1">INDIRECT("'("&amp;$A$4&amp;")'!ab36")</f>
        <v>2</v>
      </c>
      <c r="AC36" s="22">
        <f ca="1">INDIRECT("'("&amp;$A$4&amp;")'!ac36")</f>
        <v>0</v>
      </c>
      <c r="AD36" s="22">
        <f ca="1">INDIRECT("'("&amp;$A$4&amp;")'!ad36")</f>
        <v>0</v>
      </c>
      <c r="AE36" s="22">
        <f ca="1">INDIRECT("'("&amp;$A$4&amp;")'!ae36")</f>
        <v>0</v>
      </c>
      <c r="AF36" s="23">
        <f t="shared" ca="1" si="5"/>
        <v>30.142857142857139</v>
      </c>
      <c r="AG36" s="22"/>
      <c r="AH36" s="22">
        <f ca="1">INDIRECT("'("&amp;$A$4&amp;")'!ah36")</f>
        <v>0</v>
      </c>
      <c r="AI36" s="22">
        <f ca="1">INDIRECT("'("&amp;$A$4&amp;")'!ai36")</f>
        <v>0</v>
      </c>
      <c r="AJ36" s="22">
        <f ca="1">INDIRECT("'("&amp;$A$4&amp;")'!aj36")</f>
        <v>0</v>
      </c>
      <c r="AK36" s="22">
        <f ca="1">INDIRECT("'("&amp;$A$4&amp;")'!ak36")</f>
        <v>1</v>
      </c>
      <c r="AL36" s="22">
        <f ca="1">INDIRECT("'("&amp;$A$4&amp;")'!al36")</f>
        <v>0</v>
      </c>
      <c r="AM36" s="22">
        <f ca="1">INDIRECT("'("&amp;$A$4&amp;")'!am36")</f>
        <v>0</v>
      </c>
      <c r="AN36" s="23">
        <f t="shared" ca="1" si="7"/>
        <v>50.5</v>
      </c>
      <c r="AO36" s="22"/>
      <c r="AP36" s="21">
        <f t="shared" ca="1" si="8"/>
        <v>2</v>
      </c>
      <c r="AQ36" s="21">
        <f t="shared" ca="1" si="9"/>
        <v>3</v>
      </c>
      <c r="AR36" s="21">
        <f t="shared" ca="1" si="10"/>
        <v>2</v>
      </c>
      <c r="AS36" s="21">
        <f t="shared" ca="1" si="11"/>
        <v>1</v>
      </c>
      <c r="AT36" s="21">
        <f t="shared" ca="1" si="12"/>
        <v>0</v>
      </c>
      <c r="AU36" s="21">
        <f t="shared" ca="1" si="13"/>
        <v>0</v>
      </c>
      <c r="AV36" s="23">
        <f t="shared" ca="1" si="14"/>
        <v>32.6875</v>
      </c>
      <c r="AW36" s="17"/>
      <c r="AX36" s="17"/>
      <c r="AY36" s="17"/>
      <c r="AZ36" s="17"/>
      <c r="BA36" s="17"/>
      <c r="BB36" s="17"/>
      <c r="BC36" s="17"/>
      <c r="BD36" s="17"/>
      <c r="BE36" s="17"/>
    </row>
    <row r="37" spans="1:57" s="7" customFormat="1" ht="15" customHeight="1" x14ac:dyDescent="0.35">
      <c r="A37" s="3" t="s">
        <v>42</v>
      </c>
      <c r="B37" s="22">
        <f ca="1">INDIRECT("'("&amp;$A$4&amp;")'!b37")</f>
        <v>2</v>
      </c>
      <c r="C37" s="22">
        <f ca="1">INDIRECT("'("&amp;$A$4&amp;")'!c37")</f>
        <v>15</v>
      </c>
      <c r="D37" s="22">
        <f ca="1">INDIRECT("'("&amp;$A$4&amp;")'!d37")</f>
        <v>11</v>
      </c>
      <c r="E37" s="22">
        <f ca="1">INDIRECT("'("&amp;$A$4&amp;")'!e37")</f>
        <v>2</v>
      </c>
      <c r="F37" s="22">
        <f ca="1">INDIRECT("'("&amp;$A$4&amp;")'!f37")</f>
        <v>0</v>
      </c>
      <c r="G37" s="22">
        <f ca="1">INDIRECT("'("&amp;$A$4&amp;")'!g37")</f>
        <v>0</v>
      </c>
      <c r="H37" s="23">
        <f t="shared" ca="1" si="16"/>
        <v>34.549999999999997</v>
      </c>
      <c r="I37" s="22"/>
      <c r="J37" s="22">
        <f ca="1">INDIRECT("'("&amp;$A$4&amp;")'!j37")</f>
        <v>11</v>
      </c>
      <c r="K37" s="22">
        <f ca="1">INDIRECT("'("&amp;$A$4&amp;")'!k37")</f>
        <v>15</v>
      </c>
      <c r="L37" s="22">
        <f ca="1">INDIRECT("'("&amp;$A$4&amp;")'!l37")</f>
        <v>10</v>
      </c>
      <c r="M37" s="22">
        <f ca="1">INDIRECT("'("&amp;$A$4&amp;")'!m37")</f>
        <v>5</v>
      </c>
      <c r="N37" s="22">
        <f ca="1">INDIRECT("'("&amp;$A$4&amp;")'!n37")</f>
        <v>0</v>
      </c>
      <c r="O37" s="22">
        <f ca="1">INDIRECT("'("&amp;$A$4&amp;")'!o37")</f>
        <v>0</v>
      </c>
      <c r="P37" s="23">
        <f t="shared" ca="1" si="18"/>
        <v>32.378048780487802</v>
      </c>
      <c r="Q37" s="22"/>
      <c r="R37" s="21">
        <f t="shared" ca="1" si="19"/>
        <v>13</v>
      </c>
      <c r="S37" s="21">
        <f t="shared" ca="1" si="20"/>
        <v>30</v>
      </c>
      <c r="T37" s="21">
        <f t="shared" ca="1" si="21"/>
        <v>21</v>
      </c>
      <c r="U37" s="21">
        <f t="shared" ca="1" si="22"/>
        <v>7</v>
      </c>
      <c r="V37" s="21">
        <f t="shared" ca="1" si="23"/>
        <v>0</v>
      </c>
      <c r="W37" s="21">
        <f t="shared" ca="1" si="24"/>
        <v>0</v>
      </c>
      <c r="X37" s="23">
        <f t="shared" ca="1" si="3"/>
        <v>33.29577464788732</v>
      </c>
      <c r="Y37" s="22"/>
      <c r="Z37" s="22">
        <f ca="1">INDIRECT("'("&amp;$A$4&amp;")'!z37")</f>
        <v>1</v>
      </c>
      <c r="AA37" s="22">
        <f ca="1">INDIRECT("'("&amp;$A$4&amp;")'!aa37")</f>
        <v>3</v>
      </c>
      <c r="AB37" s="22">
        <f ca="1">INDIRECT("'("&amp;$A$4&amp;")'!ab37")</f>
        <v>0</v>
      </c>
      <c r="AC37" s="22">
        <f ca="1">INDIRECT("'("&amp;$A$4&amp;")'!ac37")</f>
        <v>0</v>
      </c>
      <c r="AD37" s="22">
        <f ca="1">INDIRECT("'("&amp;$A$4&amp;")'!ad37")</f>
        <v>0</v>
      </c>
      <c r="AE37" s="22">
        <f ca="1">INDIRECT("'("&amp;$A$4&amp;")'!ae37")</f>
        <v>0</v>
      </c>
      <c r="AF37" s="23">
        <f t="shared" ca="1" si="5"/>
        <v>27.5</v>
      </c>
      <c r="AG37" s="22"/>
      <c r="AH37" s="22">
        <f ca="1">INDIRECT("'("&amp;$A$4&amp;")'!ah37")</f>
        <v>0</v>
      </c>
      <c r="AI37" s="22">
        <f ca="1">INDIRECT("'("&amp;$A$4&amp;")'!ai37")</f>
        <v>6</v>
      </c>
      <c r="AJ37" s="22">
        <f ca="1">INDIRECT("'("&amp;$A$4&amp;")'!aj37")</f>
        <v>2</v>
      </c>
      <c r="AK37" s="22">
        <f ca="1">INDIRECT("'("&amp;$A$4&amp;")'!ak37")</f>
        <v>0</v>
      </c>
      <c r="AL37" s="22">
        <f ca="1">INDIRECT("'("&amp;$A$4&amp;")'!al37")</f>
        <v>0</v>
      </c>
      <c r="AM37" s="22">
        <f ca="1">INDIRECT("'("&amp;$A$4&amp;")'!am37")</f>
        <v>10</v>
      </c>
      <c r="AN37" s="23">
        <f t="shared" ca="1" si="7"/>
        <v>32.625</v>
      </c>
      <c r="AO37" s="22"/>
      <c r="AP37" s="21">
        <f t="shared" ca="1" si="8"/>
        <v>14</v>
      </c>
      <c r="AQ37" s="21">
        <f t="shared" ca="1" si="9"/>
        <v>39</v>
      </c>
      <c r="AR37" s="21">
        <f t="shared" ca="1" si="10"/>
        <v>23</v>
      </c>
      <c r="AS37" s="21">
        <f t="shared" ca="1" si="11"/>
        <v>7</v>
      </c>
      <c r="AT37" s="21">
        <f t="shared" ca="1" si="12"/>
        <v>0</v>
      </c>
      <c r="AU37" s="21">
        <f t="shared" ca="1" si="13"/>
        <v>10</v>
      </c>
      <c r="AV37" s="23">
        <f t="shared" ca="1" si="14"/>
        <v>32.951807228915662</v>
      </c>
      <c r="AW37" s="17"/>
      <c r="AX37" s="17"/>
      <c r="AY37" s="17"/>
      <c r="AZ37" s="17"/>
      <c r="BA37" s="17"/>
      <c r="BB37" s="17"/>
      <c r="BC37" s="17"/>
      <c r="BD37" s="17"/>
      <c r="BE37" s="17"/>
    </row>
    <row r="38" spans="1:57" s="7" customFormat="1" ht="15" customHeight="1" x14ac:dyDescent="0.35">
      <c r="A38" s="3" t="s">
        <v>43</v>
      </c>
      <c r="B38" s="22">
        <f ca="1">INDIRECT("'("&amp;$A$4&amp;")'!b38")</f>
        <v>1</v>
      </c>
      <c r="C38" s="22">
        <f ca="1">INDIRECT("'("&amp;$A$4&amp;")'!c38")</f>
        <v>7</v>
      </c>
      <c r="D38" s="22">
        <f ca="1">INDIRECT("'("&amp;$A$4&amp;")'!d38")</f>
        <v>1</v>
      </c>
      <c r="E38" s="22">
        <f ca="1">INDIRECT("'("&amp;$A$4&amp;")'!e38")</f>
        <v>0</v>
      </c>
      <c r="F38" s="22">
        <f ca="1">INDIRECT("'("&amp;$A$4&amp;")'!f38")</f>
        <v>0</v>
      </c>
      <c r="G38" s="22">
        <f ca="1">INDIRECT("'("&amp;$A$4&amp;")'!g38")</f>
        <v>0</v>
      </c>
      <c r="H38" s="23">
        <f t="shared" ca="1" si="16"/>
        <v>30.055555555555554</v>
      </c>
      <c r="I38" s="22"/>
      <c r="J38" s="22">
        <f ca="1">INDIRECT("'("&amp;$A$4&amp;")'!j38")</f>
        <v>14</v>
      </c>
      <c r="K38" s="22">
        <f ca="1">INDIRECT("'("&amp;$A$4&amp;")'!k38")</f>
        <v>26</v>
      </c>
      <c r="L38" s="22">
        <f ca="1">INDIRECT("'("&amp;$A$4&amp;")'!l38")</f>
        <v>4</v>
      </c>
      <c r="M38" s="22">
        <f ca="1">INDIRECT("'("&amp;$A$4&amp;")'!m38")</f>
        <v>3</v>
      </c>
      <c r="N38" s="22">
        <f ca="1">INDIRECT("'("&amp;$A$4&amp;")'!n38")</f>
        <v>1</v>
      </c>
      <c r="O38" s="22">
        <f ca="1">INDIRECT("'("&amp;$A$4&amp;")'!o38")</f>
        <v>0</v>
      </c>
      <c r="P38" s="23">
        <f t="shared" ca="1" si="18"/>
        <v>29.781250000000004</v>
      </c>
      <c r="Q38" s="22"/>
      <c r="R38" s="21">
        <f t="shared" ca="1" si="19"/>
        <v>15</v>
      </c>
      <c r="S38" s="21">
        <f t="shared" ca="1" si="20"/>
        <v>33</v>
      </c>
      <c r="T38" s="21">
        <f t="shared" ca="1" si="21"/>
        <v>5</v>
      </c>
      <c r="U38" s="21">
        <f t="shared" ca="1" si="22"/>
        <v>3</v>
      </c>
      <c r="V38" s="21">
        <f t="shared" ca="1" si="23"/>
        <v>1</v>
      </c>
      <c r="W38" s="21">
        <f t="shared" ca="1" si="24"/>
        <v>0</v>
      </c>
      <c r="X38" s="23">
        <f t="shared" ca="1" si="3"/>
        <v>29.82456140350877</v>
      </c>
      <c r="Y38" s="22"/>
      <c r="Z38" s="22">
        <f ca="1">INDIRECT("'("&amp;$A$4&amp;")'!z38")</f>
        <v>0</v>
      </c>
      <c r="AA38" s="22">
        <f ca="1">INDIRECT("'("&amp;$A$4&amp;")'!aa38")</f>
        <v>2</v>
      </c>
      <c r="AB38" s="22">
        <f ca="1">INDIRECT("'("&amp;$A$4&amp;")'!ab38")</f>
        <v>2</v>
      </c>
      <c r="AC38" s="22">
        <f ca="1">INDIRECT("'("&amp;$A$4&amp;")'!ac38")</f>
        <v>0</v>
      </c>
      <c r="AD38" s="22">
        <f ca="1">INDIRECT("'("&amp;$A$4&amp;")'!ad38")</f>
        <v>0</v>
      </c>
      <c r="AE38" s="22">
        <f ca="1">INDIRECT("'("&amp;$A$4&amp;")'!ae38")</f>
        <v>0</v>
      </c>
      <c r="AF38" s="23">
        <f t="shared" ca="1" si="5"/>
        <v>35.25</v>
      </c>
      <c r="AG38" s="22"/>
      <c r="AH38" s="22">
        <f ca="1">INDIRECT("'("&amp;$A$4&amp;")'!ah38")</f>
        <v>0</v>
      </c>
      <c r="AI38" s="22">
        <f ca="1">INDIRECT("'("&amp;$A$4&amp;")'!ai38")</f>
        <v>2</v>
      </c>
      <c r="AJ38" s="22">
        <f ca="1">INDIRECT("'("&amp;$A$4&amp;")'!aj38")</f>
        <v>3</v>
      </c>
      <c r="AK38" s="22">
        <f ca="1">INDIRECT("'("&amp;$A$4&amp;")'!ak38")</f>
        <v>3</v>
      </c>
      <c r="AL38" s="22">
        <f ca="1">INDIRECT("'("&amp;$A$4&amp;")'!al38")</f>
        <v>1</v>
      </c>
      <c r="AM38" s="22">
        <f ca="1">INDIRECT("'("&amp;$A$4&amp;")'!am38")</f>
        <v>0</v>
      </c>
      <c r="AN38" s="23">
        <f t="shared" ca="1" si="7"/>
        <v>43.222222222222221</v>
      </c>
      <c r="AO38" s="22"/>
      <c r="AP38" s="21">
        <f t="shared" ca="1" si="8"/>
        <v>15</v>
      </c>
      <c r="AQ38" s="21">
        <f t="shared" ca="1" si="9"/>
        <v>37</v>
      </c>
      <c r="AR38" s="21">
        <f t="shared" ca="1" si="10"/>
        <v>10</v>
      </c>
      <c r="AS38" s="21">
        <f t="shared" ca="1" si="11"/>
        <v>6</v>
      </c>
      <c r="AT38" s="21">
        <f t="shared" ca="1" si="12"/>
        <v>2</v>
      </c>
      <c r="AU38" s="21">
        <f t="shared" ca="1" si="13"/>
        <v>0</v>
      </c>
      <c r="AV38" s="23">
        <f t="shared" ca="1" si="14"/>
        <v>31.857142857142858</v>
      </c>
      <c r="AW38" s="17"/>
      <c r="AX38" s="17"/>
      <c r="AY38" s="17"/>
      <c r="AZ38" s="17"/>
      <c r="BA38" s="17"/>
      <c r="BB38" s="17"/>
      <c r="BC38" s="17"/>
      <c r="BD38" s="17"/>
      <c r="BE38" s="17"/>
    </row>
    <row r="39" spans="1:57" s="7" customFormat="1" ht="15" customHeight="1" x14ac:dyDescent="0.35">
      <c r="A39" s="3" t="s">
        <v>44</v>
      </c>
      <c r="B39" s="22">
        <f ca="1">INDIRECT("'("&amp;$A$4&amp;")'!b39")</f>
        <v>0</v>
      </c>
      <c r="C39" s="22">
        <f ca="1">INDIRECT("'("&amp;$A$4&amp;")'!c39")</f>
        <v>3</v>
      </c>
      <c r="D39" s="22">
        <f ca="1">INDIRECT("'("&amp;$A$4&amp;")'!d39")</f>
        <v>5</v>
      </c>
      <c r="E39" s="22">
        <f ca="1">INDIRECT("'("&amp;$A$4&amp;")'!e39")</f>
        <v>1</v>
      </c>
      <c r="F39" s="22">
        <f ca="1">INDIRECT("'("&amp;$A$4&amp;")'!f39")</f>
        <v>0</v>
      </c>
      <c r="G39" s="22">
        <f ca="1">INDIRECT("'("&amp;$A$4&amp;")'!g39")</f>
        <v>0</v>
      </c>
      <c r="H39" s="23">
        <f t="shared" ca="1" si="16"/>
        <v>38.111111111111114</v>
      </c>
      <c r="I39" s="22"/>
      <c r="J39" s="22">
        <f ca="1">INDIRECT("'("&amp;$A$4&amp;")'!j39")</f>
        <v>9</v>
      </c>
      <c r="K39" s="22">
        <f ca="1">INDIRECT("'("&amp;$A$4&amp;")'!k39")</f>
        <v>5</v>
      </c>
      <c r="L39" s="22">
        <f ca="1">INDIRECT("'("&amp;$A$4&amp;")'!l39")</f>
        <v>4</v>
      </c>
      <c r="M39" s="22">
        <f ca="1">INDIRECT("'("&amp;$A$4&amp;")'!m39")</f>
        <v>1</v>
      </c>
      <c r="N39" s="22">
        <f ca="1">INDIRECT("'("&amp;$A$4&amp;")'!n39")</f>
        <v>0</v>
      </c>
      <c r="O39" s="22">
        <f ca="1">INDIRECT("'("&amp;$A$4&amp;")'!o39")</f>
        <v>0</v>
      </c>
      <c r="P39" s="23">
        <f t="shared" ca="1" si="18"/>
        <v>28.552631578947366</v>
      </c>
      <c r="Q39" s="22"/>
      <c r="R39" s="21">
        <f t="shared" ca="1" si="19"/>
        <v>9</v>
      </c>
      <c r="S39" s="21">
        <f t="shared" ca="1" si="20"/>
        <v>8</v>
      </c>
      <c r="T39" s="21">
        <f t="shared" ca="1" si="21"/>
        <v>9</v>
      </c>
      <c r="U39" s="21">
        <f t="shared" ca="1" si="22"/>
        <v>2</v>
      </c>
      <c r="V39" s="21">
        <f t="shared" ca="1" si="23"/>
        <v>0</v>
      </c>
      <c r="W39" s="21">
        <f t="shared" ca="1" si="24"/>
        <v>0</v>
      </c>
      <c r="X39" s="23">
        <f t="shared" ca="1" si="3"/>
        <v>31.625000000000004</v>
      </c>
      <c r="Y39" s="22"/>
      <c r="Z39" s="22">
        <f ca="1">INDIRECT("'("&amp;$A$4&amp;")'!z39")</f>
        <v>0</v>
      </c>
      <c r="AA39" s="22">
        <f ca="1">INDIRECT("'("&amp;$A$4&amp;")'!aa39")</f>
        <v>0</v>
      </c>
      <c r="AB39" s="22">
        <f ca="1">INDIRECT("'("&amp;$A$4&amp;")'!ab39")</f>
        <v>0</v>
      </c>
      <c r="AC39" s="22">
        <f ca="1">INDIRECT("'("&amp;$A$4&amp;")'!ac39")</f>
        <v>0</v>
      </c>
      <c r="AD39" s="22">
        <f ca="1">INDIRECT("'("&amp;$A$4&amp;")'!ad39")</f>
        <v>0</v>
      </c>
      <c r="AE39" s="22">
        <f ca="1">INDIRECT("'("&amp;$A$4&amp;")'!ae39")</f>
        <v>0</v>
      </c>
      <c r="AF39" s="23" t="str">
        <f t="shared" ca="1" si="5"/>
        <v>-</v>
      </c>
      <c r="AG39" s="22"/>
      <c r="AH39" s="22">
        <f ca="1">INDIRECT("'("&amp;$A$4&amp;")'!ah39")</f>
        <v>1</v>
      </c>
      <c r="AI39" s="22">
        <f ca="1">INDIRECT("'("&amp;$A$4&amp;")'!ai39")</f>
        <v>0</v>
      </c>
      <c r="AJ39" s="22">
        <f ca="1">INDIRECT("'("&amp;$A$4&amp;")'!aj39")</f>
        <v>0</v>
      </c>
      <c r="AK39" s="22">
        <f ca="1">INDIRECT("'("&amp;$A$4&amp;")'!ak39")</f>
        <v>0</v>
      </c>
      <c r="AL39" s="22">
        <f ca="1">INDIRECT("'("&amp;$A$4&amp;")'!al39")</f>
        <v>0</v>
      </c>
      <c r="AM39" s="22">
        <f ca="1">INDIRECT("'("&amp;$A$4&amp;")'!am39")</f>
        <v>0</v>
      </c>
      <c r="AN39" s="23">
        <f t="shared" ca="1" si="7"/>
        <v>20</v>
      </c>
      <c r="AO39" s="22"/>
      <c r="AP39" s="21">
        <f t="shared" ca="1" si="8"/>
        <v>10</v>
      </c>
      <c r="AQ39" s="21">
        <f t="shared" ca="1" si="9"/>
        <v>8</v>
      </c>
      <c r="AR39" s="21">
        <f t="shared" ca="1" si="10"/>
        <v>9</v>
      </c>
      <c r="AS39" s="21">
        <f t="shared" ca="1" si="11"/>
        <v>2</v>
      </c>
      <c r="AT39" s="21">
        <f t="shared" ca="1" si="12"/>
        <v>0</v>
      </c>
      <c r="AU39" s="21">
        <f t="shared" ca="1" si="13"/>
        <v>0</v>
      </c>
      <c r="AV39" s="23">
        <f t="shared" ca="1" si="14"/>
        <v>31.22413793103448</v>
      </c>
      <c r="AW39" s="17"/>
      <c r="AX39" s="17"/>
      <c r="AY39" s="17"/>
      <c r="AZ39" s="17"/>
      <c r="BA39" s="17"/>
      <c r="BB39" s="17"/>
      <c r="BC39" s="17"/>
      <c r="BD39" s="17"/>
      <c r="BE39" s="17"/>
    </row>
    <row r="40" spans="1:57" s="7" customFormat="1" ht="15" customHeight="1" x14ac:dyDescent="0.35">
      <c r="A40" s="2" t="s">
        <v>45</v>
      </c>
      <c r="B40" s="22">
        <f ca="1">INDIRECT("'("&amp;$A$4&amp;")'!b40")</f>
        <v>1</v>
      </c>
      <c r="C40" s="22">
        <f ca="1">INDIRECT("'("&amp;$A$4&amp;")'!c40")</f>
        <v>20</v>
      </c>
      <c r="D40" s="22">
        <f ca="1">INDIRECT("'("&amp;$A$4&amp;")'!d40")</f>
        <v>9</v>
      </c>
      <c r="E40" s="22">
        <f ca="1">INDIRECT("'("&amp;$A$4&amp;")'!e40")</f>
        <v>0</v>
      </c>
      <c r="F40" s="22">
        <f ca="1">INDIRECT("'("&amp;$A$4&amp;")'!f40")</f>
        <v>0</v>
      </c>
      <c r="G40" s="22">
        <f ca="1">INDIRECT("'("&amp;$A$4&amp;")'!g40")</f>
        <v>0</v>
      </c>
      <c r="H40" s="23">
        <f t="shared" ca="1" si="16"/>
        <v>32.81666666666667</v>
      </c>
      <c r="I40" s="22"/>
      <c r="J40" s="22">
        <f ca="1">INDIRECT("'("&amp;$A$4&amp;")'!j40")</f>
        <v>8</v>
      </c>
      <c r="K40" s="22">
        <f ca="1">INDIRECT("'("&amp;$A$4&amp;")'!k40")</f>
        <v>8</v>
      </c>
      <c r="L40" s="22">
        <f ca="1">INDIRECT("'("&amp;$A$4&amp;")'!l40")</f>
        <v>6</v>
      </c>
      <c r="M40" s="22">
        <f ca="1">INDIRECT("'("&amp;$A$4&amp;")'!m40")</f>
        <v>3</v>
      </c>
      <c r="N40" s="22">
        <f ca="1">INDIRECT("'("&amp;$A$4&amp;")'!n40")</f>
        <v>0</v>
      </c>
      <c r="O40" s="22">
        <f ca="1">INDIRECT("'("&amp;$A$4&amp;")'!o40")</f>
        <v>0</v>
      </c>
      <c r="P40" s="23">
        <f t="shared" ca="1" si="18"/>
        <v>31.779999999999998</v>
      </c>
      <c r="Q40" s="22"/>
      <c r="R40" s="21">
        <f t="shared" ca="1" si="19"/>
        <v>9</v>
      </c>
      <c r="S40" s="21">
        <f t="shared" ca="1" si="20"/>
        <v>28</v>
      </c>
      <c r="T40" s="21">
        <f t="shared" ca="1" si="21"/>
        <v>15</v>
      </c>
      <c r="U40" s="21">
        <f t="shared" ca="1" si="22"/>
        <v>3</v>
      </c>
      <c r="V40" s="21">
        <f t="shared" ca="1" si="23"/>
        <v>0</v>
      </c>
      <c r="W40" s="21">
        <f t="shared" ca="1" si="24"/>
        <v>0</v>
      </c>
      <c r="X40" s="23">
        <f t="shared" ref="X40:X56" ca="1" si="27">IF(SUM(R40:V40)=0,"-",20*(R40/SUM($R40:$V40))+30*(S40/SUM($R40:$V40))+40.5*(T40/SUM($R40:$V40))+50.5*(U40/SUM($R40:$V40))+56*(V40/SUM($R40:$V40)))</f>
        <v>32.345454545454544</v>
      </c>
      <c r="Y40" s="22"/>
      <c r="Z40" s="22">
        <f ca="1">INDIRECT("'("&amp;$A$4&amp;")'!z40")</f>
        <v>0</v>
      </c>
      <c r="AA40" s="22">
        <f ca="1">INDIRECT("'("&amp;$A$4&amp;")'!aa40")</f>
        <v>0</v>
      </c>
      <c r="AB40" s="22">
        <f ca="1">INDIRECT("'("&amp;$A$4&amp;")'!ab40")</f>
        <v>0</v>
      </c>
      <c r="AC40" s="22">
        <f ca="1">INDIRECT("'("&amp;$A$4&amp;")'!ac40")</f>
        <v>0</v>
      </c>
      <c r="AD40" s="22">
        <f ca="1">INDIRECT("'("&amp;$A$4&amp;")'!ad40")</f>
        <v>0</v>
      </c>
      <c r="AE40" s="22">
        <f ca="1">INDIRECT("'("&amp;$A$4&amp;")'!ae40")</f>
        <v>0</v>
      </c>
      <c r="AF40" s="23" t="str">
        <f t="shared" ref="AF40:AF56" ca="1" si="28">IF(SUM(Z40:AD40)=0,"-",20*(Z40/SUM($Z40:$AD40))+30*(AA40/SUM($Z40:$AD40))+40.5*(AB40/SUM($Z40:$AD40))+50.5*(AC40/SUM($Z40:$AD40))+56*(AD40/SUM($Z40:$AD40)))</f>
        <v>-</v>
      </c>
      <c r="AG40" s="22"/>
      <c r="AH40" s="22">
        <f ca="1">INDIRECT("'("&amp;$A$4&amp;")'!ah40")</f>
        <v>1</v>
      </c>
      <c r="AI40" s="22">
        <f ca="1">INDIRECT("'("&amp;$A$4&amp;")'!ai40")</f>
        <v>3</v>
      </c>
      <c r="AJ40" s="22">
        <f ca="1">INDIRECT("'("&amp;$A$4&amp;")'!aj40")</f>
        <v>1</v>
      </c>
      <c r="AK40" s="22">
        <f ca="1">INDIRECT("'("&amp;$A$4&amp;")'!ak40")</f>
        <v>3</v>
      </c>
      <c r="AL40" s="22">
        <f ca="1">INDIRECT("'("&amp;$A$4&amp;")'!al40")</f>
        <v>1</v>
      </c>
      <c r="AM40" s="22">
        <f ca="1">INDIRECT("'("&amp;$A$4&amp;")'!am40")</f>
        <v>0</v>
      </c>
      <c r="AN40" s="23">
        <f t="shared" ref="AN40:AN56" ca="1" si="29">IF(SUM(AH40:AL40)=0,"-",20*(AH40/SUM($AH40:$AL40))+30*(AI40/SUM($AH40:$AL40))+40.5*(AJ40/SUM($AH40:$AL40))+50.5*(AK40/SUM($AH40:$AL40))+56*(AL40/SUM($AH40:$AL40)))</f>
        <v>39.777777777777779</v>
      </c>
      <c r="AO40" s="22"/>
      <c r="AP40" s="21">
        <f t="shared" ref="AP40:AP56" ca="1" si="30">AH40+Z40+R40</f>
        <v>10</v>
      </c>
      <c r="AQ40" s="21">
        <f t="shared" ref="AQ40:AQ56" ca="1" si="31">AI40+AA40+S40</f>
        <v>31</v>
      </c>
      <c r="AR40" s="21">
        <f t="shared" ref="AR40:AR56" ca="1" si="32">AJ40+AB40+T40</f>
        <v>16</v>
      </c>
      <c r="AS40" s="21">
        <f t="shared" ref="AS40:AS56" ca="1" si="33">AK40+AC40+U40</f>
        <v>6</v>
      </c>
      <c r="AT40" s="21">
        <f t="shared" ref="AT40:AT56" ca="1" si="34">AL40+AD40+V40</f>
        <v>1</v>
      </c>
      <c r="AU40" s="21">
        <f t="shared" ref="AU40:AU56" ca="1" si="35">AM40+AE40+W40</f>
        <v>0</v>
      </c>
      <c r="AV40" s="23">
        <f t="shared" ref="AV40:AV56" ca="1" si="36">IF(SUM(AP40:AT40)=0,"-",20*(AP40/SUM($AP40:$AT40))+30*(AQ40/SUM($AP40:$AT40))+40.5*(AR40/SUM($AP40:$AT40))+50.5*(AS40/SUM($AP40:$AT40))+56*(AT40/SUM($AP40:$AT40)))</f>
        <v>33.390625</v>
      </c>
      <c r="AW40" s="17"/>
      <c r="AX40" s="17"/>
      <c r="AY40" s="17"/>
      <c r="AZ40" s="17"/>
      <c r="BA40" s="17"/>
      <c r="BB40" s="17"/>
      <c r="BC40" s="17"/>
      <c r="BD40" s="17"/>
      <c r="BE40" s="17"/>
    </row>
    <row r="41" spans="1:57" s="7" customFormat="1" ht="15" customHeight="1" x14ac:dyDescent="0.35">
      <c r="A41" s="2" t="s">
        <v>46</v>
      </c>
      <c r="B41" s="22">
        <f ca="1">INDIRECT("'("&amp;$A$4&amp;")'!b41")</f>
        <v>0</v>
      </c>
      <c r="C41" s="22">
        <f ca="1">INDIRECT("'("&amp;$A$4&amp;")'!c41")</f>
        <v>6</v>
      </c>
      <c r="D41" s="22">
        <f ca="1">INDIRECT("'("&amp;$A$4&amp;")'!d41")</f>
        <v>2</v>
      </c>
      <c r="E41" s="22">
        <f ca="1">INDIRECT("'("&amp;$A$4&amp;")'!e41")</f>
        <v>0</v>
      </c>
      <c r="F41" s="22">
        <f ca="1">INDIRECT("'("&amp;$A$4&amp;")'!f41")</f>
        <v>0</v>
      </c>
      <c r="G41" s="22">
        <f ca="1">INDIRECT("'("&amp;$A$4&amp;")'!g41")</f>
        <v>0</v>
      </c>
      <c r="H41" s="23">
        <f t="shared" ca="1" si="16"/>
        <v>32.625</v>
      </c>
      <c r="I41" s="22"/>
      <c r="J41" s="22">
        <f ca="1">INDIRECT("'("&amp;$A$4&amp;")'!j41")</f>
        <v>8</v>
      </c>
      <c r="K41" s="22">
        <f ca="1">INDIRECT("'("&amp;$A$4&amp;")'!k41")</f>
        <v>29</v>
      </c>
      <c r="L41" s="22">
        <f ca="1">INDIRECT("'("&amp;$A$4&amp;")'!l41")</f>
        <v>12</v>
      </c>
      <c r="M41" s="22">
        <f ca="1">INDIRECT("'("&amp;$A$4&amp;")'!m41")</f>
        <v>6</v>
      </c>
      <c r="N41" s="22">
        <f ca="1">INDIRECT("'("&amp;$A$4&amp;")'!n41")</f>
        <v>1</v>
      </c>
      <c r="O41" s="22">
        <f ca="1">INDIRECT("'("&amp;$A$4&amp;")'!o41")</f>
        <v>0</v>
      </c>
      <c r="P41" s="23">
        <f t="shared" ca="1" si="18"/>
        <v>33.482142857142854</v>
      </c>
      <c r="Q41" s="22"/>
      <c r="R41" s="21">
        <f t="shared" ca="1" si="19"/>
        <v>8</v>
      </c>
      <c r="S41" s="21">
        <f t="shared" ca="1" si="20"/>
        <v>35</v>
      </c>
      <c r="T41" s="21">
        <f t="shared" ca="1" si="21"/>
        <v>14</v>
      </c>
      <c r="U41" s="21">
        <f t="shared" ca="1" si="22"/>
        <v>6</v>
      </c>
      <c r="V41" s="21">
        <f t="shared" ca="1" si="23"/>
        <v>1</v>
      </c>
      <c r="W41" s="21">
        <f t="shared" ca="1" si="24"/>
        <v>0</v>
      </c>
      <c r="X41" s="23">
        <f t="shared" ca="1" si="27"/>
        <v>33.375</v>
      </c>
      <c r="Y41" s="22"/>
      <c r="Z41" s="22">
        <f ca="1">INDIRECT("'("&amp;$A$4&amp;")'!z41")</f>
        <v>0</v>
      </c>
      <c r="AA41" s="22">
        <f ca="1">INDIRECT("'("&amp;$A$4&amp;")'!aa41")</f>
        <v>0</v>
      </c>
      <c r="AB41" s="22">
        <f ca="1">INDIRECT("'("&amp;$A$4&amp;")'!ab41")</f>
        <v>0</v>
      </c>
      <c r="AC41" s="22">
        <f ca="1">INDIRECT("'("&amp;$A$4&amp;")'!ac41")</f>
        <v>0</v>
      </c>
      <c r="AD41" s="22">
        <f ca="1">INDIRECT("'("&amp;$A$4&amp;")'!ad41")</f>
        <v>0</v>
      </c>
      <c r="AE41" s="22">
        <f ca="1">INDIRECT("'("&amp;$A$4&amp;")'!ae41")</f>
        <v>0</v>
      </c>
      <c r="AF41" s="23" t="str">
        <f t="shared" ca="1" si="28"/>
        <v>-</v>
      </c>
      <c r="AG41" s="22"/>
      <c r="AH41" s="22">
        <f ca="1">INDIRECT("'("&amp;$A$4&amp;")'!ah41")</f>
        <v>0</v>
      </c>
      <c r="AI41" s="22">
        <f ca="1">INDIRECT("'("&amp;$A$4&amp;")'!ai41")</f>
        <v>3</v>
      </c>
      <c r="AJ41" s="22">
        <f ca="1">INDIRECT("'("&amp;$A$4&amp;")'!aj41")</f>
        <v>2</v>
      </c>
      <c r="AK41" s="22">
        <f ca="1">INDIRECT("'("&amp;$A$4&amp;")'!ak41")</f>
        <v>2</v>
      </c>
      <c r="AL41" s="22">
        <f ca="1">INDIRECT("'("&amp;$A$4&amp;")'!al41")</f>
        <v>2</v>
      </c>
      <c r="AM41" s="22">
        <f ca="1">INDIRECT("'("&amp;$A$4&amp;")'!am41")</f>
        <v>0</v>
      </c>
      <c r="AN41" s="23">
        <f t="shared" ca="1" si="29"/>
        <v>42.666666666666664</v>
      </c>
      <c r="AO41" s="22"/>
      <c r="AP41" s="21">
        <f t="shared" ca="1" si="30"/>
        <v>8</v>
      </c>
      <c r="AQ41" s="21">
        <f t="shared" ca="1" si="31"/>
        <v>38</v>
      </c>
      <c r="AR41" s="21">
        <f t="shared" ca="1" si="32"/>
        <v>16</v>
      </c>
      <c r="AS41" s="21">
        <f t="shared" ca="1" si="33"/>
        <v>8</v>
      </c>
      <c r="AT41" s="21">
        <f t="shared" ca="1" si="34"/>
        <v>3</v>
      </c>
      <c r="AU41" s="21">
        <f t="shared" ca="1" si="35"/>
        <v>0</v>
      </c>
      <c r="AV41" s="23">
        <f t="shared" ca="1" si="36"/>
        <v>34.520547945205479</v>
      </c>
      <c r="AW41" s="17"/>
      <c r="AX41" s="17"/>
      <c r="AY41" s="17"/>
      <c r="AZ41" s="17"/>
      <c r="BA41" s="17"/>
      <c r="BB41" s="17"/>
      <c r="BC41" s="17"/>
      <c r="BD41" s="17"/>
      <c r="BE41" s="17"/>
    </row>
    <row r="42" spans="1:57" s="7" customFormat="1" ht="15" customHeight="1" x14ac:dyDescent="0.35">
      <c r="A42" s="2" t="s">
        <v>47</v>
      </c>
      <c r="B42" s="22">
        <f ca="1">INDIRECT("'("&amp;$A$4&amp;")'!b42")</f>
        <v>2</v>
      </c>
      <c r="C42" s="22">
        <f ca="1">INDIRECT("'("&amp;$A$4&amp;")'!c42")</f>
        <v>5</v>
      </c>
      <c r="D42" s="22">
        <f ca="1">INDIRECT("'("&amp;$A$4&amp;")'!d42")</f>
        <v>5</v>
      </c>
      <c r="E42" s="22">
        <f ca="1">INDIRECT("'("&amp;$A$4&amp;")'!e42")</f>
        <v>0</v>
      </c>
      <c r="F42" s="22">
        <f ca="1">INDIRECT("'("&amp;$A$4&amp;")'!f42")</f>
        <v>0</v>
      </c>
      <c r="G42" s="22">
        <f ca="1">INDIRECT("'("&amp;$A$4&amp;")'!g42")</f>
        <v>0</v>
      </c>
      <c r="H42" s="23">
        <f t="shared" ca="1" si="16"/>
        <v>32.708333333333329</v>
      </c>
      <c r="I42" s="22"/>
      <c r="J42" s="22">
        <f ca="1">INDIRECT("'("&amp;$A$4&amp;")'!j42")</f>
        <v>8</v>
      </c>
      <c r="K42" s="22">
        <f ca="1">INDIRECT("'("&amp;$A$4&amp;")'!k42")</f>
        <v>13</v>
      </c>
      <c r="L42" s="22">
        <f ca="1">INDIRECT("'("&amp;$A$4&amp;")'!l42")</f>
        <v>6</v>
      </c>
      <c r="M42" s="22">
        <f ca="1">INDIRECT("'("&amp;$A$4&amp;")'!m42")</f>
        <v>1</v>
      </c>
      <c r="N42" s="22">
        <f ca="1">INDIRECT("'("&amp;$A$4&amp;")'!n42")</f>
        <v>0</v>
      </c>
      <c r="O42" s="22">
        <f ca="1">INDIRECT("'("&amp;$A$4&amp;")'!o42")</f>
        <v>0</v>
      </c>
      <c r="P42" s="23">
        <f t="shared" ca="1" si="18"/>
        <v>30.124999999999996</v>
      </c>
      <c r="Q42" s="22"/>
      <c r="R42" s="21">
        <f t="shared" ca="1" si="19"/>
        <v>10</v>
      </c>
      <c r="S42" s="21">
        <f t="shared" ca="1" si="20"/>
        <v>18</v>
      </c>
      <c r="T42" s="21">
        <f t="shared" ca="1" si="21"/>
        <v>11</v>
      </c>
      <c r="U42" s="21">
        <f t="shared" ca="1" si="22"/>
        <v>1</v>
      </c>
      <c r="V42" s="21">
        <f t="shared" ca="1" si="23"/>
        <v>0</v>
      </c>
      <c r="W42" s="21">
        <f t="shared" ca="1" si="24"/>
        <v>0</v>
      </c>
      <c r="X42" s="23">
        <f t="shared" ca="1" si="27"/>
        <v>30.900000000000002</v>
      </c>
      <c r="Y42" s="22"/>
      <c r="Z42" s="22">
        <f ca="1">INDIRECT("'("&amp;$A$4&amp;")'!z42")</f>
        <v>0</v>
      </c>
      <c r="AA42" s="22">
        <f ca="1">INDIRECT("'("&amp;$A$4&amp;")'!aa42")</f>
        <v>2</v>
      </c>
      <c r="AB42" s="22">
        <f ca="1">INDIRECT("'("&amp;$A$4&amp;")'!ab42")</f>
        <v>0</v>
      </c>
      <c r="AC42" s="22">
        <f ca="1">INDIRECT("'("&amp;$A$4&amp;")'!ac42")</f>
        <v>0</v>
      </c>
      <c r="AD42" s="22">
        <f ca="1">INDIRECT("'("&amp;$A$4&amp;")'!ad42")</f>
        <v>0</v>
      </c>
      <c r="AE42" s="22">
        <f ca="1">INDIRECT("'("&amp;$A$4&amp;")'!ae42")</f>
        <v>0</v>
      </c>
      <c r="AF42" s="23">
        <f t="shared" ca="1" si="28"/>
        <v>30</v>
      </c>
      <c r="AG42" s="22"/>
      <c r="AH42" s="22">
        <f ca="1">INDIRECT("'("&amp;$A$4&amp;")'!ah42")</f>
        <v>2</v>
      </c>
      <c r="AI42" s="22">
        <f ca="1">INDIRECT("'("&amp;$A$4&amp;")'!ai42")</f>
        <v>0</v>
      </c>
      <c r="AJ42" s="22">
        <f ca="1">INDIRECT("'("&amp;$A$4&amp;")'!aj42")</f>
        <v>2</v>
      </c>
      <c r="AK42" s="22">
        <f ca="1">INDIRECT("'("&amp;$A$4&amp;")'!ak42")</f>
        <v>3</v>
      </c>
      <c r="AL42" s="22">
        <f ca="1">INDIRECT("'("&amp;$A$4&amp;")'!al42")</f>
        <v>1</v>
      </c>
      <c r="AM42" s="22">
        <f ca="1">INDIRECT("'("&amp;$A$4&amp;")'!am42")</f>
        <v>0</v>
      </c>
      <c r="AN42" s="23">
        <f t="shared" ca="1" si="29"/>
        <v>41.0625</v>
      </c>
      <c r="AO42" s="22"/>
      <c r="AP42" s="21">
        <f t="shared" ca="1" si="30"/>
        <v>12</v>
      </c>
      <c r="AQ42" s="21">
        <f t="shared" ca="1" si="31"/>
        <v>20</v>
      </c>
      <c r="AR42" s="21">
        <f t="shared" ca="1" si="32"/>
        <v>13</v>
      </c>
      <c r="AS42" s="21">
        <f t="shared" ca="1" si="33"/>
        <v>4</v>
      </c>
      <c r="AT42" s="21">
        <f t="shared" ca="1" si="34"/>
        <v>1</v>
      </c>
      <c r="AU42" s="21">
        <f t="shared" ca="1" si="35"/>
        <v>0</v>
      </c>
      <c r="AV42" s="23">
        <f t="shared" ca="1" si="36"/>
        <v>32.49</v>
      </c>
      <c r="AW42" s="17"/>
      <c r="AX42" s="17"/>
      <c r="AY42" s="17"/>
      <c r="AZ42" s="17"/>
      <c r="BA42" s="17"/>
      <c r="BB42" s="17"/>
      <c r="BC42" s="17"/>
      <c r="BD42" s="17"/>
      <c r="BE42" s="17"/>
    </row>
    <row r="43" spans="1:57" s="7" customFormat="1" ht="15" customHeight="1" x14ac:dyDescent="0.35">
      <c r="A43" s="2" t="s">
        <v>48</v>
      </c>
      <c r="B43" s="22">
        <f ca="1">INDIRECT("'("&amp;$A$4&amp;")'!b43")</f>
        <v>1</v>
      </c>
      <c r="C43" s="22">
        <f ca="1">INDIRECT("'("&amp;$A$4&amp;")'!c43")</f>
        <v>7</v>
      </c>
      <c r="D43" s="22">
        <f ca="1">INDIRECT("'("&amp;$A$4&amp;")'!d43")</f>
        <v>5</v>
      </c>
      <c r="E43" s="22">
        <f ca="1">INDIRECT("'("&amp;$A$4&amp;")'!e43")</f>
        <v>0</v>
      </c>
      <c r="F43" s="22">
        <f ca="1">INDIRECT("'("&amp;$A$4&amp;")'!f43")</f>
        <v>0</v>
      </c>
      <c r="G43" s="22">
        <f ca="1">INDIRECT("'("&amp;$A$4&amp;")'!g43")</f>
        <v>0</v>
      </c>
      <c r="H43" s="23">
        <f t="shared" ca="1" si="16"/>
        <v>33.269230769230774</v>
      </c>
      <c r="I43" s="22"/>
      <c r="J43" s="22">
        <f ca="1">INDIRECT("'("&amp;$A$4&amp;")'!j43")</f>
        <v>12</v>
      </c>
      <c r="K43" s="22">
        <f ca="1">INDIRECT("'("&amp;$A$4&amp;")'!k43")</f>
        <v>17</v>
      </c>
      <c r="L43" s="22">
        <f ca="1">INDIRECT("'("&amp;$A$4&amp;")'!l43")</f>
        <v>11</v>
      </c>
      <c r="M43" s="22">
        <f ca="1">INDIRECT("'("&amp;$A$4&amp;")'!m43")</f>
        <v>3</v>
      </c>
      <c r="N43" s="22">
        <f ca="1">INDIRECT("'("&amp;$A$4&amp;")'!n43")</f>
        <v>1</v>
      </c>
      <c r="O43" s="22">
        <f ca="1">INDIRECT("'("&amp;$A$4&amp;")'!o43")</f>
        <v>0</v>
      </c>
      <c r="P43" s="23">
        <f t="shared" ca="1" si="18"/>
        <v>31.886363636363633</v>
      </c>
      <c r="Q43" s="22"/>
      <c r="R43" s="21">
        <f t="shared" ca="1" si="19"/>
        <v>13</v>
      </c>
      <c r="S43" s="21">
        <f t="shared" ca="1" si="20"/>
        <v>24</v>
      </c>
      <c r="T43" s="21">
        <f t="shared" ca="1" si="21"/>
        <v>16</v>
      </c>
      <c r="U43" s="21">
        <f t="shared" ca="1" si="22"/>
        <v>3</v>
      </c>
      <c r="V43" s="21">
        <f t="shared" ca="1" si="23"/>
        <v>1</v>
      </c>
      <c r="W43" s="21">
        <f t="shared" ca="1" si="24"/>
        <v>0</v>
      </c>
      <c r="X43" s="23">
        <f t="shared" ca="1" si="27"/>
        <v>32.201754385964911</v>
      </c>
      <c r="Y43" s="22"/>
      <c r="Z43" s="22">
        <f ca="1">INDIRECT("'("&amp;$A$4&amp;")'!z43")</f>
        <v>0</v>
      </c>
      <c r="AA43" s="22">
        <f ca="1">INDIRECT("'("&amp;$A$4&amp;")'!aa43")</f>
        <v>0</v>
      </c>
      <c r="AB43" s="22">
        <f ca="1">INDIRECT("'("&amp;$A$4&amp;")'!ab43")</f>
        <v>0</v>
      </c>
      <c r="AC43" s="22">
        <f ca="1">INDIRECT("'("&amp;$A$4&amp;")'!ac43")</f>
        <v>0</v>
      </c>
      <c r="AD43" s="22">
        <f ca="1">INDIRECT("'("&amp;$A$4&amp;")'!ad43")</f>
        <v>0</v>
      </c>
      <c r="AE43" s="22">
        <f ca="1">INDIRECT("'("&amp;$A$4&amp;")'!ae43")</f>
        <v>0</v>
      </c>
      <c r="AF43" s="23" t="str">
        <f t="shared" ca="1" si="28"/>
        <v>-</v>
      </c>
      <c r="AG43" s="22"/>
      <c r="AH43" s="22">
        <f ca="1">INDIRECT("'("&amp;$A$4&amp;")'!ah43")</f>
        <v>4</v>
      </c>
      <c r="AI43" s="22">
        <f ca="1">INDIRECT("'("&amp;$A$4&amp;")'!ai43")</f>
        <v>6</v>
      </c>
      <c r="AJ43" s="22">
        <f ca="1">INDIRECT("'("&amp;$A$4&amp;")'!aj43")</f>
        <v>4</v>
      </c>
      <c r="AK43" s="22">
        <f ca="1">INDIRECT("'("&amp;$A$4&amp;")'!ak43")</f>
        <v>5</v>
      </c>
      <c r="AL43" s="22">
        <f ca="1">INDIRECT("'("&amp;$A$4&amp;")'!al43")</f>
        <v>5</v>
      </c>
      <c r="AM43" s="22">
        <f ca="1">INDIRECT("'("&amp;$A$4&amp;")'!am43")</f>
        <v>0</v>
      </c>
      <c r="AN43" s="23">
        <f t="shared" ca="1" si="29"/>
        <v>39.770833333333329</v>
      </c>
      <c r="AO43" s="22"/>
      <c r="AP43" s="21">
        <f t="shared" ca="1" si="30"/>
        <v>17</v>
      </c>
      <c r="AQ43" s="21">
        <f t="shared" ca="1" si="31"/>
        <v>30</v>
      </c>
      <c r="AR43" s="21">
        <f t="shared" ca="1" si="32"/>
        <v>20</v>
      </c>
      <c r="AS43" s="21">
        <f t="shared" ca="1" si="33"/>
        <v>8</v>
      </c>
      <c r="AT43" s="21">
        <f t="shared" ca="1" si="34"/>
        <v>6</v>
      </c>
      <c r="AU43" s="21">
        <f t="shared" ca="1" si="35"/>
        <v>0</v>
      </c>
      <c r="AV43" s="23">
        <f t="shared" ca="1" si="36"/>
        <v>34.444444444444443</v>
      </c>
      <c r="AW43" s="17"/>
      <c r="AX43" s="17"/>
      <c r="AY43" s="17"/>
      <c r="AZ43" s="17"/>
      <c r="BA43" s="17"/>
      <c r="BB43" s="17"/>
      <c r="BC43" s="17"/>
      <c r="BD43" s="17"/>
      <c r="BE43" s="17"/>
    </row>
    <row r="44" spans="1:57" s="7" customFormat="1" ht="15" customHeight="1" x14ac:dyDescent="0.35">
      <c r="A44" s="2" t="s">
        <v>49</v>
      </c>
      <c r="B44" s="22">
        <f ca="1">INDIRECT("'("&amp;$A$4&amp;")'!b44")</f>
        <v>1</v>
      </c>
      <c r="C44" s="22">
        <f ca="1">INDIRECT("'("&amp;$A$4&amp;")'!c44")</f>
        <v>7</v>
      </c>
      <c r="D44" s="22">
        <f ca="1">INDIRECT("'("&amp;$A$4&amp;")'!d44")</f>
        <v>0</v>
      </c>
      <c r="E44" s="22">
        <f ca="1">INDIRECT("'("&amp;$A$4&amp;")'!e44")</f>
        <v>0</v>
      </c>
      <c r="F44" s="22">
        <f ca="1">INDIRECT("'("&amp;$A$4&amp;")'!f44")</f>
        <v>0</v>
      </c>
      <c r="G44" s="22">
        <f ca="1">INDIRECT("'("&amp;$A$4&amp;")'!g44")</f>
        <v>0</v>
      </c>
      <c r="H44" s="23">
        <f t="shared" ca="1" si="16"/>
        <v>28.75</v>
      </c>
      <c r="I44" s="22"/>
      <c r="J44" s="22">
        <f ca="1">INDIRECT("'("&amp;$A$4&amp;")'!j44")</f>
        <v>8</v>
      </c>
      <c r="K44" s="22">
        <f ca="1">INDIRECT("'("&amp;$A$4&amp;")'!k44")</f>
        <v>22</v>
      </c>
      <c r="L44" s="22">
        <f ca="1">INDIRECT("'("&amp;$A$4&amp;")'!l44")</f>
        <v>11</v>
      </c>
      <c r="M44" s="22">
        <f ca="1">INDIRECT("'("&amp;$A$4&amp;")'!m44")</f>
        <v>4</v>
      </c>
      <c r="N44" s="22">
        <f ca="1">INDIRECT("'("&amp;$A$4&amp;")'!n44")</f>
        <v>1</v>
      </c>
      <c r="O44" s="22">
        <f ca="1">INDIRECT("'("&amp;$A$4&amp;")'!o44")</f>
        <v>0</v>
      </c>
      <c r="P44" s="23">
        <f t="shared" ca="1" si="18"/>
        <v>33.119565217391305</v>
      </c>
      <c r="Q44" s="22"/>
      <c r="R44" s="21">
        <f t="shared" ca="1" si="19"/>
        <v>9</v>
      </c>
      <c r="S44" s="21">
        <f t="shared" ca="1" si="20"/>
        <v>29</v>
      </c>
      <c r="T44" s="21">
        <f t="shared" ca="1" si="21"/>
        <v>11</v>
      </c>
      <c r="U44" s="21">
        <f t="shared" ca="1" si="22"/>
        <v>4</v>
      </c>
      <c r="V44" s="21">
        <f t="shared" ca="1" si="23"/>
        <v>1</v>
      </c>
      <c r="W44" s="21">
        <f t="shared" ca="1" si="24"/>
        <v>0</v>
      </c>
      <c r="X44" s="23">
        <f t="shared" ca="1" si="27"/>
        <v>32.472222222222221</v>
      </c>
      <c r="Y44" s="22"/>
      <c r="Z44" s="22">
        <f ca="1">INDIRECT("'("&amp;$A$4&amp;")'!z44")</f>
        <v>0</v>
      </c>
      <c r="AA44" s="22">
        <f ca="1">INDIRECT("'("&amp;$A$4&amp;")'!aa44")</f>
        <v>0</v>
      </c>
      <c r="AB44" s="22">
        <f ca="1">INDIRECT("'("&amp;$A$4&amp;")'!ab44")</f>
        <v>0</v>
      </c>
      <c r="AC44" s="22">
        <f ca="1">INDIRECT("'("&amp;$A$4&amp;")'!ac44")</f>
        <v>0</v>
      </c>
      <c r="AD44" s="22">
        <f ca="1">INDIRECT("'("&amp;$A$4&amp;")'!ad44")</f>
        <v>0</v>
      </c>
      <c r="AE44" s="22">
        <f ca="1">INDIRECT("'("&amp;$A$4&amp;")'!ae44")</f>
        <v>0</v>
      </c>
      <c r="AF44" s="23" t="str">
        <f t="shared" ca="1" si="28"/>
        <v>-</v>
      </c>
      <c r="AG44" s="22"/>
      <c r="AH44" s="22">
        <f ca="1">INDIRECT("'("&amp;$A$4&amp;")'!ah44")</f>
        <v>2</v>
      </c>
      <c r="AI44" s="22">
        <f ca="1">INDIRECT("'("&amp;$A$4&amp;")'!ai44")</f>
        <v>0</v>
      </c>
      <c r="AJ44" s="22">
        <f ca="1">INDIRECT("'("&amp;$A$4&amp;")'!aj44")</f>
        <v>2</v>
      </c>
      <c r="AK44" s="22">
        <f ca="1">INDIRECT("'("&amp;$A$4&amp;")'!ak44")</f>
        <v>0</v>
      </c>
      <c r="AL44" s="22">
        <f ca="1">INDIRECT("'("&amp;$A$4&amp;")'!al44")</f>
        <v>2</v>
      </c>
      <c r="AM44" s="22">
        <f ca="1">INDIRECT("'("&amp;$A$4&amp;")'!am44")</f>
        <v>0</v>
      </c>
      <c r="AN44" s="23">
        <f t="shared" ca="1" si="29"/>
        <v>38.833333333333329</v>
      </c>
      <c r="AO44" s="22"/>
      <c r="AP44" s="21">
        <f t="shared" ca="1" si="30"/>
        <v>11</v>
      </c>
      <c r="AQ44" s="21">
        <f t="shared" ca="1" si="31"/>
        <v>29</v>
      </c>
      <c r="AR44" s="21">
        <f t="shared" ca="1" si="32"/>
        <v>13</v>
      </c>
      <c r="AS44" s="21">
        <f t="shared" ca="1" si="33"/>
        <v>4</v>
      </c>
      <c r="AT44" s="21">
        <f t="shared" ca="1" si="34"/>
        <v>3</v>
      </c>
      <c r="AU44" s="21">
        <f t="shared" ca="1" si="35"/>
        <v>0</v>
      </c>
      <c r="AV44" s="23">
        <f t="shared" ca="1" si="36"/>
        <v>33.108333333333334</v>
      </c>
      <c r="AW44" s="17"/>
      <c r="AX44" s="17"/>
      <c r="AY44" s="17"/>
      <c r="AZ44" s="17"/>
      <c r="BA44" s="17"/>
      <c r="BB44" s="17"/>
      <c r="BC44" s="17"/>
      <c r="BD44" s="17"/>
      <c r="BE44" s="17"/>
    </row>
    <row r="45" spans="1:57" s="7" customFormat="1" ht="15" customHeight="1" x14ac:dyDescent="0.35">
      <c r="A45" s="2" t="s">
        <v>50</v>
      </c>
      <c r="B45" s="22">
        <f ca="1">INDIRECT("'("&amp;$A$4&amp;")'!b45")</f>
        <v>5</v>
      </c>
      <c r="C45" s="22">
        <f ca="1">INDIRECT("'("&amp;$A$4&amp;")'!c45")</f>
        <v>17</v>
      </c>
      <c r="D45" s="22">
        <f ca="1">INDIRECT("'("&amp;$A$4&amp;")'!d45")</f>
        <v>5</v>
      </c>
      <c r="E45" s="22">
        <f ca="1">INDIRECT("'("&amp;$A$4&amp;")'!e45")</f>
        <v>3</v>
      </c>
      <c r="F45" s="22">
        <f ca="1">INDIRECT("'("&amp;$A$4&amp;")'!f45")</f>
        <v>0</v>
      </c>
      <c r="G45" s="22">
        <f ca="1">INDIRECT("'("&amp;$A$4&amp;")'!g45")</f>
        <v>0</v>
      </c>
      <c r="H45" s="23">
        <f t="shared" ca="1" si="16"/>
        <v>32.133333333333333</v>
      </c>
      <c r="I45" s="22"/>
      <c r="J45" s="22">
        <f ca="1">INDIRECT("'("&amp;$A$4&amp;")'!j45")</f>
        <v>0</v>
      </c>
      <c r="K45" s="22">
        <f ca="1">INDIRECT("'("&amp;$A$4&amp;")'!k45")</f>
        <v>7</v>
      </c>
      <c r="L45" s="22">
        <f ca="1">INDIRECT("'("&amp;$A$4&amp;")'!l45")</f>
        <v>0</v>
      </c>
      <c r="M45" s="22">
        <f ca="1">INDIRECT("'("&amp;$A$4&amp;")'!m45")</f>
        <v>0</v>
      </c>
      <c r="N45" s="22">
        <f ca="1">INDIRECT("'("&amp;$A$4&amp;")'!n45")</f>
        <v>0</v>
      </c>
      <c r="O45" s="22">
        <f ca="1">INDIRECT("'("&amp;$A$4&amp;")'!o45")</f>
        <v>0</v>
      </c>
      <c r="P45" s="23">
        <f t="shared" ca="1" si="18"/>
        <v>30</v>
      </c>
      <c r="Q45" s="22"/>
      <c r="R45" s="21">
        <f t="shared" ca="1" si="19"/>
        <v>5</v>
      </c>
      <c r="S45" s="21">
        <f t="shared" ca="1" si="20"/>
        <v>24</v>
      </c>
      <c r="T45" s="21">
        <f t="shared" ca="1" si="21"/>
        <v>5</v>
      </c>
      <c r="U45" s="21">
        <f t="shared" ca="1" si="22"/>
        <v>3</v>
      </c>
      <c r="V45" s="21">
        <f t="shared" ca="1" si="23"/>
        <v>0</v>
      </c>
      <c r="W45" s="21">
        <f t="shared" ca="1" si="24"/>
        <v>0</v>
      </c>
      <c r="X45" s="23">
        <f t="shared" ca="1" si="27"/>
        <v>31.729729729729733</v>
      </c>
      <c r="Y45" s="22"/>
      <c r="Z45" s="22">
        <f ca="1">INDIRECT("'("&amp;$A$4&amp;")'!z45")</f>
        <v>0</v>
      </c>
      <c r="AA45" s="22">
        <f ca="1">INDIRECT("'("&amp;$A$4&amp;")'!aa45")</f>
        <v>3</v>
      </c>
      <c r="AB45" s="22">
        <f ca="1">INDIRECT("'("&amp;$A$4&amp;")'!ab45")</f>
        <v>1</v>
      </c>
      <c r="AC45" s="22">
        <f ca="1">INDIRECT("'("&amp;$A$4&amp;")'!ac45")</f>
        <v>0</v>
      </c>
      <c r="AD45" s="22">
        <f ca="1">INDIRECT("'("&amp;$A$4&amp;")'!ad45")</f>
        <v>0</v>
      </c>
      <c r="AE45" s="22">
        <f ca="1">INDIRECT("'("&amp;$A$4&amp;")'!ae45")</f>
        <v>0</v>
      </c>
      <c r="AF45" s="23">
        <f t="shared" ca="1" si="28"/>
        <v>32.625</v>
      </c>
      <c r="AG45" s="22"/>
      <c r="AH45" s="22">
        <f ca="1">INDIRECT("'("&amp;$A$4&amp;")'!ah45")</f>
        <v>0</v>
      </c>
      <c r="AI45" s="22">
        <f ca="1">INDIRECT("'("&amp;$A$4&amp;")'!ai45")</f>
        <v>0</v>
      </c>
      <c r="AJ45" s="22">
        <f ca="1">INDIRECT("'("&amp;$A$4&amp;")'!aj45")</f>
        <v>1</v>
      </c>
      <c r="AK45" s="22">
        <f ca="1">INDIRECT("'("&amp;$A$4&amp;")'!ak45")</f>
        <v>15</v>
      </c>
      <c r="AL45" s="22">
        <f ca="1">INDIRECT("'("&amp;$A$4&amp;")'!al45")</f>
        <v>0</v>
      </c>
      <c r="AM45" s="22">
        <f ca="1">INDIRECT("'("&amp;$A$4&amp;")'!am45")</f>
        <v>0</v>
      </c>
      <c r="AN45" s="23">
        <f t="shared" ca="1" si="29"/>
        <v>49.875</v>
      </c>
      <c r="AO45" s="22"/>
      <c r="AP45" s="21">
        <f t="shared" ca="1" si="30"/>
        <v>5</v>
      </c>
      <c r="AQ45" s="21">
        <f t="shared" ca="1" si="31"/>
        <v>27</v>
      </c>
      <c r="AR45" s="21">
        <f t="shared" ca="1" si="32"/>
        <v>7</v>
      </c>
      <c r="AS45" s="21">
        <f t="shared" ca="1" si="33"/>
        <v>18</v>
      </c>
      <c r="AT45" s="21">
        <f t="shared" ca="1" si="34"/>
        <v>0</v>
      </c>
      <c r="AU45" s="21">
        <f t="shared" ca="1" si="35"/>
        <v>0</v>
      </c>
      <c r="AV45" s="23">
        <f t="shared" ca="1" si="36"/>
        <v>36.885964912280699</v>
      </c>
      <c r="AW45" s="17"/>
      <c r="AX45" s="17"/>
      <c r="AY45" s="17"/>
      <c r="AZ45" s="17"/>
      <c r="BA45" s="17"/>
      <c r="BB45" s="17"/>
      <c r="BC45" s="17"/>
      <c r="BD45" s="17"/>
      <c r="BE45" s="17"/>
    </row>
    <row r="46" spans="1:57" s="7" customFormat="1" ht="15" customHeight="1" x14ac:dyDescent="0.35">
      <c r="A46" s="2" t="s">
        <v>51</v>
      </c>
      <c r="B46" s="22">
        <f ca="1">INDIRECT("'("&amp;$A$4&amp;")'!b46")</f>
        <v>0</v>
      </c>
      <c r="C46" s="22">
        <f ca="1">INDIRECT("'("&amp;$A$4&amp;")'!c46")</f>
        <v>4</v>
      </c>
      <c r="D46" s="22">
        <f ca="1">INDIRECT("'("&amp;$A$4&amp;")'!d46")</f>
        <v>3</v>
      </c>
      <c r="E46" s="22">
        <f ca="1">INDIRECT("'("&amp;$A$4&amp;")'!e46")</f>
        <v>5</v>
      </c>
      <c r="F46" s="22">
        <f ca="1">INDIRECT("'("&amp;$A$4&amp;")'!f46")</f>
        <v>1</v>
      </c>
      <c r="G46" s="22">
        <f ca="1">INDIRECT("'("&amp;$A$4&amp;")'!g46")</f>
        <v>0</v>
      </c>
      <c r="H46" s="23">
        <f t="shared" ca="1" si="16"/>
        <v>42.307692307692307</v>
      </c>
      <c r="I46" s="22"/>
      <c r="J46" s="22">
        <f ca="1">INDIRECT("'("&amp;$A$4&amp;")'!j46")</f>
        <v>2</v>
      </c>
      <c r="K46" s="22">
        <f ca="1">INDIRECT("'("&amp;$A$4&amp;")'!k46")</f>
        <v>11</v>
      </c>
      <c r="L46" s="22">
        <f ca="1">INDIRECT("'("&amp;$A$4&amp;")'!l46")</f>
        <v>5</v>
      </c>
      <c r="M46" s="22">
        <f ca="1">INDIRECT("'("&amp;$A$4&amp;")'!m46")</f>
        <v>1</v>
      </c>
      <c r="N46" s="22">
        <f ca="1">INDIRECT("'("&amp;$A$4&amp;")'!n46")</f>
        <v>0</v>
      </c>
      <c r="O46" s="22">
        <f ca="1">INDIRECT("'("&amp;$A$4&amp;")'!o46")</f>
        <v>0</v>
      </c>
      <c r="P46" s="23">
        <f t="shared" ca="1" si="18"/>
        <v>32.78947368421052</v>
      </c>
      <c r="Q46" s="22"/>
      <c r="R46" s="21">
        <f t="shared" ca="1" si="19"/>
        <v>2</v>
      </c>
      <c r="S46" s="21">
        <f t="shared" ca="1" si="20"/>
        <v>15</v>
      </c>
      <c r="T46" s="21">
        <f t="shared" ca="1" si="21"/>
        <v>8</v>
      </c>
      <c r="U46" s="21">
        <f t="shared" ca="1" si="22"/>
        <v>6</v>
      </c>
      <c r="V46" s="21">
        <f t="shared" ca="1" si="23"/>
        <v>1</v>
      </c>
      <c r="W46" s="21">
        <f t="shared" ca="1" si="24"/>
        <v>0</v>
      </c>
      <c r="X46" s="23">
        <f t="shared" ca="1" si="27"/>
        <v>36.65625</v>
      </c>
      <c r="Y46" s="22"/>
      <c r="Z46" s="22">
        <f ca="1">INDIRECT("'("&amp;$A$4&amp;")'!z46")</f>
        <v>0</v>
      </c>
      <c r="AA46" s="22">
        <f ca="1">INDIRECT("'("&amp;$A$4&amp;")'!aa46")</f>
        <v>0</v>
      </c>
      <c r="AB46" s="22">
        <f ca="1">INDIRECT("'("&amp;$A$4&amp;")'!ab46")</f>
        <v>1</v>
      </c>
      <c r="AC46" s="22">
        <f ca="1">INDIRECT("'("&amp;$A$4&amp;")'!ac46")</f>
        <v>0</v>
      </c>
      <c r="AD46" s="22">
        <f ca="1">INDIRECT("'("&amp;$A$4&amp;")'!ad46")</f>
        <v>0</v>
      </c>
      <c r="AE46" s="22">
        <f ca="1">INDIRECT("'("&amp;$A$4&amp;")'!ae46")</f>
        <v>0</v>
      </c>
      <c r="AF46" s="23">
        <f t="shared" ca="1" si="28"/>
        <v>40.5</v>
      </c>
      <c r="AG46" s="22"/>
      <c r="AH46" s="22">
        <f ca="1">INDIRECT("'("&amp;$A$4&amp;")'!ah46")</f>
        <v>2</v>
      </c>
      <c r="AI46" s="22">
        <f ca="1">INDIRECT("'("&amp;$A$4&amp;")'!ai46")</f>
        <v>1</v>
      </c>
      <c r="AJ46" s="22">
        <f ca="1">INDIRECT("'("&amp;$A$4&amp;")'!aj46")</f>
        <v>1</v>
      </c>
      <c r="AK46" s="22">
        <f ca="1">INDIRECT("'("&amp;$A$4&amp;")'!ak46")</f>
        <v>7</v>
      </c>
      <c r="AL46" s="22">
        <f ca="1">INDIRECT("'("&amp;$A$4&amp;")'!al46")</f>
        <v>2</v>
      </c>
      <c r="AM46" s="22">
        <f ca="1">INDIRECT("'("&amp;$A$4&amp;")'!am46")</f>
        <v>0</v>
      </c>
      <c r="AN46" s="23">
        <f t="shared" ca="1" si="29"/>
        <v>44.307692307692307</v>
      </c>
      <c r="AO46" s="22"/>
      <c r="AP46" s="21">
        <f t="shared" ca="1" si="30"/>
        <v>4</v>
      </c>
      <c r="AQ46" s="21">
        <f t="shared" ca="1" si="31"/>
        <v>16</v>
      </c>
      <c r="AR46" s="21">
        <f t="shared" ca="1" si="32"/>
        <v>10</v>
      </c>
      <c r="AS46" s="21">
        <f t="shared" ca="1" si="33"/>
        <v>13</v>
      </c>
      <c r="AT46" s="21">
        <f t="shared" ca="1" si="34"/>
        <v>3</v>
      </c>
      <c r="AU46" s="21">
        <f t="shared" ca="1" si="35"/>
        <v>0</v>
      </c>
      <c r="AV46" s="23">
        <f t="shared" ca="1" si="36"/>
        <v>38.902173913043477</v>
      </c>
      <c r="AW46" s="17"/>
      <c r="AX46" s="17"/>
      <c r="AY46" s="17"/>
      <c r="AZ46" s="17"/>
      <c r="BA46" s="17"/>
      <c r="BB46" s="17"/>
      <c r="BC46" s="17"/>
      <c r="BD46" s="17"/>
      <c r="BE46" s="17"/>
    </row>
    <row r="47" spans="1:57" s="7" customFormat="1" ht="15" customHeight="1" x14ac:dyDescent="0.35">
      <c r="A47" s="2" t="s">
        <v>52</v>
      </c>
      <c r="B47" s="22">
        <f ca="1">INDIRECT("'("&amp;$A$4&amp;")'!b47")</f>
        <v>2</v>
      </c>
      <c r="C47" s="22">
        <f ca="1">INDIRECT("'("&amp;$A$4&amp;")'!c47")</f>
        <v>11</v>
      </c>
      <c r="D47" s="22">
        <f ca="1">INDIRECT("'("&amp;$A$4&amp;")'!d47")</f>
        <v>4</v>
      </c>
      <c r="E47" s="22">
        <f ca="1">INDIRECT("'("&amp;$A$4&amp;")'!e47")</f>
        <v>0</v>
      </c>
      <c r="F47" s="22">
        <f ca="1">INDIRECT("'("&amp;$A$4&amp;")'!f47")</f>
        <v>0</v>
      </c>
      <c r="G47" s="22">
        <f ca="1">INDIRECT("'("&amp;$A$4&amp;")'!g47")</f>
        <v>0</v>
      </c>
      <c r="H47" s="23">
        <f t="shared" ca="1" si="16"/>
        <v>31.294117647058826</v>
      </c>
      <c r="I47" s="22"/>
      <c r="J47" s="22">
        <f ca="1">INDIRECT("'("&amp;$A$4&amp;")'!j47")</f>
        <v>12</v>
      </c>
      <c r="K47" s="22">
        <f ca="1">INDIRECT("'("&amp;$A$4&amp;")'!k47")</f>
        <v>20</v>
      </c>
      <c r="L47" s="22">
        <f ca="1">INDIRECT("'("&amp;$A$4&amp;")'!l47")</f>
        <v>6</v>
      </c>
      <c r="M47" s="22">
        <f ca="1">INDIRECT("'("&amp;$A$4&amp;")'!m47")</f>
        <v>4</v>
      </c>
      <c r="N47" s="22">
        <f ca="1">INDIRECT("'("&amp;$A$4&amp;")'!n47")</f>
        <v>0</v>
      </c>
      <c r="O47" s="22">
        <f ca="1">INDIRECT("'("&amp;$A$4&amp;")'!o47")</f>
        <v>0</v>
      </c>
      <c r="P47" s="23">
        <f t="shared" ca="1" si="18"/>
        <v>30.595238095238095</v>
      </c>
      <c r="Q47" s="22"/>
      <c r="R47" s="21">
        <f t="shared" ca="1" si="19"/>
        <v>14</v>
      </c>
      <c r="S47" s="21">
        <f t="shared" ca="1" si="20"/>
        <v>31</v>
      </c>
      <c r="T47" s="21">
        <f t="shared" ca="1" si="21"/>
        <v>10</v>
      </c>
      <c r="U47" s="21">
        <f t="shared" ca="1" si="22"/>
        <v>4</v>
      </c>
      <c r="V47" s="21">
        <f t="shared" ca="1" si="23"/>
        <v>0</v>
      </c>
      <c r="W47" s="21">
        <f t="shared" ca="1" si="24"/>
        <v>0</v>
      </c>
      <c r="X47" s="23">
        <f t="shared" ca="1" si="27"/>
        <v>30.796610169491526</v>
      </c>
      <c r="Y47" s="22"/>
      <c r="Z47" s="22">
        <f ca="1">INDIRECT("'("&amp;$A$4&amp;")'!z47")</f>
        <v>0</v>
      </c>
      <c r="AA47" s="22">
        <f ca="1">INDIRECT("'("&amp;$A$4&amp;")'!aa47")</f>
        <v>0</v>
      </c>
      <c r="AB47" s="22">
        <f ca="1">INDIRECT("'("&amp;$A$4&amp;")'!ab47")</f>
        <v>0</v>
      </c>
      <c r="AC47" s="22">
        <f ca="1">INDIRECT("'("&amp;$A$4&amp;")'!ac47")</f>
        <v>0</v>
      </c>
      <c r="AD47" s="22">
        <f ca="1">INDIRECT("'("&amp;$A$4&amp;")'!ad47")</f>
        <v>0</v>
      </c>
      <c r="AE47" s="22">
        <f ca="1">INDIRECT("'("&amp;$A$4&amp;")'!ae47")</f>
        <v>0</v>
      </c>
      <c r="AF47" s="23" t="str">
        <f t="shared" ca="1" si="28"/>
        <v>-</v>
      </c>
      <c r="AG47" s="22"/>
      <c r="AH47" s="22">
        <f ca="1">INDIRECT("'("&amp;$A$4&amp;")'!ah47")</f>
        <v>0</v>
      </c>
      <c r="AI47" s="22">
        <f ca="1">INDIRECT("'("&amp;$A$4&amp;")'!ai47")</f>
        <v>2</v>
      </c>
      <c r="AJ47" s="22">
        <f ca="1">INDIRECT("'("&amp;$A$4&amp;")'!aj47")</f>
        <v>5</v>
      </c>
      <c r="AK47" s="22">
        <f ca="1">INDIRECT("'("&amp;$A$4&amp;")'!ak47")</f>
        <v>4</v>
      </c>
      <c r="AL47" s="22">
        <f ca="1">INDIRECT("'("&amp;$A$4&amp;")'!al47")</f>
        <v>0</v>
      </c>
      <c r="AM47" s="22">
        <f ca="1">INDIRECT("'("&amp;$A$4&amp;")'!am47")</f>
        <v>0</v>
      </c>
      <c r="AN47" s="23">
        <f t="shared" ca="1" si="29"/>
        <v>42.227272727272734</v>
      </c>
      <c r="AO47" s="22"/>
      <c r="AP47" s="21">
        <f t="shared" ca="1" si="30"/>
        <v>14</v>
      </c>
      <c r="AQ47" s="21">
        <f t="shared" ca="1" si="31"/>
        <v>33</v>
      </c>
      <c r="AR47" s="21">
        <f t="shared" ca="1" si="32"/>
        <v>15</v>
      </c>
      <c r="AS47" s="21">
        <f t="shared" ca="1" si="33"/>
        <v>8</v>
      </c>
      <c r="AT47" s="21">
        <f t="shared" ca="1" si="34"/>
        <v>0</v>
      </c>
      <c r="AU47" s="21">
        <f t="shared" ca="1" si="35"/>
        <v>0</v>
      </c>
      <c r="AV47" s="23">
        <f t="shared" ca="1" si="36"/>
        <v>32.592857142857142</v>
      </c>
      <c r="AW47" s="17"/>
      <c r="AX47" s="17"/>
      <c r="AY47" s="17"/>
      <c r="AZ47" s="17"/>
      <c r="BA47" s="17"/>
      <c r="BB47" s="17"/>
      <c r="BC47" s="17"/>
      <c r="BD47" s="17"/>
      <c r="BE47" s="17"/>
    </row>
    <row r="48" spans="1:57" s="7" customFormat="1" ht="15" customHeight="1" x14ac:dyDescent="0.35">
      <c r="A48" s="2" t="s">
        <v>53</v>
      </c>
      <c r="B48" s="22">
        <f ca="1">INDIRECT("'("&amp;$A$4&amp;")'!b48")</f>
        <v>0</v>
      </c>
      <c r="C48" s="22">
        <f ca="1">INDIRECT("'("&amp;$A$4&amp;")'!c48")</f>
        <v>0</v>
      </c>
      <c r="D48" s="22">
        <f ca="1">INDIRECT("'("&amp;$A$4&amp;")'!d48")</f>
        <v>0</v>
      </c>
      <c r="E48" s="22">
        <f ca="1">INDIRECT("'("&amp;$A$4&amp;")'!e48")</f>
        <v>0</v>
      </c>
      <c r="F48" s="22">
        <f ca="1">INDIRECT("'("&amp;$A$4&amp;")'!f48")</f>
        <v>0</v>
      </c>
      <c r="G48" s="22">
        <f ca="1">INDIRECT("'("&amp;$A$4&amp;")'!g48")</f>
        <v>0</v>
      </c>
      <c r="H48" s="23" t="str">
        <f t="shared" ca="1" si="16"/>
        <v>-</v>
      </c>
      <c r="I48" s="22"/>
      <c r="J48" s="22">
        <f ca="1">INDIRECT("'("&amp;$A$4&amp;")'!j48")</f>
        <v>0</v>
      </c>
      <c r="K48" s="22">
        <f ca="1">INDIRECT("'("&amp;$A$4&amp;")'!k48")</f>
        <v>2</v>
      </c>
      <c r="L48" s="22">
        <f ca="1">INDIRECT("'("&amp;$A$4&amp;")'!l48")</f>
        <v>1</v>
      </c>
      <c r="M48" s="22">
        <f ca="1">INDIRECT("'("&amp;$A$4&amp;")'!m48")</f>
        <v>0</v>
      </c>
      <c r="N48" s="22">
        <f ca="1">INDIRECT("'("&amp;$A$4&amp;")'!n48")</f>
        <v>0</v>
      </c>
      <c r="O48" s="22">
        <f ca="1">INDIRECT("'("&amp;$A$4&amp;")'!o48")</f>
        <v>0</v>
      </c>
      <c r="P48" s="23">
        <f t="shared" ca="1" si="18"/>
        <v>33.5</v>
      </c>
      <c r="Q48" s="22"/>
      <c r="R48" s="21">
        <f t="shared" ca="1" si="19"/>
        <v>0</v>
      </c>
      <c r="S48" s="21">
        <f t="shared" ca="1" si="20"/>
        <v>2</v>
      </c>
      <c r="T48" s="21">
        <f t="shared" ca="1" si="21"/>
        <v>1</v>
      </c>
      <c r="U48" s="21">
        <f t="shared" ca="1" si="22"/>
        <v>0</v>
      </c>
      <c r="V48" s="21">
        <f t="shared" ca="1" si="23"/>
        <v>0</v>
      </c>
      <c r="W48" s="21">
        <f t="shared" ca="1" si="24"/>
        <v>0</v>
      </c>
      <c r="X48" s="23">
        <f t="shared" ca="1" si="27"/>
        <v>33.5</v>
      </c>
      <c r="Y48" s="22"/>
      <c r="Z48" s="22">
        <f ca="1">INDIRECT("'("&amp;$A$4&amp;")'!z48")</f>
        <v>0</v>
      </c>
      <c r="AA48" s="22">
        <f ca="1">INDIRECT("'("&amp;$A$4&amp;")'!aa48")</f>
        <v>0</v>
      </c>
      <c r="AB48" s="22">
        <f ca="1">INDIRECT("'("&amp;$A$4&amp;")'!ab48")</f>
        <v>0</v>
      </c>
      <c r="AC48" s="22">
        <f ca="1">INDIRECT("'("&amp;$A$4&amp;")'!ac48")</f>
        <v>0</v>
      </c>
      <c r="AD48" s="22">
        <f ca="1">INDIRECT("'("&amp;$A$4&amp;")'!ad48")</f>
        <v>0</v>
      </c>
      <c r="AE48" s="22">
        <f ca="1">INDIRECT("'("&amp;$A$4&amp;")'!ae48")</f>
        <v>0</v>
      </c>
      <c r="AF48" s="23" t="str">
        <f t="shared" ca="1" si="28"/>
        <v>-</v>
      </c>
      <c r="AG48" s="22"/>
      <c r="AH48" s="22">
        <f ca="1">INDIRECT("'("&amp;$A$4&amp;")'!ah48")</f>
        <v>0</v>
      </c>
      <c r="AI48" s="22">
        <f ca="1">INDIRECT("'("&amp;$A$4&amp;")'!ai48")</f>
        <v>0</v>
      </c>
      <c r="AJ48" s="22">
        <f ca="1">INDIRECT("'("&amp;$A$4&amp;")'!aj48")</f>
        <v>0</v>
      </c>
      <c r="AK48" s="22">
        <f ca="1">INDIRECT("'("&amp;$A$4&amp;")'!ak48")</f>
        <v>0</v>
      </c>
      <c r="AL48" s="22">
        <f ca="1">INDIRECT("'("&amp;$A$4&amp;")'!al48")</f>
        <v>1</v>
      </c>
      <c r="AM48" s="22">
        <f ca="1">INDIRECT("'("&amp;$A$4&amp;")'!am48")</f>
        <v>0</v>
      </c>
      <c r="AN48" s="23">
        <f t="shared" ca="1" si="29"/>
        <v>56</v>
      </c>
      <c r="AO48" s="22"/>
      <c r="AP48" s="21">
        <f t="shared" ca="1" si="30"/>
        <v>0</v>
      </c>
      <c r="AQ48" s="21">
        <f t="shared" ca="1" si="31"/>
        <v>2</v>
      </c>
      <c r="AR48" s="21">
        <f t="shared" ca="1" si="32"/>
        <v>1</v>
      </c>
      <c r="AS48" s="21">
        <f t="shared" ca="1" si="33"/>
        <v>0</v>
      </c>
      <c r="AT48" s="21">
        <f t="shared" ca="1" si="34"/>
        <v>1</v>
      </c>
      <c r="AU48" s="21">
        <f t="shared" ca="1" si="35"/>
        <v>0</v>
      </c>
      <c r="AV48" s="23">
        <f t="shared" ca="1" si="36"/>
        <v>39.125</v>
      </c>
      <c r="AW48" s="17"/>
      <c r="AX48" s="17"/>
      <c r="AY48" s="17"/>
      <c r="AZ48" s="17"/>
      <c r="BA48" s="17"/>
      <c r="BB48" s="17"/>
      <c r="BC48" s="17"/>
      <c r="BD48" s="17"/>
      <c r="BE48" s="17"/>
    </row>
    <row r="49" spans="1:57" s="7" customFormat="1" ht="15" customHeight="1" x14ac:dyDescent="0.35">
      <c r="A49" s="20" t="s">
        <v>54</v>
      </c>
      <c r="B49" s="21">
        <f ca="1">SUM(B50:B56)</f>
        <v>142</v>
      </c>
      <c r="C49" s="21">
        <f t="shared" ref="C49:G49" ca="1" si="37">SUM(C50:C56)</f>
        <v>528</v>
      </c>
      <c r="D49" s="21">
        <f t="shared" ca="1" si="37"/>
        <v>112</v>
      </c>
      <c r="E49" s="21">
        <f t="shared" ca="1" si="37"/>
        <v>25</v>
      </c>
      <c r="F49" s="21">
        <f t="shared" ca="1" si="37"/>
        <v>2</v>
      </c>
      <c r="G49" s="21">
        <f t="shared" ca="1" si="37"/>
        <v>0</v>
      </c>
      <c r="H49" s="23">
        <f t="shared" ca="1" si="16"/>
        <v>30.396168108776266</v>
      </c>
      <c r="I49" s="21"/>
      <c r="J49" s="21">
        <f ca="1">SUM(J50:J56)</f>
        <v>7</v>
      </c>
      <c r="K49" s="21">
        <f ca="1">SUM(K50:K56)</f>
        <v>24</v>
      </c>
      <c r="L49" s="21">
        <f t="shared" ref="L49:O49" ca="1" si="38">SUM(L50:L56)</f>
        <v>14</v>
      </c>
      <c r="M49" s="21">
        <f t="shared" ca="1" si="38"/>
        <v>2</v>
      </c>
      <c r="N49" s="21">
        <f t="shared" ca="1" si="38"/>
        <v>1</v>
      </c>
      <c r="O49" s="21">
        <f t="shared" ca="1" si="38"/>
        <v>0</v>
      </c>
      <c r="P49" s="23">
        <f t="shared" ca="1" si="18"/>
        <v>33</v>
      </c>
      <c r="Q49" s="21"/>
      <c r="R49" s="21">
        <f t="shared" ca="1" si="19"/>
        <v>149</v>
      </c>
      <c r="S49" s="21">
        <f t="shared" ca="1" si="20"/>
        <v>552</v>
      </c>
      <c r="T49" s="21">
        <f t="shared" ca="1" si="21"/>
        <v>126</v>
      </c>
      <c r="U49" s="21">
        <f t="shared" ca="1" si="22"/>
        <v>27</v>
      </c>
      <c r="V49" s="21">
        <f t="shared" ca="1" si="23"/>
        <v>3</v>
      </c>
      <c r="W49" s="21">
        <f t="shared" ca="1" si="24"/>
        <v>0</v>
      </c>
      <c r="X49" s="23">
        <f t="shared" ca="1" si="27"/>
        <v>30.542007001166862</v>
      </c>
      <c r="Y49" s="21"/>
      <c r="Z49" s="21">
        <f ca="1">SUM(Z50:Z56)</f>
        <v>3</v>
      </c>
      <c r="AA49" s="21">
        <f t="shared" ref="AA49:AE49" ca="1" si="39">SUM(AA50:AA56)</f>
        <v>6</v>
      </c>
      <c r="AB49" s="21">
        <f t="shared" ca="1" si="39"/>
        <v>7</v>
      </c>
      <c r="AC49" s="21">
        <f t="shared" ca="1" si="39"/>
        <v>4</v>
      </c>
      <c r="AD49" s="21">
        <f t="shared" ca="1" si="39"/>
        <v>2</v>
      </c>
      <c r="AE49" s="21">
        <f t="shared" ca="1" si="39"/>
        <v>0</v>
      </c>
      <c r="AF49" s="23">
        <f t="shared" ca="1" si="28"/>
        <v>38.06818181818182</v>
      </c>
      <c r="AG49" s="21"/>
      <c r="AH49" s="21">
        <f ca="1">SUM(AH50:AH56)</f>
        <v>50</v>
      </c>
      <c r="AI49" s="21">
        <f t="shared" ref="AI49:AM49" ca="1" si="40">SUM(AI50:AI56)</f>
        <v>104</v>
      </c>
      <c r="AJ49" s="21">
        <f t="shared" ca="1" si="40"/>
        <v>59</v>
      </c>
      <c r="AK49" s="21">
        <f t="shared" ca="1" si="40"/>
        <v>80</v>
      </c>
      <c r="AL49" s="21">
        <f t="shared" ca="1" si="40"/>
        <v>41</v>
      </c>
      <c r="AM49" s="21">
        <f t="shared" ca="1" si="40"/>
        <v>0</v>
      </c>
      <c r="AN49" s="23">
        <f t="shared" ca="1" si="29"/>
        <v>38.459580838323355</v>
      </c>
      <c r="AO49" s="21"/>
      <c r="AP49" s="21">
        <f t="shared" ca="1" si="30"/>
        <v>202</v>
      </c>
      <c r="AQ49" s="21">
        <f t="shared" ca="1" si="31"/>
        <v>662</v>
      </c>
      <c r="AR49" s="21">
        <f t="shared" ca="1" si="32"/>
        <v>192</v>
      </c>
      <c r="AS49" s="21">
        <f t="shared" ca="1" si="33"/>
        <v>111</v>
      </c>
      <c r="AT49" s="21">
        <f t="shared" ca="1" si="34"/>
        <v>46</v>
      </c>
      <c r="AU49" s="21">
        <f t="shared" ca="1" si="35"/>
        <v>0</v>
      </c>
      <c r="AV49" s="23">
        <f t="shared" ca="1" si="36"/>
        <v>32.858615004122008</v>
      </c>
      <c r="AW49" s="17"/>
      <c r="AX49" s="17"/>
      <c r="AY49" s="17"/>
      <c r="AZ49" s="17"/>
      <c r="BA49" s="17"/>
      <c r="BB49" s="17"/>
      <c r="BC49" s="17"/>
      <c r="BD49" s="17"/>
      <c r="BE49" s="17"/>
    </row>
    <row r="50" spans="1:57" s="7" customFormat="1" ht="15" customHeight="1" x14ac:dyDescent="0.35">
      <c r="A50" s="2" t="s">
        <v>55</v>
      </c>
      <c r="B50" s="22">
        <f ca="1">INDIRECT("'("&amp;$A$4&amp;")'!b50")</f>
        <v>28</v>
      </c>
      <c r="C50" s="22">
        <f ca="1">INDIRECT("'("&amp;$A$4&amp;")'!c50")</f>
        <v>82</v>
      </c>
      <c r="D50" s="22">
        <f ca="1">INDIRECT("'("&amp;$A$4&amp;")'!d50")</f>
        <v>14</v>
      </c>
      <c r="E50" s="22">
        <f ca="1">INDIRECT("'("&amp;$A$4&amp;")'!e50")</f>
        <v>0</v>
      </c>
      <c r="F50" s="22">
        <f ca="1">INDIRECT("'("&amp;$A$4&amp;")'!f50")</f>
        <v>1</v>
      </c>
      <c r="G50" s="22">
        <f ca="1">INDIRECT("'("&amp;$A$4&amp;")'!g50")</f>
        <v>0</v>
      </c>
      <c r="H50" s="23">
        <f t="shared" ca="1" si="16"/>
        <v>29.144000000000002</v>
      </c>
      <c r="I50" s="22"/>
      <c r="J50" s="22">
        <f ca="1">INDIRECT("'("&amp;$A$4&amp;")'!j50")</f>
        <v>0</v>
      </c>
      <c r="K50" s="22">
        <f ca="1">INDIRECT("'("&amp;$A$4&amp;")'!k50")</f>
        <v>0</v>
      </c>
      <c r="L50" s="22">
        <f ca="1">INDIRECT("'("&amp;$A$4&amp;")'!l50")</f>
        <v>0</v>
      </c>
      <c r="M50" s="22">
        <f ca="1">INDIRECT("'("&amp;$A$4&amp;")'!m50")</f>
        <v>0</v>
      </c>
      <c r="N50" s="22">
        <f ca="1">INDIRECT("'("&amp;$A$4&amp;")'!n50")</f>
        <v>0</v>
      </c>
      <c r="O50" s="22">
        <f ca="1">INDIRECT("'("&amp;$A$4&amp;")'!o50")</f>
        <v>0</v>
      </c>
      <c r="P50" s="23" t="str">
        <f t="shared" ca="1" si="18"/>
        <v>-</v>
      </c>
      <c r="Q50" s="22"/>
      <c r="R50" s="21">
        <f t="shared" ca="1" si="19"/>
        <v>28</v>
      </c>
      <c r="S50" s="21">
        <f t="shared" ca="1" si="20"/>
        <v>82</v>
      </c>
      <c r="T50" s="21">
        <f t="shared" ca="1" si="21"/>
        <v>14</v>
      </c>
      <c r="U50" s="21">
        <f t="shared" ca="1" si="22"/>
        <v>0</v>
      </c>
      <c r="V50" s="21">
        <f t="shared" ca="1" si="23"/>
        <v>1</v>
      </c>
      <c r="W50" s="21">
        <f t="shared" ca="1" si="24"/>
        <v>0</v>
      </c>
      <c r="X50" s="23">
        <f t="shared" ca="1" si="27"/>
        <v>29.144000000000002</v>
      </c>
      <c r="Y50" s="22"/>
      <c r="Z50" s="22">
        <f ca="1">INDIRECT("'("&amp;$A$4&amp;")'!z50")</f>
        <v>0</v>
      </c>
      <c r="AA50" s="22">
        <f ca="1">INDIRECT("'("&amp;$A$4&amp;")'!aa50")</f>
        <v>0</v>
      </c>
      <c r="AB50" s="22">
        <f ca="1">INDIRECT("'("&amp;$A$4&amp;")'!ab50")</f>
        <v>0</v>
      </c>
      <c r="AC50" s="22">
        <f ca="1">INDIRECT("'("&amp;$A$4&amp;")'!ac50")</f>
        <v>0</v>
      </c>
      <c r="AD50" s="22">
        <f ca="1">INDIRECT("'("&amp;$A$4&amp;")'!ad50")</f>
        <v>0</v>
      </c>
      <c r="AE50" s="22">
        <f ca="1">INDIRECT("'("&amp;$A$4&amp;")'!ae50")</f>
        <v>0</v>
      </c>
      <c r="AF50" s="23" t="str">
        <f t="shared" ca="1" si="28"/>
        <v>-</v>
      </c>
      <c r="AG50" s="22"/>
      <c r="AH50" s="22">
        <f ca="1">INDIRECT("'("&amp;$A$4&amp;")'!ah50")</f>
        <v>10</v>
      </c>
      <c r="AI50" s="22">
        <f ca="1">INDIRECT("'("&amp;$A$4&amp;")'!ai50")</f>
        <v>17</v>
      </c>
      <c r="AJ50" s="22">
        <f ca="1">INDIRECT("'("&amp;$A$4&amp;")'!aj50")</f>
        <v>8</v>
      </c>
      <c r="AK50" s="22">
        <f ca="1">INDIRECT("'("&amp;$A$4&amp;")'!ak50")</f>
        <v>16</v>
      </c>
      <c r="AL50" s="22">
        <f ca="1">INDIRECT("'("&amp;$A$4&amp;")'!al50")</f>
        <v>8</v>
      </c>
      <c r="AM50" s="22">
        <f ca="1">INDIRECT("'("&amp;$A$4&amp;")'!am50")</f>
        <v>0</v>
      </c>
      <c r="AN50" s="23">
        <f t="shared" ca="1" si="29"/>
        <v>38.813559322033896</v>
      </c>
      <c r="AO50" s="22"/>
      <c r="AP50" s="21">
        <f t="shared" ca="1" si="30"/>
        <v>38</v>
      </c>
      <c r="AQ50" s="21">
        <f t="shared" ca="1" si="31"/>
        <v>99</v>
      </c>
      <c r="AR50" s="21">
        <f t="shared" ca="1" si="32"/>
        <v>22</v>
      </c>
      <c r="AS50" s="21">
        <f t="shared" ca="1" si="33"/>
        <v>16</v>
      </c>
      <c r="AT50" s="21">
        <f t="shared" ca="1" si="34"/>
        <v>9</v>
      </c>
      <c r="AU50" s="21">
        <f t="shared" ca="1" si="35"/>
        <v>0</v>
      </c>
      <c r="AV50" s="23">
        <f t="shared" ca="1" si="36"/>
        <v>32.244565217391305</v>
      </c>
      <c r="AW50" s="17"/>
      <c r="AX50" s="17"/>
      <c r="AY50" s="17"/>
      <c r="AZ50" s="17"/>
      <c r="BA50" s="17"/>
      <c r="BB50" s="17"/>
      <c r="BC50" s="17"/>
      <c r="BD50" s="17"/>
      <c r="BE50" s="17"/>
    </row>
    <row r="51" spans="1:57" s="7" customFormat="1" ht="15" customHeight="1" x14ac:dyDescent="0.35">
      <c r="A51" s="2" t="s">
        <v>56</v>
      </c>
      <c r="B51" s="22">
        <f ca="1">INDIRECT("'("&amp;$A$4&amp;")'!b51")</f>
        <v>5</v>
      </c>
      <c r="C51" s="22">
        <f ca="1">INDIRECT("'("&amp;$A$4&amp;")'!c51")</f>
        <v>31</v>
      </c>
      <c r="D51" s="22">
        <f ca="1">INDIRECT("'("&amp;$A$4&amp;")'!d51")</f>
        <v>12</v>
      </c>
      <c r="E51" s="22">
        <f ca="1">INDIRECT("'("&amp;$A$4&amp;")'!e51")</f>
        <v>3</v>
      </c>
      <c r="F51" s="22">
        <f ca="1">INDIRECT("'("&amp;$A$4&amp;")'!f51")</f>
        <v>0</v>
      </c>
      <c r="G51" s="22">
        <f ca="1">INDIRECT("'("&amp;$A$4&amp;")'!g51")</f>
        <v>0</v>
      </c>
      <c r="H51" s="23">
        <f t="shared" ca="1" si="16"/>
        <v>32.696078431372548</v>
      </c>
      <c r="I51" s="22"/>
      <c r="J51" s="22">
        <f ca="1">INDIRECT("'("&amp;$A$4&amp;")'!j51")</f>
        <v>2</v>
      </c>
      <c r="K51" s="22">
        <f ca="1">INDIRECT("'("&amp;$A$4&amp;")'!k51")</f>
        <v>14</v>
      </c>
      <c r="L51" s="22">
        <f ca="1">INDIRECT("'("&amp;$A$4&amp;")'!l51")</f>
        <v>9</v>
      </c>
      <c r="M51" s="22">
        <f ca="1">INDIRECT("'("&amp;$A$4&amp;")'!m51")</f>
        <v>0</v>
      </c>
      <c r="N51" s="22">
        <f ca="1">INDIRECT("'("&amp;$A$4&amp;")'!n51")</f>
        <v>0</v>
      </c>
      <c r="O51" s="22">
        <f ca="1">INDIRECT("'("&amp;$A$4&amp;")'!o51")</f>
        <v>0</v>
      </c>
      <c r="P51" s="23">
        <f t="shared" ca="1" si="18"/>
        <v>32.980000000000004</v>
      </c>
      <c r="Q51" s="22"/>
      <c r="R51" s="21">
        <f t="shared" ca="1" si="19"/>
        <v>7</v>
      </c>
      <c r="S51" s="21">
        <f t="shared" ca="1" si="20"/>
        <v>45</v>
      </c>
      <c r="T51" s="21">
        <f t="shared" ca="1" si="21"/>
        <v>21</v>
      </c>
      <c r="U51" s="21">
        <f t="shared" ca="1" si="22"/>
        <v>3</v>
      </c>
      <c r="V51" s="21">
        <f t="shared" ca="1" si="23"/>
        <v>0</v>
      </c>
      <c r="W51" s="21">
        <f t="shared" ca="1" si="24"/>
        <v>0</v>
      </c>
      <c r="X51" s="23">
        <f t="shared" ca="1" si="27"/>
        <v>32.789473684210527</v>
      </c>
      <c r="Y51" s="22"/>
      <c r="Z51" s="22">
        <f ca="1">INDIRECT("'("&amp;$A$4&amp;")'!z51")</f>
        <v>1</v>
      </c>
      <c r="AA51" s="22">
        <f ca="1">INDIRECT("'("&amp;$A$4&amp;")'!aa51")</f>
        <v>1</v>
      </c>
      <c r="AB51" s="22">
        <f ca="1">INDIRECT("'("&amp;$A$4&amp;")'!ab51")</f>
        <v>1</v>
      </c>
      <c r="AC51" s="22">
        <f ca="1">INDIRECT("'("&amp;$A$4&amp;")'!ac51")</f>
        <v>2</v>
      </c>
      <c r="AD51" s="22">
        <f ca="1">INDIRECT("'("&amp;$A$4&amp;")'!ad51")</f>
        <v>2</v>
      </c>
      <c r="AE51" s="22">
        <f ca="1">INDIRECT("'("&amp;$A$4&amp;")'!ae51")</f>
        <v>0</v>
      </c>
      <c r="AF51" s="23">
        <f t="shared" ca="1" si="28"/>
        <v>43.357142857142854</v>
      </c>
      <c r="AG51" s="22"/>
      <c r="AH51" s="22">
        <f ca="1">INDIRECT("'("&amp;$A$4&amp;")'!ah51")</f>
        <v>18</v>
      </c>
      <c r="AI51" s="22">
        <f ca="1">INDIRECT("'("&amp;$A$4&amp;")'!ai51")</f>
        <v>11</v>
      </c>
      <c r="AJ51" s="22">
        <f ca="1">INDIRECT("'("&amp;$A$4&amp;")'!aj51")</f>
        <v>6</v>
      </c>
      <c r="AK51" s="22">
        <f ca="1">INDIRECT("'("&amp;$A$4&amp;")'!ak51")</f>
        <v>17</v>
      </c>
      <c r="AL51" s="22">
        <f ca="1">INDIRECT("'("&amp;$A$4&amp;")'!al51")</f>
        <v>3</v>
      </c>
      <c r="AM51" s="22">
        <f ca="1">INDIRECT("'("&amp;$A$4&amp;")'!am51")</f>
        <v>0</v>
      </c>
      <c r="AN51" s="23">
        <f t="shared" ca="1" si="29"/>
        <v>35.627272727272725</v>
      </c>
      <c r="AO51" s="22"/>
      <c r="AP51" s="21">
        <f t="shared" ca="1" si="30"/>
        <v>26</v>
      </c>
      <c r="AQ51" s="21">
        <f t="shared" ca="1" si="31"/>
        <v>57</v>
      </c>
      <c r="AR51" s="21">
        <f t="shared" ca="1" si="32"/>
        <v>28</v>
      </c>
      <c r="AS51" s="21">
        <f t="shared" ca="1" si="33"/>
        <v>22</v>
      </c>
      <c r="AT51" s="21">
        <f t="shared" ca="1" si="34"/>
        <v>5</v>
      </c>
      <c r="AU51" s="21">
        <f t="shared" ca="1" si="35"/>
        <v>0</v>
      </c>
      <c r="AV51" s="23">
        <f t="shared" ca="1" si="36"/>
        <v>34.45652173913043</v>
      </c>
      <c r="AW51" s="17"/>
      <c r="AX51" s="17"/>
      <c r="AY51" s="17"/>
      <c r="AZ51" s="17"/>
      <c r="BA51" s="17"/>
      <c r="BB51" s="17"/>
      <c r="BC51" s="17"/>
      <c r="BD51" s="17"/>
      <c r="BE51" s="17"/>
    </row>
    <row r="52" spans="1:57" s="7" customFormat="1" ht="15" customHeight="1" x14ac:dyDescent="0.35">
      <c r="A52" s="2" t="s">
        <v>57</v>
      </c>
      <c r="B52" s="22">
        <f ca="1">INDIRECT("'("&amp;$A$4&amp;")'!b52")</f>
        <v>5</v>
      </c>
      <c r="C52" s="22">
        <f ca="1">INDIRECT("'("&amp;$A$4&amp;")'!c52")</f>
        <v>15</v>
      </c>
      <c r="D52" s="22">
        <f ca="1">INDIRECT("'("&amp;$A$4&amp;")'!d52")</f>
        <v>3</v>
      </c>
      <c r="E52" s="22">
        <f ca="1">INDIRECT("'("&amp;$A$4&amp;")'!e52")</f>
        <v>0</v>
      </c>
      <c r="F52" s="22">
        <f ca="1">INDIRECT("'("&amp;$A$4&amp;")'!f52")</f>
        <v>0</v>
      </c>
      <c r="G52" s="22">
        <f ca="1">INDIRECT("'("&amp;$A$4&amp;")'!g52")</f>
        <v>0</v>
      </c>
      <c r="H52" s="23">
        <f t="shared" ca="1" si="16"/>
        <v>29.195652173913039</v>
      </c>
      <c r="I52" s="22"/>
      <c r="J52" s="22">
        <f ca="1">INDIRECT("'("&amp;$A$4&amp;")'!j52")</f>
        <v>0</v>
      </c>
      <c r="K52" s="22">
        <f ca="1">INDIRECT("'("&amp;$A$4&amp;")'!k52")</f>
        <v>0</v>
      </c>
      <c r="L52" s="22">
        <f ca="1">INDIRECT("'("&amp;$A$4&amp;")'!l52")</f>
        <v>1</v>
      </c>
      <c r="M52" s="22">
        <f ca="1">INDIRECT("'("&amp;$A$4&amp;")'!m52")</f>
        <v>0</v>
      </c>
      <c r="N52" s="22">
        <f ca="1">INDIRECT("'("&amp;$A$4&amp;")'!n52")</f>
        <v>0</v>
      </c>
      <c r="O52" s="22">
        <f ca="1">INDIRECT("'("&amp;$A$4&amp;")'!o52")</f>
        <v>0</v>
      </c>
      <c r="P52" s="23">
        <f t="shared" ca="1" si="18"/>
        <v>40.5</v>
      </c>
      <c r="Q52" s="22"/>
      <c r="R52" s="21">
        <f t="shared" ca="1" si="19"/>
        <v>5</v>
      </c>
      <c r="S52" s="21">
        <f t="shared" ca="1" si="20"/>
        <v>15</v>
      </c>
      <c r="T52" s="21">
        <f t="shared" ca="1" si="21"/>
        <v>4</v>
      </c>
      <c r="U52" s="21">
        <f t="shared" ca="1" si="22"/>
        <v>0</v>
      </c>
      <c r="V52" s="21">
        <f t="shared" ca="1" si="23"/>
        <v>0</v>
      </c>
      <c r="W52" s="21">
        <f t="shared" ca="1" si="24"/>
        <v>0</v>
      </c>
      <c r="X52" s="23">
        <f t="shared" ca="1" si="27"/>
        <v>29.666666666666668</v>
      </c>
      <c r="Y52" s="22"/>
      <c r="Z52" s="22">
        <f ca="1">INDIRECT("'("&amp;$A$4&amp;")'!z52")</f>
        <v>0</v>
      </c>
      <c r="AA52" s="22">
        <f ca="1">INDIRECT("'("&amp;$A$4&amp;")'!aa52")</f>
        <v>0</v>
      </c>
      <c r="AB52" s="22">
        <f ca="1">INDIRECT("'("&amp;$A$4&amp;")'!ab52")</f>
        <v>0</v>
      </c>
      <c r="AC52" s="22">
        <f ca="1">INDIRECT("'("&amp;$A$4&amp;")'!ac52")</f>
        <v>0</v>
      </c>
      <c r="AD52" s="22">
        <f ca="1">INDIRECT("'("&amp;$A$4&amp;")'!ad52")</f>
        <v>0</v>
      </c>
      <c r="AE52" s="22">
        <f ca="1">INDIRECT("'("&amp;$A$4&amp;")'!ae52")</f>
        <v>0</v>
      </c>
      <c r="AF52" s="23" t="str">
        <f t="shared" ca="1" si="28"/>
        <v>-</v>
      </c>
      <c r="AG52" s="22"/>
      <c r="AH52" s="22">
        <f ca="1">INDIRECT("'("&amp;$A$4&amp;")'!ah52")</f>
        <v>1</v>
      </c>
      <c r="AI52" s="22">
        <f ca="1">INDIRECT("'("&amp;$A$4&amp;")'!ai52")</f>
        <v>8</v>
      </c>
      <c r="AJ52" s="22">
        <f ca="1">INDIRECT("'("&amp;$A$4&amp;")'!aj52")</f>
        <v>1</v>
      </c>
      <c r="AK52" s="22">
        <f ca="1">INDIRECT("'("&amp;$A$4&amp;")'!ak52")</f>
        <v>4</v>
      </c>
      <c r="AL52" s="22">
        <f ca="1">INDIRECT("'("&amp;$A$4&amp;")'!al52")</f>
        <v>3</v>
      </c>
      <c r="AM52" s="22">
        <f ca="1">INDIRECT("'("&amp;$A$4&amp;")'!am52")</f>
        <v>0</v>
      </c>
      <c r="AN52" s="23">
        <f t="shared" ca="1" si="29"/>
        <v>39.441176470588232</v>
      </c>
      <c r="AO52" s="22"/>
      <c r="AP52" s="21">
        <f t="shared" ca="1" si="30"/>
        <v>6</v>
      </c>
      <c r="AQ52" s="21">
        <f t="shared" ca="1" si="31"/>
        <v>23</v>
      </c>
      <c r="AR52" s="21">
        <f t="shared" ca="1" si="32"/>
        <v>5</v>
      </c>
      <c r="AS52" s="21">
        <f t="shared" ca="1" si="33"/>
        <v>4</v>
      </c>
      <c r="AT52" s="21">
        <f t="shared" ca="1" si="34"/>
        <v>3</v>
      </c>
      <c r="AU52" s="21">
        <f t="shared" ca="1" si="35"/>
        <v>0</v>
      </c>
      <c r="AV52" s="23">
        <f t="shared" ca="1" si="36"/>
        <v>33.719512195121951</v>
      </c>
      <c r="AW52" s="17"/>
      <c r="AX52" s="17"/>
      <c r="AY52" s="17"/>
      <c r="AZ52" s="17"/>
      <c r="BA52" s="17"/>
      <c r="BB52" s="17"/>
      <c r="BC52" s="17"/>
      <c r="BD52" s="17"/>
      <c r="BE52" s="17"/>
    </row>
    <row r="53" spans="1:57" s="7" customFormat="1" ht="15" customHeight="1" x14ac:dyDescent="0.35">
      <c r="A53" s="2" t="s">
        <v>58</v>
      </c>
      <c r="B53" s="22">
        <f ca="1">INDIRECT("'("&amp;$A$4&amp;")'!b53")</f>
        <v>4</v>
      </c>
      <c r="C53" s="22">
        <f ca="1">INDIRECT("'("&amp;$A$4&amp;")'!c53")</f>
        <v>13</v>
      </c>
      <c r="D53" s="22">
        <f ca="1">INDIRECT("'("&amp;$A$4&amp;")'!d53")</f>
        <v>8</v>
      </c>
      <c r="E53" s="22">
        <f ca="1">INDIRECT("'("&amp;$A$4&amp;")'!e53")</f>
        <v>1</v>
      </c>
      <c r="F53" s="22">
        <f ca="1">INDIRECT("'("&amp;$A$4&amp;")'!f53")</f>
        <v>0</v>
      </c>
      <c r="G53" s="22">
        <f ca="1">INDIRECT("'("&amp;$A$4&amp;")'!g53")</f>
        <v>0</v>
      </c>
      <c r="H53" s="23">
        <f t="shared" ca="1" si="16"/>
        <v>32.480769230769234</v>
      </c>
      <c r="I53" s="22"/>
      <c r="J53" s="22">
        <f ca="1">INDIRECT("'("&amp;$A$4&amp;")'!j53")</f>
        <v>0</v>
      </c>
      <c r="K53" s="22">
        <f ca="1">INDIRECT("'("&amp;$A$4&amp;")'!k53")</f>
        <v>0</v>
      </c>
      <c r="L53" s="22">
        <f ca="1">INDIRECT("'("&amp;$A$4&amp;")'!l53")</f>
        <v>0</v>
      </c>
      <c r="M53" s="22">
        <f ca="1">INDIRECT("'("&amp;$A$4&amp;")'!m53")</f>
        <v>0</v>
      </c>
      <c r="N53" s="22">
        <f ca="1">INDIRECT("'("&amp;$A$4&amp;")'!n53")</f>
        <v>0</v>
      </c>
      <c r="O53" s="22">
        <f ca="1">INDIRECT("'("&amp;$A$4&amp;")'!o53")</f>
        <v>0</v>
      </c>
      <c r="P53" s="23" t="str">
        <f t="shared" ca="1" si="18"/>
        <v>-</v>
      </c>
      <c r="Q53" s="22"/>
      <c r="R53" s="21">
        <f t="shared" ca="1" si="19"/>
        <v>4</v>
      </c>
      <c r="S53" s="21">
        <f t="shared" ca="1" si="20"/>
        <v>13</v>
      </c>
      <c r="T53" s="21">
        <f t="shared" ca="1" si="21"/>
        <v>8</v>
      </c>
      <c r="U53" s="21">
        <f t="shared" ca="1" si="22"/>
        <v>1</v>
      </c>
      <c r="V53" s="21">
        <f t="shared" ca="1" si="23"/>
        <v>0</v>
      </c>
      <c r="W53" s="21">
        <f t="shared" ca="1" si="24"/>
        <v>0</v>
      </c>
      <c r="X53" s="23">
        <f t="shared" ca="1" si="27"/>
        <v>32.480769230769234</v>
      </c>
      <c r="Y53" s="22"/>
      <c r="Z53" s="22">
        <f ca="1">INDIRECT("'("&amp;$A$4&amp;")'!z53")</f>
        <v>0</v>
      </c>
      <c r="AA53" s="22">
        <f ca="1">INDIRECT("'("&amp;$A$4&amp;")'!aa53")</f>
        <v>1</v>
      </c>
      <c r="AB53" s="22">
        <f ca="1">INDIRECT("'("&amp;$A$4&amp;")'!ab53")</f>
        <v>4</v>
      </c>
      <c r="AC53" s="22">
        <f ca="1">INDIRECT("'("&amp;$A$4&amp;")'!ac53")</f>
        <v>0</v>
      </c>
      <c r="AD53" s="22">
        <f ca="1">INDIRECT("'("&amp;$A$4&amp;")'!ad53")</f>
        <v>0</v>
      </c>
      <c r="AE53" s="22">
        <f ca="1">INDIRECT("'("&amp;$A$4&amp;")'!ae53")</f>
        <v>0</v>
      </c>
      <c r="AF53" s="23">
        <f t="shared" ca="1" si="28"/>
        <v>38.4</v>
      </c>
      <c r="AG53" s="22"/>
      <c r="AH53" s="22">
        <f ca="1">INDIRECT("'("&amp;$A$4&amp;")'!ah53")</f>
        <v>3</v>
      </c>
      <c r="AI53" s="22">
        <f ca="1">INDIRECT("'("&amp;$A$4&amp;")'!ai53")</f>
        <v>8</v>
      </c>
      <c r="AJ53" s="22">
        <f ca="1">INDIRECT("'("&amp;$A$4&amp;")'!aj53")</f>
        <v>8</v>
      </c>
      <c r="AK53" s="22">
        <f ca="1">INDIRECT("'("&amp;$A$4&amp;")'!ak53")</f>
        <v>5</v>
      </c>
      <c r="AL53" s="22">
        <f ca="1">INDIRECT("'("&amp;$A$4&amp;")'!al53")</f>
        <v>7</v>
      </c>
      <c r="AM53" s="22">
        <f ca="1">INDIRECT("'("&amp;$A$4&amp;")'!am53")</f>
        <v>0</v>
      </c>
      <c r="AN53" s="23">
        <f t="shared" ca="1" si="29"/>
        <v>40.91935483870968</v>
      </c>
      <c r="AO53" s="22"/>
      <c r="AP53" s="21">
        <f t="shared" ca="1" si="30"/>
        <v>7</v>
      </c>
      <c r="AQ53" s="21">
        <f t="shared" ca="1" si="31"/>
        <v>22</v>
      </c>
      <c r="AR53" s="21">
        <f t="shared" ca="1" si="32"/>
        <v>20</v>
      </c>
      <c r="AS53" s="21">
        <f t="shared" ca="1" si="33"/>
        <v>6</v>
      </c>
      <c r="AT53" s="21">
        <f t="shared" ca="1" si="34"/>
        <v>7</v>
      </c>
      <c r="AU53" s="21">
        <f t="shared" ca="1" si="35"/>
        <v>0</v>
      </c>
      <c r="AV53" s="23">
        <f t="shared" ca="1" si="36"/>
        <v>37.177419354838712</v>
      </c>
      <c r="AW53" s="17"/>
      <c r="AX53" s="17"/>
      <c r="AY53" s="17"/>
      <c r="AZ53" s="17"/>
      <c r="BA53" s="17"/>
      <c r="BB53" s="17"/>
      <c r="BC53" s="17"/>
      <c r="BD53" s="17"/>
      <c r="BE53" s="17"/>
    </row>
    <row r="54" spans="1:57" s="7" customFormat="1" ht="15" customHeight="1" x14ac:dyDescent="0.35">
      <c r="A54" s="2" t="s">
        <v>59</v>
      </c>
      <c r="B54" s="22">
        <f ca="1">INDIRECT("'("&amp;$A$4&amp;")'!b54")</f>
        <v>11</v>
      </c>
      <c r="C54" s="22">
        <f ca="1">INDIRECT("'("&amp;$A$4&amp;")'!c54")</f>
        <v>59</v>
      </c>
      <c r="D54" s="22">
        <f ca="1">INDIRECT("'("&amp;$A$4&amp;")'!d54")</f>
        <v>17</v>
      </c>
      <c r="E54" s="22">
        <f ca="1">INDIRECT("'("&amp;$A$4&amp;")'!e54")</f>
        <v>3</v>
      </c>
      <c r="F54" s="22">
        <f ca="1">INDIRECT("'("&amp;$A$4&amp;")'!f54")</f>
        <v>0</v>
      </c>
      <c r="G54" s="22">
        <f ca="1">INDIRECT("'("&amp;$A$4&amp;")'!g54")</f>
        <v>0</v>
      </c>
      <c r="H54" s="23">
        <f t="shared" ca="1" si="16"/>
        <v>31.444444444444443</v>
      </c>
      <c r="I54" s="22"/>
      <c r="J54" s="22">
        <f ca="1">INDIRECT("'("&amp;$A$4&amp;")'!j54")</f>
        <v>0</v>
      </c>
      <c r="K54" s="22">
        <f ca="1">INDIRECT("'("&amp;$A$4&amp;")'!k54")</f>
        <v>0</v>
      </c>
      <c r="L54" s="22">
        <f ca="1">INDIRECT("'("&amp;$A$4&amp;")'!l54")</f>
        <v>0</v>
      </c>
      <c r="M54" s="22">
        <f ca="1">INDIRECT("'("&amp;$A$4&amp;")'!m54")</f>
        <v>0</v>
      </c>
      <c r="N54" s="22">
        <f ca="1">INDIRECT("'("&amp;$A$4&amp;")'!n54")</f>
        <v>0</v>
      </c>
      <c r="O54" s="22">
        <f ca="1">INDIRECT("'("&amp;$A$4&amp;")'!o54")</f>
        <v>0</v>
      </c>
      <c r="P54" s="23" t="str">
        <f t="shared" ca="1" si="18"/>
        <v>-</v>
      </c>
      <c r="Q54" s="22"/>
      <c r="R54" s="21">
        <f t="shared" ca="1" si="19"/>
        <v>11</v>
      </c>
      <c r="S54" s="21">
        <f t="shared" ca="1" si="20"/>
        <v>59</v>
      </c>
      <c r="T54" s="21">
        <f t="shared" ca="1" si="21"/>
        <v>17</v>
      </c>
      <c r="U54" s="21">
        <f t="shared" ca="1" si="22"/>
        <v>3</v>
      </c>
      <c r="V54" s="21">
        <f t="shared" ca="1" si="23"/>
        <v>0</v>
      </c>
      <c r="W54" s="21">
        <f t="shared" ca="1" si="24"/>
        <v>0</v>
      </c>
      <c r="X54" s="23">
        <f t="shared" ca="1" si="27"/>
        <v>31.444444444444443</v>
      </c>
      <c r="Y54" s="22"/>
      <c r="Z54" s="22">
        <f ca="1">INDIRECT("'("&amp;$A$4&amp;")'!z54")</f>
        <v>0</v>
      </c>
      <c r="AA54" s="22">
        <f ca="1">INDIRECT("'("&amp;$A$4&amp;")'!aa54")</f>
        <v>0</v>
      </c>
      <c r="AB54" s="22">
        <f ca="1">INDIRECT("'("&amp;$A$4&amp;")'!ab54")</f>
        <v>0</v>
      </c>
      <c r="AC54" s="22">
        <f ca="1">INDIRECT("'("&amp;$A$4&amp;")'!ac54")</f>
        <v>0</v>
      </c>
      <c r="AD54" s="22">
        <f ca="1">INDIRECT("'("&amp;$A$4&amp;")'!ad54")</f>
        <v>0</v>
      </c>
      <c r="AE54" s="22">
        <f ca="1">INDIRECT("'("&amp;$A$4&amp;")'!ae54")</f>
        <v>0</v>
      </c>
      <c r="AF54" s="23" t="str">
        <f t="shared" ca="1" si="28"/>
        <v>-</v>
      </c>
      <c r="AG54" s="22"/>
      <c r="AH54" s="22">
        <f ca="1">INDIRECT("'("&amp;$A$4&amp;")'!ah54")</f>
        <v>1</v>
      </c>
      <c r="AI54" s="22">
        <f ca="1">INDIRECT("'("&amp;$A$4&amp;")'!ai54")</f>
        <v>5</v>
      </c>
      <c r="AJ54" s="22">
        <f ca="1">INDIRECT("'("&amp;$A$4&amp;")'!aj54")</f>
        <v>5</v>
      </c>
      <c r="AK54" s="22">
        <f ca="1">INDIRECT("'("&amp;$A$4&amp;")'!ak54")</f>
        <v>8</v>
      </c>
      <c r="AL54" s="22">
        <f ca="1">INDIRECT("'("&amp;$A$4&amp;")'!al54")</f>
        <v>1</v>
      </c>
      <c r="AM54" s="22">
        <f ca="1">INDIRECT("'("&amp;$A$4&amp;")'!am54")</f>
        <v>0</v>
      </c>
      <c r="AN54" s="23">
        <f t="shared" ca="1" si="29"/>
        <v>41.625</v>
      </c>
      <c r="AO54" s="22"/>
      <c r="AP54" s="21">
        <f t="shared" ca="1" si="30"/>
        <v>12</v>
      </c>
      <c r="AQ54" s="21">
        <f t="shared" ca="1" si="31"/>
        <v>64</v>
      </c>
      <c r="AR54" s="21">
        <f t="shared" ca="1" si="32"/>
        <v>22</v>
      </c>
      <c r="AS54" s="21">
        <f t="shared" ca="1" si="33"/>
        <v>11</v>
      </c>
      <c r="AT54" s="21">
        <f t="shared" ca="1" si="34"/>
        <v>1</v>
      </c>
      <c r="AU54" s="21">
        <f t="shared" ca="1" si="35"/>
        <v>0</v>
      </c>
      <c r="AV54" s="23">
        <f t="shared" ca="1" si="36"/>
        <v>33.29545454545454</v>
      </c>
      <c r="AW54" s="17"/>
      <c r="AX54" s="17"/>
      <c r="AY54" s="17"/>
      <c r="AZ54" s="17"/>
      <c r="BA54" s="17"/>
      <c r="BB54" s="17"/>
      <c r="BC54" s="17"/>
      <c r="BD54" s="17"/>
      <c r="BE54" s="17"/>
    </row>
    <row r="55" spans="1:57" s="7" customFormat="1" ht="15" customHeight="1" x14ac:dyDescent="0.35">
      <c r="A55" s="2" t="s">
        <v>60</v>
      </c>
      <c r="B55" s="22">
        <f ca="1">INDIRECT("'("&amp;$A$4&amp;")'!b55")</f>
        <v>9</v>
      </c>
      <c r="C55" s="22">
        <f ca="1">INDIRECT("'("&amp;$A$4&amp;")'!c55")</f>
        <v>45</v>
      </c>
      <c r="D55" s="22">
        <f ca="1">INDIRECT("'("&amp;$A$4&amp;")'!d55")</f>
        <v>12</v>
      </c>
      <c r="E55" s="22">
        <f ca="1">INDIRECT("'("&amp;$A$4&amp;")'!e55")</f>
        <v>0</v>
      </c>
      <c r="F55" s="22">
        <f ca="1">INDIRECT("'("&amp;$A$4&amp;")'!f55")</f>
        <v>0</v>
      </c>
      <c r="G55" s="22">
        <f ca="1">INDIRECT("'("&amp;$A$4&amp;")'!g55")</f>
        <v>0</v>
      </c>
      <c r="H55" s="23">
        <f t="shared" ca="1" si="16"/>
        <v>30.545454545454543</v>
      </c>
      <c r="I55" s="22"/>
      <c r="J55" s="22">
        <f ca="1">INDIRECT("'("&amp;$A$4&amp;")'!j55")</f>
        <v>5</v>
      </c>
      <c r="K55" s="22">
        <f ca="1">INDIRECT("'("&amp;$A$4&amp;")'!k55")</f>
        <v>10</v>
      </c>
      <c r="L55" s="22">
        <f ca="1">INDIRECT("'("&amp;$A$4&amp;")'!l55")</f>
        <v>4</v>
      </c>
      <c r="M55" s="22">
        <f ca="1">INDIRECT("'("&amp;$A$4&amp;")'!m55")</f>
        <v>2</v>
      </c>
      <c r="N55" s="22">
        <f ca="1">INDIRECT("'("&amp;$A$4&amp;")'!n55")</f>
        <v>1</v>
      </c>
      <c r="O55" s="22">
        <f ca="1">INDIRECT("'("&amp;$A$4&amp;")'!o55")</f>
        <v>0</v>
      </c>
      <c r="P55" s="23">
        <f t="shared" ca="1" si="18"/>
        <v>32.68181818181818</v>
      </c>
      <c r="Q55" s="22"/>
      <c r="R55" s="21">
        <f t="shared" ca="1" si="19"/>
        <v>14</v>
      </c>
      <c r="S55" s="21">
        <f t="shared" ca="1" si="20"/>
        <v>55</v>
      </c>
      <c r="T55" s="21">
        <f t="shared" ca="1" si="21"/>
        <v>16</v>
      </c>
      <c r="U55" s="21">
        <f t="shared" ca="1" si="22"/>
        <v>2</v>
      </c>
      <c r="V55" s="21">
        <f t="shared" ca="1" si="23"/>
        <v>1</v>
      </c>
      <c r="W55" s="21">
        <f t="shared" ca="1" si="24"/>
        <v>0</v>
      </c>
      <c r="X55" s="23">
        <f t="shared" ca="1" si="27"/>
        <v>31.079545454545453</v>
      </c>
      <c r="Y55" s="22"/>
      <c r="Z55" s="22">
        <f ca="1">INDIRECT("'("&amp;$A$4&amp;")'!z55")</f>
        <v>0</v>
      </c>
      <c r="AA55" s="22">
        <f ca="1">INDIRECT("'("&amp;$A$4&amp;")'!aa55")</f>
        <v>3</v>
      </c>
      <c r="AB55" s="22">
        <f ca="1">INDIRECT("'("&amp;$A$4&amp;")'!ab55")</f>
        <v>1</v>
      </c>
      <c r="AC55" s="22">
        <f ca="1">INDIRECT("'("&amp;$A$4&amp;")'!ac55")</f>
        <v>1</v>
      </c>
      <c r="AD55" s="22">
        <f ca="1">INDIRECT("'("&amp;$A$4&amp;")'!ad55")</f>
        <v>0</v>
      </c>
      <c r="AE55" s="22">
        <f ca="1">INDIRECT("'("&amp;$A$4&amp;")'!ae55")</f>
        <v>0</v>
      </c>
      <c r="AF55" s="23">
        <f t="shared" ca="1" si="28"/>
        <v>36.200000000000003</v>
      </c>
      <c r="AG55" s="22"/>
      <c r="AH55" s="22">
        <f ca="1">INDIRECT("'("&amp;$A$4&amp;")'!ah55")</f>
        <v>4</v>
      </c>
      <c r="AI55" s="22">
        <f ca="1">INDIRECT("'("&amp;$A$4&amp;")'!ai55")</f>
        <v>16</v>
      </c>
      <c r="AJ55" s="22">
        <f ca="1">INDIRECT("'("&amp;$A$4&amp;")'!aj55")</f>
        <v>11</v>
      </c>
      <c r="AK55" s="22">
        <f ca="1">INDIRECT("'("&amp;$A$4&amp;")'!ak55")</f>
        <v>10</v>
      </c>
      <c r="AL55" s="22">
        <f ca="1">INDIRECT("'("&amp;$A$4&amp;")'!al55")</f>
        <v>3</v>
      </c>
      <c r="AM55" s="22">
        <f ca="1">INDIRECT("'("&amp;$A$4&amp;")'!am55")</f>
        <v>0</v>
      </c>
      <c r="AN55" s="23">
        <f t="shared" ca="1" si="29"/>
        <v>38.147727272727273</v>
      </c>
      <c r="AO55" s="22"/>
      <c r="AP55" s="21">
        <f t="shared" ca="1" si="30"/>
        <v>18</v>
      </c>
      <c r="AQ55" s="21">
        <f t="shared" ca="1" si="31"/>
        <v>74</v>
      </c>
      <c r="AR55" s="21">
        <f t="shared" ca="1" si="32"/>
        <v>28</v>
      </c>
      <c r="AS55" s="21">
        <f t="shared" ca="1" si="33"/>
        <v>13</v>
      </c>
      <c r="AT55" s="21">
        <f t="shared" ca="1" si="34"/>
        <v>4</v>
      </c>
      <c r="AU55" s="21">
        <f t="shared" ca="1" si="35"/>
        <v>0</v>
      </c>
      <c r="AV55" s="23">
        <f t="shared" ca="1" si="36"/>
        <v>33.536496350364963</v>
      </c>
      <c r="AW55" s="17"/>
      <c r="AX55" s="17"/>
      <c r="AY55" s="17"/>
      <c r="AZ55" s="17"/>
      <c r="BA55" s="17"/>
      <c r="BB55" s="17"/>
      <c r="BC55" s="17"/>
      <c r="BD55" s="17"/>
      <c r="BE55" s="17"/>
    </row>
    <row r="56" spans="1:57" s="7" customFormat="1" ht="15" customHeight="1" thickBot="1" x14ac:dyDescent="0.4">
      <c r="A56" s="25" t="s">
        <v>61</v>
      </c>
      <c r="B56" s="22">
        <f ca="1">INDIRECT("'("&amp;$A$4&amp;")'!b56")</f>
        <v>80</v>
      </c>
      <c r="C56" s="22">
        <f ca="1">INDIRECT("'("&amp;$A$4&amp;")'!c56")</f>
        <v>283</v>
      </c>
      <c r="D56" s="22">
        <f ca="1">INDIRECT("'("&amp;$A$4&amp;")'!d56")</f>
        <v>46</v>
      </c>
      <c r="E56" s="22">
        <f ca="1">INDIRECT("'("&amp;$A$4&amp;")'!e56")</f>
        <v>18</v>
      </c>
      <c r="F56" s="22">
        <f ca="1">INDIRECT("'("&amp;$A$4&amp;")'!f56")</f>
        <v>1</v>
      </c>
      <c r="G56" s="22">
        <f ca="1">INDIRECT("'("&amp;$A$4&amp;")'!g56")</f>
        <v>0</v>
      </c>
      <c r="H56" s="23">
        <f t="shared" ca="1" si="16"/>
        <v>30.182242990654206</v>
      </c>
      <c r="I56" s="26"/>
      <c r="J56" s="22">
        <f ca="1">INDIRECT("'("&amp;$A$4&amp;")'!j56")</f>
        <v>0</v>
      </c>
      <c r="K56" s="22">
        <f ca="1">INDIRECT("'("&amp;$A$4&amp;")'!k56")</f>
        <v>0</v>
      </c>
      <c r="L56" s="22">
        <f ca="1">INDIRECT("'("&amp;$A$4&amp;")'!l56")</f>
        <v>0</v>
      </c>
      <c r="M56" s="22">
        <f ca="1">INDIRECT("'("&amp;$A$4&amp;")'!m56")</f>
        <v>0</v>
      </c>
      <c r="N56" s="22">
        <f ca="1">INDIRECT("'("&amp;$A$4&amp;")'!n56")</f>
        <v>0</v>
      </c>
      <c r="O56" s="22">
        <f ca="1">INDIRECT("'("&amp;$A$4&amp;")'!o56")</f>
        <v>0</v>
      </c>
      <c r="P56" s="23" t="str">
        <f t="shared" ca="1" si="18"/>
        <v>-</v>
      </c>
      <c r="Q56" s="26"/>
      <c r="R56" s="21">
        <f t="shared" ca="1" si="19"/>
        <v>80</v>
      </c>
      <c r="S56" s="21">
        <f t="shared" ca="1" si="20"/>
        <v>283</v>
      </c>
      <c r="T56" s="21">
        <f t="shared" ca="1" si="21"/>
        <v>46</v>
      </c>
      <c r="U56" s="21">
        <f t="shared" ca="1" si="22"/>
        <v>18</v>
      </c>
      <c r="V56" s="21">
        <f t="shared" ca="1" si="23"/>
        <v>1</v>
      </c>
      <c r="W56" s="21">
        <f t="shared" ca="1" si="24"/>
        <v>0</v>
      </c>
      <c r="X56" s="23">
        <f t="shared" ca="1" si="27"/>
        <v>30.182242990654206</v>
      </c>
      <c r="Y56" s="26"/>
      <c r="Z56" s="22">
        <f ca="1">INDIRECT("'("&amp;$A$4&amp;")'!z56")</f>
        <v>2</v>
      </c>
      <c r="AA56" s="22">
        <f ca="1">INDIRECT("'("&amp;$A$4&amp;")'!aa56")</f>
        <v>1</v>
      </c>
      <c r="AB56" s="22">
        <f ca="1">INDIRECT("'("&amp;$A$4&amp;")'!ab56")</f>
        <v>1</v>
      </c>
      <c r="AC56" s="22">
        <f ca="1">INDIRECT("'("&amp;$A$4&amp;")'!ac56")</f>
        <v>1</v>
      </c>
      <c r="AD56" s="22">
        <f ca="1">INDIRECT("'("&amp;$A$4&amp;")'!ad56")</f>
        <v>0</v>
      </c>
      <c r="AE56" s="22">
        <f ca="1">INDIRECT("'("&amp;$A$4&amp;")'!ae56")</f>
        <v>0</v>
      </c>
      <c r="AF56" s="23">
        <f t="shared" ca="1" si="28"/>
        <v>32.200000000000003</v>
      </c>
      <c r="AG56" s="26"/>
      <c r="AH56" s="22">
        <f ca="1">INDIRECT("'("&amp;$A$4&amp;")'!ah56")</f>
        <v>13</v>
      </c>
      <c r="AI56" s="22">
        <f ca="1">INDIRECT("'("&amp;$A$4&amp;")'!ai56")</f>
        <v>39</v>
      </c>
      <c r="AJ56" s="22">
        <f ca="1">INDIRECT("'("&amp;$A$4&amp;")'!aj56")</f>
        <v>20</v>
      </c>
      <c r="AK56" s="22">
        <f ca="1">INDIRECT("'("&amp;$A$4&amp;")'!ak56")</f>
        <v>20</v>
      </c>
      <c r="AL56" s="22">
        <f ca="1">INDIRECT("'("&amp;$A$4&amp;")'!al56")</f>
        <v>16</v>
      </c>
      <c r="AM56" s="22">
        <f ca="1">INDIRECT("'("&amp;$A$4&amp;")'!am56")</f>
        <v>0</v>
      </c>
      <c r="AN56" s="23">
        <f t="shared" ca="1" si="29"/>
        <v>38.388888888888886</v>
      </c>
      <c r="AO56" s="26"/>
      <c r="AP56" s="29">
        <f t="shared" ca="1" si="30"/>
        <v>95</v>
      </c>
      <c r="AQ56" s="29">
        <f t="shared" ca="1" si="31"/>
        <v>323</v>
      </c>
      <c r="AR56" s="29">
        <f t="shared" ca="1" si="32"/>
        <v>67</v>
      </c>
      <c r="AS56" s="29">
        <f t="shared" ca="1" si="33"/>
        <v>39</v>
      </c>
      <c r="AT56" s="29">
        <f t="shared" ca="1" si="34"/>
        <v>17</v>
      </c>
      <c r="AU56" s="29">
        <f t="shared" ca="1" si="35"/>
        <v>0</v>
      </c>
      <c r="AV56" s="23">
        <f t="shared" ca="1" si="36"/>
        <v>31.839186691312381</v>
      </c>
      <c r="AW56" s="17"/>
      <c r="AX56" s="17"/>
      <c r="AY56" s="17"/>
      <c r="AZ56" s="17"/>
      <c r="BA56" s="17"/>
      <c r="BB56" s="17"/>
      <c r="BC56" s="17"/>
      <c r="BD56" s="17"/>
      <c r="BE56" s="17"/>
    </row>
    <row r="57" spans="1:57" s="7" customFormat="1" ht="15" customHeight="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17"/>
      <c r="AX57" s="17"/>
      <c r="AY57" s="17"/>
      <c r="AZ57" s="17"/>
      <c r="BA57" s="17"/>
      <c r="BB57" s="17"/>
      <c r="BC57" s="17"/>
      <c r="BD57" s="17"/>
      <c r="BE57" s="17"/>
    </row>
  </sheetData>
  <mergeCells count="9">
    <mergeCell ref="A1:AV1"/>
    <mergeCell ref="A4:L4"/>
    <mergeCell ref="B5:AV5"/>
    <mergeCell ref="B6:H6"/>
    <mergeCell ref="J6:P6"/>
    <mergeCell ref="R6:X6"/>
    <mergeCell ref="Z6:AF6"/>
    <mergeCell ref="AH6:AN6"/>
    <mergeCell ref="AP6:A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(2016-17)</vt:lpstr>
      <vt:lpstr>2017-18_working</vt:lpstr>
      <vt:lpstr>(2017-18)</vt:lpstr>
      <vt:lpstr>2018-19_working</vt:lpstr>
      <vt:lpstr>(2018-19)</vt:lpstr>
      <vt:lpstr>raw</vt:lpstr>
      <vt:lpstr>macro</vt:lpstr>
      <vt:lpstr>QA</vt:lpstr>
      <vt:lpstr>FIRE1122_raw</vt:lpstr>
      <vt:lpstr>stats release</vt:lpstr>
      <vt:lpstr>FIRE1122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FIRE1122: Staff joining fire authorities, by fire and rescue authority, age and role</dc:title>
  <dc:creator/>
  <cp:keywords>data tables, age, role, 2019</cp:keywords>
  <cp:lastModifiedBy/>
  <dcterms:created xsi:type="dcterms:W3CDTF">2019-10-29T14:52:01Z</dcterms:created>
  <dcterms:modified xsi:type="dcterms:W3CDTF">2019-10-29T14:53:11Z</dcterms:modified>
</cp:coreProperties>
</file>