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D7AE5C35-7B48-48A6-BF97-ED7C6CD7A5DC}" xr6:coauthVersionLast="31" xr6:coauthVersionMax="41" xr10:uidLastSave="{00000000-0000-0000-0000-000000000000}"/>
  <workbookProtection workbookAlgorithmName="SHA-512" workbookHashValue="93yZrxLupgKiAd04GcF8NYKx8rMDnCnwRh0Awx/AY1TZym5cNchWHERdeO7u7APqSo813LWUjfx2jQIZGogUhQ==" workbookSaltValue="1y0CoD7ISwL+DUrHBPkEjA==" workbookSpinCount="100000" lockStructure="1"/>
  <bookViews>
    <workbookView xWindow="-120" yWindow="-120" windowWidth="25440" windowHeight="15390" firstSheet="9" activeTab="9" xr2:uid="{00000000-000D-0000-FFFF-FFFF00000000}"/>
  </bookViews>
  <sheets>
    <sheet name="(2016-17)" sheetId="1" state="hidden" r:id="rId1"/>
    <sheet name="2017-18_working" sheetId="3" state="hidden" r:id="rId2"/>
    <sheet name="2018-19_working" sheetId="10" state="hidden" r:id="rId3"/>
    <sheet name="(2017-18)" sheetId="4" state="hidden" r:id="rId4"/>
    <sheet name="(2018-19)" sheetId="12" state="hidden" r:id="rId5"/>
    <sheet name="FIRE1121_raw" sheetId="5" state="hidden" r:id="rId6"/>
    <sheet name="raw" sheetId="8" state="hidden" r:id="rId7"/>
    <sheet name="macro" sheetId="9" state="hidden" r:id="rId8"/>
    <sheet name="QA" sheetId="7" state="hidden" r:id="rId9"/>
    <sheet name="FIRE1121" sheetId="6" r:id="rId10"/>
  </sheets>
  <definedNames>
    <definedName name="_xlnm._FilterDatabase" localSheetId="6" hidden="1">raw!$A$1:$G$1473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7" l="1"/>
  <c r="E19" i="7"/>
  <c r="E18" i="7"/>
  <c r="E17" i="7"/>
  <c r="E16" i="7"/>
  <c r="E15" i="7"/>
  <c r="E14" i="7"/>
  <c r="E13" i="7"/>
  <c r="E12" i="7"/>
  <c r="E11" i="7"/>
  <c r="E10" i="7"/>
  <c r="E9" i="7"/>
  <c r="E8" i="7"/>
  <c r="E7" i="7"/>
  <c r="E6" i="7"/>
  <c r="E5" i="7"/>
  <c r="E4" i="7"/>
  <c r="C22" i="7" l="1"/>
  <c r="AJ56" i="10" l="1"/>
  <c r="AQ56" i="12" s="1"/>
  <c r="AI56" i="10"/>
  <c r="AH56" i="10"/>
  <c r="AG56" i="10"/>
  <c r="AO56" i="12" s="1"/>
  <c r="AF56" i="10"/>
  <c r="AN56" i="12" s="1"/>
  <c r="AE56" i="10"/>
  <c r="AM56" i="12" s="1"/>
  <c r="AD56" i="10"/>
  <c r="AC56" i="10"/>
  <c r="AJ55" i="10"/>
  <c r="AQ55" i="12" s="1"/>
  <c r="AI55" i="10"/>
  <c r="AH55" i="10"/>
  <c r="AG55" i="10"/>
  <c r="AO55" i="12" s="1"/>
  <c r="AF55" i="10"/>
  <c r="AN55" i="12" s="1"/>
  <c r="AE55" i="10"/>
  <c r="AM55" i="12" s="1"/>
  <c r="AD55" i="10"/>
  <c r="AC55" i="10"/>
  <c r="AJ54" i="10"/>
  <c r="AQ54" i="12" s="1"/>
  <c r="AI54" i="10"/>
  <c r="AH54" i="10"/>
  <c r="AG54" i="10"/>
  <c r="AO54" i="12" s="1"/>
  <c r="AF54" i="10"/>
  <c r="AN54" i="12" s="1"/>
  <c r="AE54" i="10"/>
  <c r="AM54" i="12" s="1"/>
  <c r="AD54" i="10"/>
  <c r="AC54" i="10"/>
  <c r="AJ53" i="10"/>
  <c r="AQ53" i="12" s="1"/>
  <c r="AI53" i="10"/>
  <c r="AH53" i="10"/>
  <c r="AG53" i="10"/>
  <c r="AO53" i="12" s="1"/>
  <c r="AF53" i="10"/>
  <c r="AN53" i="12" s="1"/>
  <c r="AE53" i="10"/>
  <c r="AM53" i="12" s="1"/>
  <c r="AD53" i="10"/>
  <c r="AC53" i="10"/>
  <c r="AJ52" i="10"/>
  <c r="AQ52" i="12" s="1"/>
  <c r="AI52" i="10"/>
  <c r="AH52" i="10"/>
  <c r="AG52" i="10"/>
  <c r="AO52" i="12" s="1"/>
  <c r="AF52" i="10"/>
  <c r="AN52" i="12" s="1"/>
  <c r="AE52" i="10"/>
  <c r="AM52" i="12" s="1"/>
  <c r="AD52" i="10"/>
  <c r="AC52" i="10"/>
  <c r="AJ51" i="10"/>
  <c r="AQ51" i="12" s="1"/>
  <c r="AI51" i="10"/>
  <c r="AH51" i="10"/>
  <c r="AG51" i="10"/>
  <c r="AO51" i="12" s="1"/>
  <c r="AF51" i="10"/>
  <c r="AN51" i="12" s="1"/>
  <c r="AE51" i="10"/>
  <c r="AM51" i="12" s="1"/>
  <c r="AD51" i="10"/>
  <c r="AC51" i="10"/>
  <c r="AJ50" i="10"/>
  <c r="AQ50" i="12" s="1"/>
  <c r="AI50" i="10"/>
  <c r="AH50" i="10"/>
  <c r="AG50" i="10"/>
  <c r="AF50" i="10"/>
  <c r="AN50" i="12" s="1"/>
  <c r="AE50" i="10"/>
  <c r="AM50" i="12" s="1"/>
  <c r="AD50" i="10"/>
  <c r="AC50" i="10"/>
  <c r="AC11" i="10"/>
  <c r="AD11" i="10"/>
  <c r="AE11" i="10"/>
  <c r="AM11" i="12" s="1"/>
  <c r="AF11" i="10"/>
  <c r="AN11" i="12" s="1"/>
  <c r="AG11" i="10"/>
  <c r="AO11" i="12" s="1"/>
  <c r="AH11" i="10"/>
  <c r="AI11" i="10"/>
  <c r="AJ11" i="10"/>
  <c r="AQ11" i="12" s="1"/>
  <c r="AC12" i="10"/>
  <c r="AD12" i="10"/>
  <c r="AE12" i="10"/>
  <c r="AM12" i="12" s="1"/>
  <c r="AF12" i="10"/>
  <c r="AN12" i="12" s="1"/>
  <c r="AG12" i="10"/>
  <c r="AO12" i="12" s="1"/>
  <c r="AH12" i="10"/>
  <c r="AI12" i="10"/>
  <c r="AJ12" i="10"/>
  <c r="AQ12" i="12" s="1"/>
  <c r="AC13" i="10"/>
  <c r="AD13" i="10"/>
  <c r="AE13" i="10"/>
  <c r="AM13" i="12" s="1"/>
  <c r="AF13" i="10"/>
  <c r="AN13" i="12" s="1"/>
  <c r="AG13" i="10"/>
  <c r="AO13" i="12" s="1"/>
  <c r="AH13" i="10"/>
  <c r="AI13" i="10"/>
  <c r="AJ13" i="10"/>
  <c r="AQ13" i="12" s="1"/>
  <c r="AC14" i="10"/>
  <c r="AD14" i="10"/>
  <c r="AE14" i="10"/>
  <c r="AM14" i="12" s="1"/>
  <c r="AF14" i="10"/>
  <c r="AN14" i="12" s="1"/>
  <c r="AG14" i="10"/>
  <c r="AO14" i="12" s="1"/>
  <c r="AH14" i="10"/>
  <c r="AI14" i="10"/>
  <c r="AJ14" i="10"/>
  <c r="AQ14" i="12" s="1"/>
  <c r="AC15" i="10"/>
  <c r="AD15" i="10"/>
  <c r="AE15" i="10"/>
  <c r="AM15" i="12" s="1"/>
  <c r="AF15" i="10"/>
  <c r="AN15" i="12" s="1"/>
  <c r="AG15" i="10"/>
  <c r="AO15" i="12" s="1"/>
  <c r="AH15" i="10"/>
  <c r="AI15" i="10"/>
  <c r="AJ15" i="10"/>
  <c r="AQ15" i="12" s="1"/>
  <c r="AC16" i="10"/>
  <c r="AD16" i="10"/>
  <c r="AE16" i="10"/>
  <c r="AM16" i="12" s="1"/>
  <c r="AF16" i="10"/>
  <c r="AN16" i="12" s="1"/>
  <c r="AG16" i="10"/>
  <c r="AO16" i="12" s="1"/>
  <c r="AH16" i="10"/>
  <c r="AI16" i="10"/>
  <c r="AJ16" i="10"/>
  <c r="AQ16" i="12" s="1"/>
  <c r="AC17" i="10"/>
  <c r="AD17" i="10"/>
  <c r="AE17" i="10"/>
  <c r="AM17" i="12" s="1"/>
  <c r="AF17" i="10"/>
  <c r="AN17" i="12" s="1"/>
  <c r="AG17" i="10"/>
  <c r="AO17" i="12" s="1"/>
  <c r="AH17" i="10"/>
  <c r="AI17" i="10"/>
  <c r="AJ17" i="10"/>
  <c r="AQ17" i="12" s="1"/>
  <c r="AC18" i="10"/>
  <c r="AD18" i="10"/>
  <c r="AE18" i="10"/>
  <c r="AM18" i="12" s="1"/>
  <c r="AF18" i="10"/>
  <c r="AN18" i="12" s="1"/>
  <c r="AG18" i="10"/>
  <c r="AO18" i="12" s="1"/>
  <c r="AH18" i="10"/>
  <c r="AI18" i="10"/>
  <c r="AJ18" i="10"/>
  <c r="AQ18" i="12" s="1"/>
  <c r="AC19" i="10"/>
  <c r="AD19" i="10"/>
  <c r="AE19" i="10"/>
  <c r="AM19" i="12" s="1"/>
  <c r="AF19" i="10"/>
  <c r="AN19" i="12" s="1"/>
  <c r="AG19" i="10"/>
  <c r="AO19" i="12" s="1"/>
  <c r="AH19" i="10"/>
  <c r="AI19" i="10"/>
  <c r="AJ19" i="10"/>
  <c r="AQ19" i="12" s="1"/>
  <c r="AC20" i="10"/>
  <c r="AD20" i="10"/>
  <c r="AE20" i="10"/>
  <c r="AM20" i="12" s="1"/>
  <c r="AF20" i="10"/>
  <c r="AN20" i="12" s="1"/>
  <c r="AG20" i="10"/>
  <c r="AO20" i="12" s="1"/>
  <c r="AH20" i="10"/>
  <c r="AI20" i="10"/>
  <c r="AJ20" i="10"/>
  <c r="AQ20" i="12" s="1"/>
  <c r="AC21" i="10"/>
  <c r="AD21" i="10"/>
  <c r="AE21" i="10"/>
  <c r="AM21" i="12" s="1"/>
  <c r="AF21" i="10"/>
  <c r="AN21" i="12" s="1"/>
  <c r="AG21" i="10"/>
  <c r="AO21" i="12" s="1"/>
  <c r="AH21" i="10"/>
  <c r="AI21" i="10"/>
  <c r="AJ21" i="10"/>
  <c r="AQ21" i="12" s="1"/>
  <c r="AC22" i="10"/>
  <c r="AD22" i="10"/>
  <c r="AE22" i="10"/>
  <c r="AM22" i="12" s="1"/>
  <c r="AF22" i="10"/>
  <c r="AN22" i="12" s="1"/>
  <c r="AG22" i="10"/>
  <c r="AO22" i="12" s="1"/>
  <c r="AH22" i="10"/>
  <c r="AI22" i="10"/>
  <c r="AJ22" i="10"/>
  <c r="AQ22" i="12" s="1"/>
  <c r="AC23" i="10"/>
  <c r="AD23" i="10"/>
  <c r="AE23" i="10"/>
  <c r="AM23" i="12" s="1"/>
  <c r="AF23" i="10"/>
  <c r="AN23" i="12" s="1"/>
  <c r="AG23" i="10"/>
  <c r="AO23" i="12" s="1"/>
  <c r="AH23" i="10"/>
  <c r="AI23" i="10"/>
  <c r="AJ23" i="10"/>
  <c r="AQ23" i="12" s="1"/>
  <c r="AC24" i="10"/>
  <c r="AD24" i="10"/>
  <c r="AE24" i="10"/>
  <c r="AM24" i="12" s="1"/>
  <c r="AF24" i="10"/>
  <c r="AN24" i="12" s="1"/>
  <c r="AG24" i="10"/>
  <c r="AO24" i="12" s="1"/>
  <c r="AH24" i="10"/>
  <c r="AI24" i="10"/>
  <c r="AJ24" i="10"/>
  <c r="AQ24" i="12" s="1"/>
  <c r="AC25" i="10"/>
  <c r="AD25" i="10"/>
  <c r="AE25" i="10"/>
  <c r="AM25" i="12" s="1"/>
  <c r="AF25" i="10"/>
  <c r="AN25" i="12" s="1"/>
  <c r="AG25" i="10"/>
  <c r="AO25" i="12" s="1"/>
  <c r="AH25" i="10"/>
  <c r="AI25" i="10"/>
  <c r="AJ25" i="10"/>
  <c r="AQ25" i="12" s="1"/>
  <c r="AC26" i="10"/>
  <c r="AD26" i="10"/>
  <c r="AE26" i="10"/>
  <c r="AM26" i="12" s="1"/>
  <c r="AF26" i="10"/>
  <c r="AN26" i="12" s="1"/>
  <c r="AG26" i="10"/>
  <c r="AO26" i="12" s="1"/>
  <c r="AH26" i="10"/>
  <c r="AI26" i="10"/>
  <c r="AJ26" i="10"/>
  <c r="AQ26" i="12" s="1"/>
  <c r="AC27" i="10"/>
  <c r="AD27" i="10"/>
  <c r="AE27" i="10"/>
  <c r="AM27" i="12" s="1"/>
  <c r="AF27" i="10"/>
  <c r="AN27" i="12" s="1"/>
  <c r="AG27" i="10"/>
  <c r="AO27" i="12" s="1"/>
  <c r="AH27" i="10"/>
  <c r="AI27" i="10"/>
  <c r="AJ27" i="10"/>
  <c r="AQ27" i="12" s="1"/>
  <c r="AC28" i="10"/>
  <c r="AD28" i="10"/>
  <c r="AE28" i="10"/>
  <c r="AM28" i="12" s="1"/>
  <c r="AF28" i="10"/>
  <c r="AN28" i="12" s="1"/>
  <c r="AG28" i="10"/>
  <c r="AO28" i="12" s="1"/>
  <c r="AH28" i="10"/>
  <c r="AI28" i="10"/>
  <c r="AJ28" i="10"/>
  <c r="AQ28" i="12" s="1"/>
  <c r="AC29" i="10"/>
  <c r="AD29" i="10"/>
  <c r="AE29" i="10"/>
  <c r="AM29" i="12" s="1"/>
  <c r="AF29" i="10"/>
  <c r="AN29" i="12" s="1"/>
  <c r="AG29" i="10"/>
  <c r="AO29" i="12" s="1"/>
  <c r="AH29" i="10"/>
  <c r="AI29" i="10"/>
  <c r="AJ29" i="10"/>
  <c r="AQ29" i="12" s="1"/>
  <c r="AC30" i="10"/>
  <c r="AD30" i="10"/>
  <c r="AE30" i="10"/>
  <c r="AM30" i="12" s="1"/>
  <c r="AF30" i="10"/>
  <c r="AN30" i="12" s="1"/>
  <c r="AG30" i="10"/>
  <c r="AO30" i="12" s="1"/>
  <c r="AH30" i="10"/>
  <c r="AI30" i="10"/>
  <c r="AJ30" i="10"/>
  <c r="AQ30" i="12" s="1"/>
  <c r="AC31" i="10"/>
  <c r="AD31" i="10"/>
  <c r="AE31" i="10"/>
  <c r="AM31" i="12" s="1"/>
  <c r="AF31" i="10"/>
  <c r="AN31" i="12" s="1"/>
  <c r="AG31" i="10"/>
  <c r="AO31" i="12" s="1"/>
  <c r="AH31" i="10"/>
  <c r="AI31" i="10"/>
  <c r="AJ31" i="10"/>
  <c r="AQ31" i="12" s="1"/>
  <c r="AC32" i="10"/>
  <c r="AD32" i="10"/>
  <c r="AE32" i="10"/>
  <c r="AM32" i="12" s="1"/>
  <c r="AF32" i="10"/>
  <c r="AN32" i="12" s="1"/>
  <c r="AG32" i="10"/>
  <c r="AO32" i="12" s="1"/>
  <c r="AH32" i="10"/>
  <c r="AI32" i="10"/>
  <c r="AJ32" i="10"/>
  <c r="AQ32" i="12" s="1"/>
  <c r="AC33" i="10"/>
  <c r="AD33" i="10"/>
  <c r="AE33" i="10"/>
  <c r="AM33" i="12" s="1"/>
  <c r="AF33" i="10"/>
  <c r="AN33" i="12" s="1"/>
  <c r="AG33" i="10"/>
  <c r="AO33" i="12" s="1"/>
  <c r="AH33" i="10"/>
  <c r="AI33" i="10"/>
  <c r="AJ33" i="10"/>
  <c r="AQ33" i="12" s="1"/>
  <c r="AC34" i="10"/>
  <c r="AD34" i="10"/>
  <c r="AE34" i="10"/>
  <c r="AM34" i="12" s="1"/>
  <c r="AF34" i="10"/>
  <c r="AN34" i="12" s="1"/>
  <c r="AG34" i="10"/>
  <c r="AO34" i="12" s="1"/>
  <c r="AH34" i="10"/>
  <c r="AI34" i="10"/>
  <c r="AJ34" i="10"/>
  <c r="AQ34" i="12" s="1"/>
  <c r="AC35" i="10"/>
  <c r="AD35" i="10"/>
  <c r="AE35" i="10"/>
  <c r="AM35" i="12" s="1"/>
  <c r="AF35" i="10"/>
  <c r="AN35" i="12" s="1"/>
  <c r="AG35" i="10"/>
  <c r="AO35" i="12" s="1"/>
  <c r="AH35" i="10"/>
  <c r="AI35" i="10"/>
  <c r="AJ35" i="10"/>
  <c r="AQ35" i="12" s="1"/>
  <c r="AC36" i="10"/>
  <c r="AD36" i="10"/>
  <c r="AE36" i="10"/>
  <c r="AM36" i="12" s="1"/>
  <c r="AF36" i="10"/>
  <c r="AG36" i="10"/>
  <c r="AO36" i="12" s="1"/>
  <c r="AH36" i="10"/>
  <c r="AI36" i="10"/>
  <c r="AJ36" i="10"/>
  <c r="AQ36" i="12" s="1"/>
  <c r="AC37" i="10"/>
  <c r="AD37" i="10"/>
  <c r="AE37" i="10"/>
  <c r="AM37" i="12" s="1"/>
  <c r="AF37" i="10"/>
  <c r="AN37" i="12" s="1"/>
  <c r="AG37" i="10"/>
  <c r="AO37" i="12" s="1"/>
  <c r="AH37" i="10"/>
  <c r="AI37" i="10"/>
  <c r="AJ37" i="10"/>
  <c r="AQ37" i="12" s="1"/>
  <c r="AC38" i="10"/>
  <c r="AD38" i="10"/>
  <c r="AE38" i="10"/>
  <c r="AM38" i="12" s="1"/>
  <c r="AF38" i="10"/>
  <c r="AN38" i="12" s="1"/>
  <c r="AG38" i="10"/>
  <c r="AO38" i="12" s="1"/>
  <c r="AH38" i="10"/>
  <c r="AI38" i="10"/>
  <c r="AJ38" i="10"/>
  <c r="AC39" i="10"/>
  <c r="AD39" i="10"/>
  <c r="AE39" i="10"/>
  <c r="AM39" i="12" s="1"/>
  <c r="AF39" i="10"/>
  <c r="AN39" i="12" s="1"/>
  <c r="AG39" i="10"/>
  <c r="AO39" i="12" s="1"/>
  <c r="AH39" i="10"/>
  <c r="AI39" i="10"/>
  <c r="AJ39" i="10"/>
  <c r="AQ39" i="12" s="1"/>
  <c r="AC40" i="10"/>
  <c r="AD40" i="10"/>
  <c r="AE40" i="10"/>
  <c r="AM40" i="12" s="1"/>
  <c r="AF40" i="10"/>
  <c r="AN40" i="12" s="1"/>
  <c r="AG40" i="10"/>
  <c r="AO40" i="12" s="1"/>
  <c r="AH40" i="10"/>
  <c r="AI40" i="10"/>
  <c r="AJ40" i="10"/>
  <c r="AQ40" i="12" s="1"/>
  <c r="AC41" i="10"/>
  <c r="AD41" i="10"/>
  <c r="AE41" i="10"/>
  <c r="AM41" i="12" s="1"/>
  <c r="AF41" i="10"/>
  <c r="AN41" i="12" s="1"/>
  <c r="AG41" i="10"/>
  <c r="AO41" i="12" s="1"/>
  <c r="AH41" i="10"/>
  <c r="AI41" i="10"/>
  <c r="AJ41" i="10"/>
  <c r="AQ41" i="12" s="1"/>
  <c r="AC42" i="10"/>
  <c r="AD42" i="10"/>
  <c r="AE42" i="10"/>
  <c r="AM42" i="12" s="1"/>
  <c r="AF42" i="10"/>
  <c r="AN42" i="12" s="1"/>
  <c r="AG42" i="10"/>
  <c r="AO42" i="12" s="1"/>
  <c r="AH42" i="10"/>
  <c r="AI42" i="10"/>
  <c r="AJ42" i="10"/>
  <c r="AQ42" i="12" s="1"/>
  <c r="AC43" i="10"/>
  <c r="AD43" i="10"/>
  <c r="AE43" i="10"/>
  <c r="AM43" i="12" s="1"/>
  <c r="AF43" i="10"/>
  <c r="AN43" i="12" s="1"/>
  <c r="AG43" i="10"/>
  <c r="AO43" i="12" s="1"/>
  <c r="AH43" i="10"/>
  <c r="AI43" i="10"/>
  <c r="AJ43" i="10"/>
  <c r="AQ43" i="12" s="1"/>
  <c r="AC44" i="10"/>
  <c r="AD44" i="10"/>
  <c r="AE44" i="10"/>
  <c r="AM44" i="12" s="1"/>
  <c r="AF44" i="10"/>
  <c r="AN44" i="12" s="1"/>
  <c r="AG44" i="10"/>
  <c r="AO44" i="12" s="1"/>
  <c r="AH44" i="10"/>
  <c r="AI44" i="10"/>
  <c r="AJ44" i="10"/>
  <c r="AQ44" i="12" s="1"/>
  <c r="AC45" i="10"/>
  <c r="AD45" i="10"/>
  <c r="AE45" i="10"/>
  <c r="AM45" i="12" s="1"/>
  <c r="AF45" i="10"/>
  <c r="AN45" i="12" s="1"/>
  <c r="AG45" i="10"/>
  <c r="AO45" i="12" s="1"/>
  <c r="AH45" i="10"/>
  <c r="AI45" i="10"/>
  <c r="AJ45" i="10"/>
  <c r="AQ45" i="12" s="1"/>
  <c r="AC46" i="10"/>
  <c r="AD46" i="10"/>
  <c r="AE46" i="10"/>
  <c r="AM46" i="12" s="1"/>
  <c r="AF46" i="10"/>
  <c r="AN46" i="12" s="1"/>
  <c r="AG46" i="10"/>
  <c r="AO46" i="12" s="1"/>
  <c r="AH46" i="10"/>
  <c r="AI46" i="10"/>
  <c r="AJ46" i="10"/>
  <c r="AQ46" i="12" s="1"/>
  <c r="AC47" i="10"/>
  <c r="AD47" i="10"/>
  <c r="AE47" i="10"/>
  <c r="AM47" i="12" s="1"/>
  <c r="AF47" i="10"/>
  <c r="AN47" i="12" s="1"/>
  <c r="AG47" i="10"/>
  <c r="AO47" i="12" s="1"/>
  <c r="AH47" i="10"/>
  <c r="AI47" i="10"/>
  <c r="AJ47" i="10"/>
  <c r="AQ47" i="12" s="1"/>
  <c r="AC48" i="10"/>
  <c r="AD48" i="10"/>
  <c r="AE48" i="10"/>
  <c r="AF48" i="10"/>
  <c r="AN48" i="12" s="1"/>
  <c r="AG48" i="10"/>
  <c r="AO48" i="12" s="1"/>
  <c r="AH48" i="10"/>
  <c r="AI48" i="10"/>
  <c r="AJ48" i="10"/>
  <c r="AQ48" i="12" s="1"/>
  <c r="AD10" i="10"/>
  <c r="AE10" i="10"/>
  <c r="AM10" i="12" s="1"/>
  <c r="AF10" i="10"/>
  <c r="AN10" i="12" s="1"/>
  <c r="AG10" i="10"/>
  <c r="AH10" i="10"/>
  <c r="AI10" i="10"/>
  <c r="AJ10" i="10"/>
  <c r="AQ10" i="12" s="1"/>
  <c r="AC10" i="10"/>
  <c r="AA56" i="10"/>
  <c r="AH56" i="12" s="1"/>
  <c r="Z56" i="10"/>
  <c r="Y56" i="10"/>
  <c r="X56" i="10"/>
  <c r="AF56" i="12" s="1"/>
  <c r="W56" i="10"/>
  <c r="AE56" i="12" s="1"/>
  <c r="V56" i="10"/>
  <c r="AD56" i="12" s="1"/>
  <c r="U56" i="10"/>
  <c r="T56" i="10"/>
  <c r="AA55" i="10"/>
  <c r="AH55" i="12" s="1"/>
  <c r="Z55" i="10"/>
  <c r="Y55" i="10"/>
  <c r="X55" i="10"/>
  <c r="AF55" i="12" s="1"/>
  <c r="W55" i="10"/>
  <c r="AE55" i="12" s="1"/>
  <c r="V55" i="10"/>
  <c r="AD55" i="12" s="1"/>
  <c r="U55" i="10"/>
  <c r="T55" i="10"/>
  <c r="AA54" i="10"/>
  <c r="AH54" i="12" s="1"/>
  <c r="Z54" i="10"/>
  <c r="Y54" i="10"/>
  <c r="X54" i="10"/>
  <c r="AF54" i="12" s="1"/>
  <c r="W54" i="10"/>
  <c r="AE54" i="12" s="1"/>
  <c r="V54" i="10"/>
  <c r="AD54" i="12" s="1"/>
  <c r="U54" i="10"/>
  <c r="T54" i="10"/>
  <c r="AA53" i="10"/>
  <c r="AH53" i="12" s="1"/>
  <c r="Z53" i="10"/>
  <c r="Y53" i="10"/>
  <c r="X53" i="10"/>
  <c r="AF53" i="12" s="1"/>
  <c r="W53" i="10"/>
  <c r="AE53" i="12" s="1"/>
  <c r="V53" i="10"/>
  <c r="AD53" i="12" s="1"/>
  <c r="U53" i="10"/>
  <c r="T53" i="10"/>
  <c r="AA52" i="10"/>
  <c r="AH52" i="12" s="1"/>
  <c r="Z52" i="10"/>
  <c r="Y52" i="10"/>
  <c r="X52" i="10"/>
  <c r="AF52" i="12" s="1"/>
  <c r="W52" i="10"/>
  <c r="AE52" i="12" s="1"/>
  <c r="V52" i="10"/>
  <c r="AD52" i="12" s="1"/>
  <c r="U52" i="10"/>
  <c r="T52" i="10"/>
  <c r="AA51" i="10"/>
  <c r="AH51" i="12" s="1"/>
  <c r="Z51" i="10"/>
  <c r="Y51" i="10"/>
  <c r="X51" i="10"/>
  <c r="AF51" i="12" s="1"/>
  <c r="W51" i="10"/>
  <c r="AE51" i="12" s="1"/>
  <c r="V51" i="10"/>
  <c r="AD51" i="12" s="1"/>
  <c r="U51" i="10"/>
  <c r="T51" i="10"/>
  <c r="AA50" i="10"/>
  <c r="AH50" i="12" s="1"/>
  <c r="Z50" i="10"/>
  <c r="Y50" i="10"/>
  <c r="X50" i="10"/>
  <c r="W50" i="10"/>
  <c r="V50" i="10"/>
  <c r="U50" i="10"/>
  <c r="T50" i="10"/>
  <c r="T11" i="10"/>
  <c r="U11" i="10"/>
  <c r="V11" i="10"/>
  <c r="AD11" i="12" s="1"/>
  <c r="W11" i="10"/>
  <c r="AE11" i="12" s="1"/>
  <c r="X11" i="10"/>
  <c r="AF11" i="12" s="1"/>
  <c r="Y11" i="10"/>
  <c r="Z11" i="10"/>
  <c r="AA11" i="10"/>
  <c r="AH11" i="12" s="1"/>
  <c r="T12" i="10"/>
  <c r="U12" i="10"/>
  <c r="V12" i="10"/>
  <c r="AD12" i="12" s="1"/>
  <c r="W12" i="10"/>
  <c r="AE12" i="12" s="1"/>
  <c r="X12" i="10"/>
  <c r="AF12" i="12" s="1"/>
  <c r="Y12" i="10"/>
  <c r="Z12" i="10"/>
  <c r="AA12" i="10"/>
  <c r="AH12" i="12" s="1"/>
  <c r="T13" i="10"/>
  <c r="U13" i="10"/>
  <c r="V13" i="10"/>
  <c r="AD13" i="12" s="1"/>
  <c r="W13" i="10"/>
  <c r="AE13" i="12" s="1"/>
  <c r="X13" i="10"/>
  <c r="AF13" i="12" s="1"/>
  <c r="Y13" i="10"/>
  <c r="Z13" i="10"/>
  <c r="AA13" i="10"/>
  <c r="AH13" i="12" s="1"/>
  <c r="T14" i="10"/>
  <c r="U14" i="10"/>
  <c r="V14" i="10"/>
  <c r="AD14" i="12" s="1"/>
  <c r="W14" i="10"/>
  <c r="AE14" i="12" s="1"/>
  <c r="X14" i="10"/>
  <c r="AF14" i="12" s="1"/>
  <c r="Y14" i="10"/>
  <c r="Z14" i="10"/>
  <c r="AA14" i="10"/>
  <c r="AH14" i="12" s="1"/>
  <c r="T15" i="10"/>
  <c r="U15" i="10"/>
  <c r="V15" i="10"/>
  <c r="AD15" i="12" s="1"/>
  <c r="W15" i="10"/>
  <c r="AE15" i="12" s="1"/>
  <c r="X15" i="10"/>
  <c r="AF15" i="12" s="1"/>
  <c r="Y15" i="10"/>
  <c r="Z15" i="10"/>
  <c r="AA15" i="10"/>
  <c r="AH15" i="12" s="1"/>
  <c r="T16" i="10"/>
  <c r="U16" i="10"/>
  <c r="V16" i="10"/>
  <c r="AD16" i="12" s="1"/>
  <c r="W16" i="10"/>
  <c r="AE16" i="12" s="1"/>
  <c r="X16" i="10"/>
  <c r="AF16" i="12" s="1"/>
  <c r="Y16" i="10"/>
  <c r="Z16" i="10"/>
  <c r="AA16" i="10"/>
  <c r="AH16" i="12" s="1"/>
  <c r="T17" i="10"/>
  <c r="U17" i="10"/>
  <c r="V17" i="10"/>
  <c r="AD17" i="12" s="1"/>
  <c r="W17" i="10"/>
  <c r="AE17" i="12" s="1"/>
  <c r="X17" i="10"/>
  <c r="AF17" i="12" s="1"/>
  <c r="Y17" i="10"/>
  <c r="Z17" i="10"/>
  <c r="AA17" i="10"/>
  <c r="AH17" i="12" s="1"/>
  <c r="T18" i="10"/>
  <c r="U18" i="10"/>
  <c r="V18" i="10"/>
  <c r="AD18" i="12" s="1"/>
  <c r="W18" i="10"/>
  <c r="AE18" i="12" s="1"/>
  <c r="X18" i="10"/>
  <c r="AF18" i="12" s="1"/>
  <c r="Y18" i="10"/>
  <c r="Z18" i="10"/>
  <c r="AA18" i="10"/>
  <c r="AH18" i="12" s="1"/>
  <c r="T19" i="10"/>
  <c r="U19" i="10"/>
  <c r="V19" i="10"/>
  <c r="AD19" i="12" s="1"/>
  <c r="W19" i="10"/>
  <c r="AE19" i="12" s="1"/>
  <c r="X19" i="10"/>
  <c r="AF19" i="12" s="1"/>
  <c r="Y19" i="10"/>
  <c r="Z19" i="10"/>
  <c r="AA19" i="10"/>
  <c r="AH19" i="12" s="1"/>
  <c r="T20" i="10"/>
  <c r="U20" i="10"/>
  <c r="V20" i="10"/>
  <c r="AD20" i="12" s="1"/>
  <c r="W20" i="10"/>
  <c r="AE20" i="12" s="1"/>
  <c r="X20" i="10"/>
  <c r="AF20" i="12" s="1"/>
  <c r="Y20" i="10"/>
  <c r="Z20" i="10"/>
  <c r="AA20" i="10"/>
  <c r="AH20" i="12" s="1"/>
  <c r="T21" i="10"/>
  <c r="U21" i="10"/>
  <c r="V21" i="10"/>
  <c r="AD21" i="12" s="1"/>
  <c r="W21" i="10"/>
  <c r="AE21" i="12" s="1"/>
  <c r="X21" i="10"/>
  <c r="AF21" i="12" s="1"/>
  <c r="Y21" i="10"/>
  <c r="Z21" i="10"/>
  <c r="AA21" i="10"/>
  <c r="AH21" i="12" s="1"/>
  <c r="T22" i="10"/>
  <c r="U22" i="10"/>
  <c r="V22" i="10"/>
  <c r="AD22" i="12" s="1"/>
  <c r="W22" i="10"/>
  <c r="AE22" i="12" s="1"/>
  <c r="X22" i="10"/>
  <c r="AF22" i="12" s="1"/>
  <c r="Y22" i="10"/>
  <c r="Z22" i="10"/>
  <c r="AA22" i="10"/>
  <c r="AH22" i="12" s="1"/>
  <c r="T23" i="10"/>
  <c r="U23" i="10"/>
  <c r="V23" i="10"/>
  <c r="AD23" i="12" s="1"/>
  <c r="W23" i="10"/>
  <c r="AE23" i="12" s="1"/>
  <c r="X23" i="10"/>
  <c r="AF23" i="12" s="1"/>
  <c r="Y23" i="10"/>
  <c r="Z23" i="10"/>
  <c r="AA23" i="10"/>
  <c r="AH23" i="12" s="1"/>
  <c r="T24" i="10"/>
  <c r="U24" i="10"/>
  <c r="V24" i="10"/>
  <c r="AD24" i="12" s="1"/>
  <c r="W24" i="10"/>
  <c r="AE24" i="12" s="1"/>
  <c r="X24" i="10"/>
  <c r="AF24" i="12" s="1"/>
  <c r="Y24" i="10"/>
  <c r="Z24" i="10"/>
  <c r="AA24" i="10"/>
  <c r="AH24" i="12" s="1"/>
  <c r="T25" i="10"/>
  <c r="U25" i="10"/>
  <c r="V25" i="10"/>
  <c r="AD25" i="12" s="1"/>
  <c r="W25" i="10"/>
  <c r="AE25" i="12" s="1"/>
  <c r="X25" i="10"/>
  <c r="AF25" i="12" s="1"/>
  <c r="Y25" i="10"/>
  <c r="Z25" i="10"/>
  <c r="AA25" i="10"/>
  <c r="AH25" i="12" s="1"/>
  <c r="T26" i="10"/>
  <c r="U26" i="10"/>
  <c r="V26" i="10"/>
  <c r="AD26" i="12" s="1"/>
  <c r="W26" i="10"/>
  <c r="AE26" i="12" s="1"/>
  <c r="X26" i="10"/>
  <c r="AF26" i="12" s="1"/>
  <c r="Y26" i="10"/>
  <c r="Z26" i="10"/>
  <c r="AA26" i="10"/>
  <c r="AH26" i="12" s="1"/>
  <c r="T27" i="10"/>
  <c r="U27" i="10"/>
  <c r="V27" i="10"/>
  <c r="AD27" i="12" s="1"/>
  <c r="W27" i="10"/>
  <c r="AE27" i="12" s="1"/>
  <c r="X27" i="10"/>
  <c r="AF27" i="12" s="1"/>
  <c r="Y27" i="10"/>
  <c r="Z27" i="10"/>
  <c r="AA27" i="10"/>
  <c r="AH27" i="12" s="1"/>
  <c r="T28" i="10"/>
  <c r="U28" i="10"/>
  <c r="V28" i="10"/>
  <c r="AD28" i="12" s="1"/>
  <c r="W28" i="10"/>
  <c r="AE28" i="12" s="1"/>
  <c r="X28" i="10"/>
  <c r="AF28" i="12" s="1"/>
  <c r="Y28" i="10"/>
  <c r="Z28" i="10"/>
  <c r="AA28" i="10"/>
  <c r="AH28" i="12" s="1"/>
  <c r="T29" i="10"/>
  <c r="U29" i="10"/>
  <c r="V29" i="10"/>
  <c r="AD29" i="12" s="1"/>
  <c r="W29" i="10"/>
  <c r="AE29" i="12" s="1"/>
  <c r="X29" i="10"/>
  <c r="AF29" i="12" s="1"/>
  <c r="Y29" i="10"/>
  <c r="Z29" i="10"/>
  <c r="AA29" i="10"/>
  <c r="AH29" i="12" s="1"/>
  <c r="T30" i="10"/>
  <c r="U30" i="10"/>
  <c r="V30" i="10"/>
  <c r="AD30" i="12" s="1"/>
  <c r="W30" i="10"/>
  <c r="AE30" i="12" s="1"/>
  <c r="X30" i="10"/>
  <c r="AF30" i="12" s="1"/>
  <c r="Y30" i="10"/>
  <c r="Z30" i="10"/>
  <c r="AA30" i="10"/>
  <c r="AH30" i="12" s="1"/>
  <c r="T31" i="10"/>
  <c r="U31" i="10"/>
  <c r="V31" i="10"/>
  <c r="AD31" i="12" s="1"/>
  <c r="W31" i="10"/>
  <c r="AE31" i="12" s="1"/>
  <c r="X31" i="10"/>
  <c r="AF31" i="12" s="1"/>
  <c r="Y31" i="10"/>
  <c r="Z31" i="10"/>
  <c r="AA31" i="10"/>
  <c r="AH31" i="12" s="1"/>
  <c r="T32" i="10"/>
  <c r="U32" i="10"/>
  <c r="V32" i="10"/>
  <c r="AD32" i="12" s="1"/>
  <c r="W32" i="10"/>
  <c r="AE32" i="12" s="1"/>
  <c r="X32" i="10"/>
  <c r="AF32" i="12" s="1"/>
  <c r="Y32" i="10"/>
  <c r="Z32" i="10"/>
  <c r="AA32" i="10"/>
  <c r="AH32" i="12" s="1"/>
  <c r="T33" i="10"/>
  <c r="U33" i="10"/>
  <c r="V33" i="10"/>
  <c r="AD33" i="12" s="1"/>
  <c r="W33" i="10"/>
  <c r="AE33" i="12" s="1"/>
  <c r="X33" i="10"/>
  <c r="AF33" i="12" s="1"/>
  <c r="Y33" i="10"/>
  <c r="Z33" i="10"/>
  <c r="AA33" i="10"/>
  <c r="AH33" i="12" s="1"/>
  <c r="T34" i="10"/>
  <c r="U34" i="10"/>
  <c r="V34" i="10"/>
  <c r="AD34" i="12" s="1"/>
  <c r="W34" i="10"/>
  <c r="AE34" i="12" s="1"/>
  <c r="X34" i="10"/>
  <c r="AF34" i="12" s="1"/>
  <c r="Y34" i="10"/>
  <c r="Z34" i="10"/>
  <c r="AA34" i="10"/>
  <c r="AH34" i="12" s="1"/>
  <c r="T35" i="10"/>
  <c r="U35" i="10"/>
  <c r="V35" i="10"/>
  <c r="AD35" i="12" s="1"/>
  <c r="W35" i="10"/>
  <c r="AE35" i="12" s="1"/>
  <c r="X35" i="10"/>
  <c r="AF35" i="12" s="1"/>
  <c r="Y35" i="10"/>
  <c r="Z35" i="10"/>
  <c r="AA35" i="10"/>
  <c r="AH35" i="12" s="1"/>
  <c r="T36" i="10"/>
  <c r="U36" i="10"/>
  <c r="V36" i="10"/>
  <c r="AD36" i="12" s="1"/>
  <c r="W36" i="10"/>
  <c r="AE36" i="12" s="1"/>
  <c r="X36" i="10"/>
  <c r="AF36" i="12" s="1"/>
  <c r="Y36" i="10"/>
  <c r="Z36" i="10"/>
  <c r="AA36" i="10"/>
  <c r="AH36" i="12" s="1"/>
  <c r="T37" i="10"/>
  <c r="U37" i="10"/>
  <c r="V37" i="10"/>
  <c r="AD37" i="12" s="1"/>
  <c r="W37" i="10"/>
  <c r="AE37" i="12" s="1"/>
  <c r="X37" i="10"/>
  <c r="AF37" i="12" s="1"/>
  <c r="Y37" i="10"/>
  <c r="Z37" i="10"/>
  <c r="AA37" i="10"/>
  <c r="AH37" i="12" s="1"/>
  <c r="T38" i="10"/>
  <c r="U38" i="10"/>
  <c r="V38" i="10"/>
  <c r="AD38" i="12" s="1"/>
  <c r="W38" i="10"/>
  <c r="AE38" i="12" s="1"/>
  <c r="X38" i="10"/>
  <c r="AF38" i="12" s="1"/>
  <c r="Y38" i="10"/>
  <c r="Z38" i="10"/>
  <c r="AA38" i="10"/>
  <c r="AH38" i="12" s="1"/>
  <c r="T39" i="10"/>
  <c r="U39" i="10"/>
  <c r="V39" i="10"/>
  <c r="AD39" i="12" s="1"/>
  <c r="W39" i="10"/>
  <c r="AE39" i="12" s="1"/>
  <c r="X39" i="10"/>
  <c r="AF39" i="12" s="1"/>
  <c r="Y39" i="10"/>
  <c r="Z39" i="10"/>
  <c r="AA39" i="10"/>
  <c r="AH39" i="12" s="1"/>
  <c r="T40" i="10"/>
  <c r="U40" i="10"/>
  <c r="V40" i="10"/>
  <c r="AD40" i="12" s="1"/>
  <c r="W40" i="10"/>
  <c r="AE40" i="12" s="1"/>
  <c r="X40" i="10"/>
  <c r="AF40" i="12" s="1"/>
  <c r="Y40" i="10"/>
  <c r="Z40" i="10"/>
  <c r="AA40" i="10"/>
  <c r="AH40" i="12" s="1"/>
  <c r="T41" i="10"/>
  <c r="U41" i="10"/>
  <c r="V41" i="10"/>
  <c r="W41" i="10"/>
  <c r="AE41" i="12" s="1"/>
  <c r="X41" i="10"/>
  <c r="AF41" i="12" s="1"/>
  <c r="Y41" i="10"/>
  <c r="Z41" i="10"/>
  <c r="AA41" i="10"/>
  <c r="AH41" i="12" s="1"/>
  <c r="T42" i="10"/>
  <c r="U42" i="10"/>
  <c r="V42" i="10"/>
  <c r="AD42" i="12" s="1"/>
  <c r="W42" i="10"/>
  <c r="AE42" i="12" s="1"/>
  <c r="X42" i="10"/>
  <c r="AF42" i="12" s="1"/>
  <c r="Y42" i="10"/>
  <c r="Z42" i="10"/>
  <c r="AA42" i="10"/>
  <c r="AH42" i="12" s="1"/>
  <c r="T43" i="10"/>
  <c r="U43" i="10"/>
  <c r="V43" i="10"/>
  <c r="AD43" i="12" s="1"/>
  <c r="W43" i="10"/>
  <c r="AE43" i="12" s="1"/>
  <c r="X43" i="10"/>
  <c r="AF43" i="12" s="1"/>
  <c r="Y43" i="10"/>
  <c r="Z43" i="10"/>
  <c r="AA43" i="10"/>
  <c r="AH43" i="12" s="1"/>
  <c r="T44" i="10"/>
  <c r="U44" i="10"/>
  <c r="V44" i="10"/>
  <c r="AD44" i="12" s="1"/>
  <c r="W44" i="10"/>
  <c r="AE44" i="12" s="1"/>
  <c r="X44" i="10"/>
  <c r="AF44" i="12" s="1"/>
  <c r="Y44" i="10"/>
  <c r="Z44" i="10"/>
  <c r="AA44" i="10"/>
  <c r="AH44" i="12" s="1"/>
  <c r="T45" i="10"/>
  <c r="U45" i="10"/>
  <c r="V45" i="10"/>
  <c r="AD45" i="12" s="1"/>
  <c r="W45" i="10"/>
  <c r="AE45" i="12" s="1"/>
  <c r="X45" i="10"/>
  <c r="AF45" i="12" s="1"/>
  <c r="Y45" i="10"/>
  <c r="Z45" i="10"/>
  <c r="AA45" i="10"/>
  <c r="AH45" i="12" s="1"/>
  <c r="T46" i="10"/>
  <c r="U46" i="10"/>
  <c r="V46" i="10"/>
  <c r="AD46" i="12" s="1"/>
  <c r="W46" i="10"/>
  <c r="AE46" i="12" s="1"/>
  <c r="X46" i="10"/>
  <c r="AF46" i="12" s="1"/>
  <c r="Y46" i="10"/>
  <c r="Z46" i="10"/>
  <c r="AA46" i="10"/>
  <c r="AH46" i="12" s="1"/>
  <c r="T47" i="10"/>
  <c r="U47" i="10"/>
  <c r="V47" i="10"/>
  <c r="AD47" i="12" s="1"/>
  <c r="W47" i="10"/>
  <c r="AE47" i="12" s="1"/>
  <c r="X47" i="10"/>
  <c r="AF47" i="12" s="1"/>
  <c r="Y47" i="10"/>
  <c r="Z47" i="10"/>
  <c r="AA47" i="10"/>
  <c r="AH47" i="12" s="1"/>
  <c r="T48" i="10"/>
  <c r="U48" i="10"/>
  <c r="V48" i="10"/>
  <c r="AD48" i="12" s="1"/>
  <c r="W48" i="10"/>
  <c r="AE48" i="12" s="1"/>
  <c r="X48" i="10"/>
  <c r="AF48" i="12" s="1"/>
  <c r="Y48" i="10"/>
  <c r="Z48" i="10"/>
  <c r="AA48" i="10"/>
  <c r="AH48" i="12" s="1"/>
  <c r="U10" i="10"/>
  <c r="V10" i="10"/>
  <c r="AD10" i="12" s="1"/>
  <c r="W10" i="10"/>
  <c r="AE10" i="12" s="1"/>
  <c r="X10" i="10"/>
  <c r="Y10" i="10"/>
  <c r="Z10" i="10"/>
  <c r="AA10" i="10"/>
  <c r="AH10" i="12" s="1"/>
  <c r="T10" i="10"/>
  <c r="R56" i="10"/>
  <c r="P56" i="12" s="1"/>
  <c r="Q56" i="10"/>
  <c r="P56" i="10"/>
  <c r="O56" i="10"/>
  <c r="N56" i="12" s="1"/>
  <c r="N56" i="10"/>
  <c r="M56" i="12" s="1"/>
  <c r="M56" i="10"/>
  <c r="L56" i="12" s="1"/>
  <c r="L56" i="10"/>
  <c r="K56" i="10"/>
  <c r="R55" i="10"/>
  <c r="P55" i="12" s="1"/>
  <c r="Q55" i="10"/>
  <c r="P55" i="10"/>
  <c r="O55" i="10"/>
  <c r="N55" i="12" s="1"/>
  <c r="N55" i="10"/>
  <c r="M55" i="12" s="1"/>
  <c r="M55" i="10"/>
  <c r="L55" i="12" s="1"/>
  <c r="L55" i="10"/>
  <c r="K55" i="10"/>
  <c r="R54" i="10"/>
  <c r="P54" i="12" s="1"/>
  <c r="Q54" i="10"/>
  <c r="P54" i="10"/>
  <c r="O54" i="10"/>
  <c r="N54" i="12" s="1"/>
  <c r="N54" i="10"/>
  <c r="M54" i="12" s="1"/>
  <c r="M54" i="10"/>
  <c r="L54" i="12" s="1"/>
  <c r="L54" i="10"/>
  <c r="K54" i="10"/>
  <c r="R53" i="10"/>
  <c r="P53" i="12" s="1"/>
  <c r="Q53" i="10"/>
  <c r="P53" i="10"/>
  <c r="O53" i="10"/>
  <c r="N53" i="12" s="1"/>
  <c r="N53" i="10"/>
  <c r="M53" i="12" s="1"/>
  <c r="M53" i="10"/>
  <c r="L53" i="12" s="1"/>
  <c r="L53" i="10"/>
  <c r="K53" i="10"/>
  <c r="R52" i="10"/>
  <c r="P52" i="12" s="1"/>
  <c r="Q52" i="10"/>
  <c r="P52" i="10"/>
  <c r="O52" i="10"/>
  <c r="N52" i="12" s="1"/>
  <c r="N52" i="10"/>
  <c r="M52" i="12" s="1"/>
  <c r="M52" i="10"/>
  <c r="L52" i="12" s="1"/>
  <c r="L52" i="10"/>
  <c r="K52" i="10"/>
  <c r="R51" i="10"/>
  <c r="P51" i="12" s="1"/>
  <c r="Q51" i="10"/>
  <c r="P51" i="10"/>
  <c r="O51" i="10"/>
  <c r="N51" i="12" s="1"/>
  <c r="N51" i="10"/>
  <c r="M51" i="12" s="1"/>
  <c r="M51" i="10"/>
  <c r="L51" i="12" s="1"/>
  <c r="L51" i="10"/>
  <c r="K51" i="10"/>
  <c r="R50" i="10"/>
  <c r="P50" i="12" s="1"/>
  <c r="Q50" i="10"/>
  <c r="P50" i="10"/>
  <c r="O50" i="10"/>
  <c r="N50" i="12" s="1"/>
  <c r="N50" i="10"/>
  <c r="M50" i="10"/>
  <c r="L50" i="10"/>
  <c r="K50" i="10"/>
  <c r="K11" i="10"/>
  <c r="L11" i="10"/>
  <c r="M11" i="10"/>
  <c r="L11" i="12" s="1"/>
  <c r="N11" i="10"/>
  <c r="M11" i="12" s="1"/>
  <c r="O11" i="10"/>
  <c r="N11" i="12" s="1"/>
  <c r="P11" i="10"/>
  <c r="Q11" i="10"/>
  <c r="R11" i="10"/>
  <c r="P11" i="12" s="1"/>
  <c r="K12" i="10"/>
  <c r="L12" i="10"/>
  <c r="M12" i="10"/>
  <c r="L12" i="12" s="1"/>
  <c r="N12" i="10"/>
  <c r="M12" i="12" s="1"/>
  <c r="O12" i="10"/>
  <c r="N12" i="12" s="1"/>
  <c r="P12" i="10"/>
  <c r="Q12" i="10"/>
  <c r="R12" i="10"/>
  <c r="P12" i="12" s="1"/>
  <c r="K13" i="10"/>
  <c r="L13" i="10"/>
  <c r="M13" i="10"/>
  <c r="L13" i="12" s="1"/>
  <c r="N13" i="10"/>
  <c r="M13" i="12" s="1"/>
  <c r="O13" i="10"/>
  <c r="N13" i="12" s="1"/>
  <c r="P13" i="10"/>
  <c r="Q13" i="10"/>
  <c r="R13" i="10"/>
  <c r="P13" i="12" s="1"/>
  <c r="K14" i="10"/>
  <c r="L14" i="10"/>
  <c r="M14" i="10"/>
  <c r="L14" i="12" s="1"/>
  <c r="N14" i="10"/>
  <c r="M14" i="12" s="1"/>
  <c r="O14" i="10"/>
  <c r="N14" i="12" s="1"/>
  <c r="P14" i="10"/>
  <c r="Q14" i="10"/>
  <c r="R14" i="10"/>
  <c r="P14" i="12" s="1"/>
  <c r="K15" i="10"/>
  <c r="L15" i="10"/>
  <c r="M15" i="10"/>
  <c r="L15" i="12" s="1"/>
  <c r="N15" i="10"/>
  <c r="M15" i="12" s="1"/>
  <c r="O15" i="10"/>
  <c r="N15" i="12" s="1"/>
  <c r="P15" i="10"/>
  <c r="Q15" i="10"/>
  <c r="R15" i="10"/>
  <c r="P15" i="12" s="1"/>
  <c r="K16" i="10"/>
  <c r="L16" i="10"/>
  <c r="M16" i="10"/>
  <c r="L16" i="12" s="1"/>
  <c r="N16" i="10"/>
  <c r="M16" i="12" s="1"/>
  <c r="O16" i="10"/>
  <c r="N16" i="12" s="1"/>
  <c r="P16" i="10"/>
  <c r="Q16" i="10"/>
  <c r="R16" i="10"/>
  <c r="P16" i="12" s="1"/>
  <c r="K17" i="10"/>
  <c r="L17" i="10"/>
  <c r="M17" i="10"/>
  <c r="L17" i="12" s="1"/>
  <c r="N17" i="10"/>
  <c r="M17" i="12" s="1"/>
  <c r="O17" i="10"/>
  <c r="N17" i="12" s="1"/>
  <c r="P17" i="10"/>
  <c r="Q17" i="10"/>
  <c r="R17" i="10"/>
  <c r="P17" i="12" s="1"/>
  <c r="K18" i="10"/>
  <c r="L18" i="10"/>
  <c r="M18" i="10"/>
  <c r="L18" i="12" s="1"/>
  <c r="N18" i="10"/>
  <c r="M18" i="12" s="1"/>
  <c r="O18" i="10"/>
  <c r="N18" i="12" s="1"/>
  <c r="P18" i="10"/>
  <c r="Q18" i="10"/>
  <c r="R18" i="10"/>
  <c r="P18" i="12" s="1"/>
  <c r="K19" i="10"/>
  <c r="L19" i="10"/>
  <c r="M19" i="10"/>
  <c r="L19" i="12" s="1"/>
  <c r="N19" i="10"/>
  <c r="M19" i="12" s="1"/>
  <c r="O19" i="10"/>
  <c r="N19" i="12" s="1"/>
  <c r="P19" i="10"/>
  <c r="Q19" i="10"/>
  <c r="R19" i="10"/>
  <c r="P19" i="12" s="1"/>
  <c r="K20" i="10"/>
  <c r="L20" i="10"/>
  <c r="M20" i="10"/>
  <c r="L20" i="12" s="1"/>
  <c r="N20" i="10"/>
  <c r="M20" i="12" s="1"/>
  <c r="O20" i="10"/>
  <c r="N20" i="12" s="1"/>
  <c r="P20" i="10"/>
  <c r="Q20" i="10"/>
  <c r="R20" i="10"/>
  <c r="P20" i="12" s="1"/>
  <c r="K21" i="10"/>
  <c r="L21" i="10"/>
  <c r="M21" i="10"/>
  <c r="L21" i="12" s="1"/>
  <c r="N21" i="10"/>
  <c r="M21" i="12" s="1"/>
  <c r="O21" i="10"/>
  <c r="N21" i="12" s="1"/>
  <c r="P21" i="10"/>
  <c r="Q21" i="10"/>
  <c r="R21" i="10"/>
  <c r="P21" i="12" s="1"/>
  <c r="K22" i="10"/>
  <c r="L22" i="10"/>
  <c r="M22" i="10"/>
  <c r="L22" i="12" s="1"/>
  <c r="N22" i="10"/>
  <c r="M22" i="12" s="1"/>
  <c r="O22" i="10"/>
  <c r="N22" i="12" s="1"/>
  <c r="P22" i="10"/>
  <c r="Q22" i="10"/>
  <c r="R22" i="10"/>
  <c r="P22" i="12" s="1"/>
  <c r="K23" i="10"/>
  <c r="L23" i="10"/>
  <c r="M23" i="10"/>
  <c r="L23" i="12" s="1"/>
  <c r="N23" i="10"/>
  <c r="M23" i="12" s="1"/>
  <c r="O23" i="10"/>
  <c r="N23" i="12" s="1"/>
  <c r="P23" i="10"/>
  <c r="Q23" i="10"/>
  <c r="R23" i="10"/>
  <c r="P23" i="12" s="1"/>
  <c r="K24" i="10"/>
  <c r="L24" i="10"/>
  <c r="M24" i="10"/>
  <c r="L24" i="12" s="1"/>
  <c r="N24" i="10"/>
  <c r="M24" i="12" s="1"/>
  <c r="O24" i="10"/>
  <c r="N24" i="12" s="1"/>
  <c r="P24" i="10"/>
  <c r="Q24" i="10"/>
  <c r="R24" i="10"/>
  <c r="P24" i="12" s="1"/>
  <c r="K25" i="10"/>
  <c r="L25" i="10"/>
  <c r="M25" i="10"/>
  <c r="L25" i="12" s="1"/>
  <c r="N25" i="10"/>
  <c r="M25" i="12" s="1"/>
  <c r="O25" i="10"/>
  <c r="N25" i="12" s="1"/>
  <c r="P25" i="10"/>
  <c r="Q25" i="10"/>
  <c r="R25" i="10"/>
  <c r="P25" i="12" s="1"/>
  <c r="K26" i="10"/>
  <c r="L26" i="10"/>
  <c r="M26" i="10"/>
  <c r="L26" i="12" s="1"/>
  <c r="N26" i="10"/>
  <c r="M26" i="12" s="1"/>
  <c r="O26" i="10"/>
  <c r="N26" i="12" s="1"/>
  <c r="P26" i="10"/>
  <c r="Q26" i="10"/>
  <c r="R26" i="10"/>
  <c r="P26" i="12" s="1"/>
  <c r="K27" i="10"/>
  <c r="L27" i="10"/>
  <c r="M27" i="10"/>
  <c r="L27" i="12" s="1"/>
  <c r="N27" i="10"/>
  <c r="M27" i="12" s="1"/>
  <c r="O27" i="10"/>
  <c r="N27" i="12" s="1"/>
  <c r="P27" i="10"/>
  <c r="Q27" i="10"/>
  <c r="R27" i="10"/>
  <c r="P27" i="12" s="1"/>
  <c r="K28" i="10"/>
  <c r="L28" i="10"/>
  <c r="M28" i="10"/>
  <c r="L28" i="12" s="1"/>
  <c r="N28" i="10"/>
  <c r="M28" i="12" s="1"/>
  <c r="O28" i="10"/>
  <c r="N28" i="12" s="1"/>
  <c r="P28" i="10"/>
  <c r="Q28" i="10"/>
  <c r="R28" i="10"/>
  <c r="P28" i="12" s="1"/>
  <c r="K29" i="10"/>
  <c r="L29" i="10"/>
  <c r="M29" i="10"/>
  <c r="L29" i="12" s="1"/>
  <c r="N29" i="10"/>
  <c r="M29" i="12" s="1"/>
  <c r="O29" i="10"/>
  <c r="N29" i="12" s="1"/>
  <c r="P29" i="10"/>
  <c r="Q29" i="10"/>
  <c r="R29" i="10"/>
  <c r="P29" i="12" s="1"/>
  <c r="K30" i="10"/>
  <c r="L30" i="10"/>
  <c r="M30" i="10"/>
  <c r="L30" i="12" s="1"/>
  <c r="N30" i="10"/>
  <c r="M30" i="12" s="1"/>
  <c r="O30" i="10"/>
  <c r="N30" i="12" s="1"/>
  <c r="P30" i="10"/>
  <c r="Q30" i="10"/>
  <c r="R30" i="10"/>
  <c r="P30" i="12" s="1"/>
  <c r="K31" i="10"/>
  <c r="L31" i="10"/>
  <c r="M31" i="10"/>
  <c r="L31" i="12" s="1"/>
  <c r="N31" i="10"/>
  <c r="M31" i="12" s="1"/>
  <c r="O31" i="10"/>
  <c r="N31" i="12" s="1"/>
  <c r="P31" i="10"/>
  <c r="Q31" i="10"/>
  <c r="R31" i="10"/>
  <c r="P31" i="12" s="1"/>
  <c r="K32" i="10"/>
  <c r="L32" i="10"/>
  <c r="M32" i="10"/>
  <c r="L32" i="12" s="1"/>
  <c r="N32" i="10"/>
  <c r="M32" i="12" s="1"/>
  <c r="O32" i="10"/>
  <c r="N32" i="12" s="1"/>
  <c r="P32" i="10"/>
  <c r="Q32" i="10"/>
  <c r="R32" i="10"/>
  <c r="P32" i="12" s="1"/>
  <c r="K33" i="10"/>
  <c r="L33" i="10"/>
  <c r="M33" i="10"/>
  <c r="L33" i="12" s="1"/>
  <c r="N33" i="10"/>
  <c r="M33" i="12" s="1"/>
  <c r="O33" i="10"/>
  <c r="N33" i="12" s="1"/>
  <c r="P33" i="10"/>
  <c r="Q33" i="10"/>
  <c r="R33" i="10"/>
  <c r="P33" i="12" s="1"/>
  <c r="K34" i="10"/>
  <c r="L34" i="10"/>
  <c r="M34" i="10"/>
  <c r="L34" i="12" s="1"/>
  <c r="N34" i="10"/>
  <c r="M34" i="12" s="1"/>
  <c r="O34" i="10"/>
  <c r="N34" i="12" s="1"/>
  <c r="P34" i="10"/>
  <c r="Q34" i="10"/>
  <c r="R34" i="10"/>
  <c r="P34" i="12" s="1"/>
  <c r="K35" i="10"/>
  <c r="L35" i="10"/>
  <c r="M35" i="10"/>
  <c r="L35" i="12" s="1"/>
  <c r="N35" i="10"/>
  <c r="M35" i="12" s="1"/>
  <c r="O35" i="10"/>
  <c r="N35" i="12" s="1"/>
  <c r="P35" i="10"/>
  <c r="Q35" i="10"/>
  <c r="R35" i="10"/>
  <c r="P35" i="12" s="1"/>
  <c r="K36" i="10"/>
  <c r="L36" i="10"/>
  <c r="M36" i="10"/>
  <c r="L36" i="12" s="1"/>
  <c r="N36" i="10"/>
  <c r="M36" i="12" s="1"/>
  <c r="O36" i="10"/>
  <c r="N36" i="12" s="1"/>
  <c r="P36" i="10"/>
  <c r="Q36" i="10"/>
  <c r="R36" i="10"/>
  <c r="P36" i="12" s="1"/>
  <c r="K37" i="10"/>
  <c r="L37" i="10"/>
  <c r="M37" i="10"/>
  <c r="L37" i="12" s="1"/>
  <c r="N37" i="10"/>
  <c r="M37" i="12" s="1"/>
  <c r="O37" i="10"/>
  <c r="N37" i="12" s="1"/>
  <c r="P37" i="10"/>
  <c r="Q37" i="10"/>
  <c r="R37" i="10"/>
  <c r="P37" i="12" s="1"/>
  <c r="K38" i="10"/>
  <c r="L38" i="10"/>
  <c r="M38" i="10"/>
  <c r="L38" i="12" s="1"/>
  <c r="N38" i="10"/>
  <c r="M38" i="12" s="1"/>
  <c r="O38" i="10"/>
  <c r="N38" i="12" s="1"/>
  <c r="P38" i="10"/>
  <c r="Q38" i="10"/>
  <c r="R38" i="10"/>
  <c r="P38" i="12" s="1"/>
  <c r="K39" i="10"/>
  <c r="L39" i="10"/>
  <c r="M39" i="10"/>
  <c r="L39" i="12" s="1"/>
  <c r="N39" i="10"/>
  <c r="M39" i="12" s="1"/>
  <c r="O39" i="10"/>
  <c r="N39" i="12" s="1"/>
  <c r="P39" i="10"/>
  <c r="Q39" i="10"/>
  <c r="R39" i="10"/>
  <c r="P39" i="12" s="1"/>
  <c r="K40" i="10"/>
  <c r="L40" i="10"/>
  <c r="M40" i="10"/>
  <c r="L40" i="12" s="1"/>
  <c r="N40" i="10"/>
  <c r="M40" i="12" s="1"/>
  <c r="O40" i="10"/>
  <c r="N40" i="12" s="1"/>
  <c r="P40" i="10"/>
  <c r="Q40" i="10"/>
  <c r="R40" i="10"/>
  <c r="P40" i="12" s="1"/>
  <c r="K41" i="10"/>
  <c r="L41" i="10"/>
  <c r="M41" i="10"/>
  <c r="L41" i="12" s="1"/>
  <c r="N41" i="10"/>
  <c r="M41" i="12" s="1"/>
  <c r="O41" i="10"/>
  <c r="N41" i="12" s="1"/>
  <c r="P41" i="10"/>
  <c r="Q41" i="10"/>
  <c r="R41" i="10"/>
  <c r="P41" i="12" s="1"/>
  <c r="K42" i="10"/>
  <c r="L42" i="10"/>
  <c r="M42" i="10"/>
  <c r="L42" i="12" s="1"/>
  <c r="N42" i="10"/>
  <c r="M42" i="12" s="1"/>
  <c r="O42" i="10"/>
  <c r="N42" i="12" s="1"/>
  <c r="P42" i="10"/>
  <c r="Q42" i="10"/>
  <c r="R42" i="10"/>
  <c r="P42" i="12" s="1"/>
  <c r="K43" i="10"/>
  <c r="L43" i="10"/>
  <c r="M43" i="10"/>
  <c r="L43" i="12" s="1"/>
  <c r="N43" i="10"/>
  <c r="M43" i="12" s="1"/>
  <c r="O43" i="10"/>
  <c r="N43" i="12" s="1"/>
  <c r="P43" i="10"/>
  <c r="Q43" i="10"/>
  <c r="R43" i="10"/>
  <c r="P43" i="12" s="1"/>
  <c r="K44" i="10"/>
  <c r="L44" i="10"/>
  <c r="M44" i="10"/>
  <c r="L44" i="12" s="1"/>
  <c r="N44" i="10"/>
  <c r="M44" i="12" s="1"/>
  <c r="O44" i="10"/>
  <c r="N44" i="12" s="1"/>
  <c r="P44" i="10"/>
  <c r="Q44" i="10"/>
  <c r="R44" i="10"/>
  <c r="P44" i="12" s="1"/>
  <c r="K45" i="10"/>
  <c r="L45" i="10"/>
  <c r="M45" i="10"/>
  <c r="L45" i="12" s="1"/>
  <c r="N45" i="10"/>
  <c r="M45" i="12" s="1"/>
  <c r="O45" i="10"/>
  <c r="N45" i="12" s="1"/>
  <c r="P45" i="10"/>
  <c r="Q45" i="10"/>
  <c r="R45" i="10"/>
  <c r="P45" i="12" s="1"/>
  <c r="K46" i="10"/>
  <c r="L46" i="10"/>
  <c r="M46" i="10"/>
  <c r="L46" i="12" s="1"/>
  <c r="N46" i="10"/>
  <c r="M46" i="12" s="1"/>
  <c r="O46" i="10"/>
  <c r="N46" i="12" s="1"/>
  <c r="P46" i="10"/>
  <c r="Q46" i="10"/>
  <c r="R46" i="10"/>
  <c r="P46" i="12" s="1"/>
  <c r="K47" i="10"/>
  <c r="L47" i="10"/>
  <c r="M47" i="10"/>
  <c r="L47" i="12" s="1"/>
  <c r="N47" i="10"/>
  <c r="M47" i="12" s="1"/>
  <c r="O47" i="10"/>
  <c r="N47" i="12" s="1"/>
  <c r="P47" i="10"/>
  <c r="Q47" i="10"/>
  <c r="R47" i="10"/>
  <c r="P47" i="12" s="1"/>
  <c r="K48" i="10"/>
  <c r="L48" i="10"/>
  <c r="M48" i="10"/>
  <c r="L48" i="12" s="1"/>
  <c r="N48" i="10"/>
  <c r="M48" i="12" s="1"/>
  <c r="O48" i="10"/>
  <c r="N48" i="12" s="1"/>
  <c r="P48" i="10"/>
  <c r="Q48" i="10"/>
  <c r="R48" i="10"/>
  <c r="P48" i="12" s="1"/>
  <c r="L10" i="10"/>
  <c r="M10" i="10"/>
  <c r="L10" i="12" s="1"/>
  <c r="N10" i="10"/>
  <c r="M10" i="12" s="1"/>
  <c r="O10" i="10"/>
  <c r="P10" i="10"/>
  <c r="Q10" i="10"/>
  <c r="R10" i="10"/>
  <c r="P10" i="12" s="1"/>
  <c r="K10" i="10"/>
  <c r="B51" i="10"/>
  <c r="C51" i="10"/>
  <c r="D51" i="10"/>
  <c r="C51" i="12" s="1"/>
  <c r="U51" i="12" s="1"/>
  <c r="AV51" i="12" s="1"/>
  <c r="E51" i="10"/>
  <c r="D51" i="12" s="1"/>
  <c r="V51" i="12" s="1"/>
  <c r="AW51" i="12" s="1"/>
  <c r="F51" i="10"/>
  <c r="E51" i="12" s="1"/>
  <c r="G51" i="10"/>
  <c r="H51" i="10"/>
  <c r="I51" i="10"/>
  <c r="G51" i="12" s="1"/>
  <c r="Y51" i="12" s="1"/>
  <c r="AZ51" i="12" s="1"/>
  <c r="B52" i="10"/>
  <c r="C52" i="10"/>
  <c r="D52" i="10"/>
  <c r="C52" i="12" s="1"/>
  <c r="U52" i="12" s="1"/>
  <c r="AV52" i="12" s="1"/>
  <c r="E52" i="10"/>
  <c r="D52" i="12" s="1"/>
  <c r="V52" i="12" s="1"/>
  <c r="AW52" i="12" s="1"/>
  <c r="F52" i="10"/>
  <c r="E52" i="12" s="1"/>
  <c r="W52" i="12" s="1"/>
  <c r="G52" i="10"/>
  <c r="H52" i="10"/>
  <c r="I52" i="10"/>
  <c r="G52" i="12" s="1"/>
  <c r="Y52" i="12" s="1"/>
  <c r="AZ52" i="12" s="1"/>
  <c r="B53" i="10"/>
  <c r="C53" i="10"/>
  <c r="D53" i="10"/>
  <c r="C53" i="12" s="1"/>
  <c r="U53" i="12" s="1"/>
  <c r="AV53" i="12" s="1"/>
  <c r="E53" i="10"/>
  <c r="D53" i="12" s="1"/>
  <c r="V53" i="12" s="1"/>
  <c r="AW53" i="12" s="1"/>
  <c r="F53" i="10"/>
  <c r="E53" i="12" s="1"/>
  <c r="W53" i="12" s="1"/>
  <c r="G53" i="10"/>
  <c r="H53" i="10"/>
  <c r="I53" i="10"/>
  <c r="G53" i="12" s="1"/>
  <c r="Y53" i="12" s="1"/>
  <c r="AZ53" i="12" s="1"/>
  <c r="B54" i="10"/>
  <c r="C54" i="10"/>
  <c r="D54" i="10"/>
  <c r="C54" i="12" s="1"/>
  <c r="U54" i="12" s="1"/>
  <c r="AV54" i="12" s="1"/>
  <c r="E54" i="10"/>
  <c r="D54" i="12" s="1"/>
  <c r="V54" i="12" s="1"/>
  <c r="AW54" i="12" s="1"/>
  <c r="F54" i="10"/>
  <c r="E54" i="12" s="1"/>
  <c r="W54" i="12" s="1"/>
  <c r="G54" i="10"/>
  <c r="H54" i="10"/>
  <c r="I54" i="10"/>
  <c r="B55" i="10"/>
  <c r="C55" i="10"/>
  <c r="D55" i="10"/>
  <c r="C55" i="12" s="1"/>
  <c r="U55" i="12" s="1"/>
  <c r="AV55" i="12" s="1"/>
  <c r="E55" i="10"/>
  <c r="D55" i="12" s="1"/>
  <c r="V55" i="12" s="1"/>
  <c r="AW55" i="12" s="1"/>
  <c r="F55" i="10"/>
  <c r="E55" i="12" s="1"/>
  <c r="W55" i="12" s="1"/>
  <c r="G55" i="10"/>
  <c r="H55" i="10"/>
  <c r="I55" i="10"/>
  <c r="G55" i="12" s="1"/>
  <c r="Y55" i="12" s="1"/>
  <c r="AZ55" i="12" s="1"/>
  <c r="B56" i="10"/>
  <c r="C56" i="10"/>
  <c r="D56" i="10"/>
  <c r="C56" i="12" s="1"/>
  <c r="U56" i="12" s="1"/>
  <c r="AV56" i="12" s="1"/>
  <c r="E56" i="10"/>
  <c r="D56" i="12" s="1"/>
  <c r="V56" i="12" s="1"/>
  <c r="AW56" i="12" s="1"/>
  <c r="F56" i="10"/>
  <c r="E56" i="12" s="1"/>
  <c r="W56" i="12" s="1"/>
  <c r="G56" i="10"/>
  <c r="H56" i="10"/>
  <c r="I56" i="10"/>
  <c r="G56" i="12" s="1"/>
  <c r="Y56" i="12" s="1"/>
  <c r="AZ56" i="12" s="1"/>
  <c r="I50" i="10"/>
  <c r="G50" i="12" s="1"/>
  <c r="Y50" i="12" s="1"/>
  <c r="AZ50" i="12" s="1"/>
  <c r="H50" i="10"/>
  <c r="G50" i="10"/>
  <c r="F50" i="10"/>
  <c r="E50" i="10"/>
  <c r="D50" i="12" s="1"/>
  <c r="D50" i="10"/>
  <c r="C50" i="10"/>
  <c r="B50" i="10"/>
  <c r="B11" i="10"/>
  <c r="C11" i="10"/>
  <c r="D11" i="10"/>
  <c r="C11" i="12" s="1"/>
  <c r="U11" i="12" s="1"/>
  <c r="AV11" i="12" s="1"/>
  <c r="E11" i="10"/>
  <c r="D11" i="12" s="1"/>
  <c r="V11" i="12" s="1"/>
  <c r="AW11" i="12" s="1"/>
  <c r="F11" i="10"/>
  <c r="E11" i="12" s="1"/>
  <c r="W11" i="12" s="1"/>
  <c r="G11" i="10"/>
  <c r="H11" i="10"/>
  <c r="I11" i="10"/>
  <c r="G11" i="12" s="1"/>
  <c r="Y11" i="12" s="1"/>
  <c r="AZ11" i="12" s="1"/>
  <c r="B12" i="10"/>
  <c r="C12" i="10"/>
  <c r="D12" i="10"/>
  <c r="C12" i="12" s="1"/>
  <c r="U12" i="12" s="1"/>
  <c r="AV12" i="12" s="1"/>
  <c r="E12" i="10"/>
  <c r="D12" i="12" s="1"/>
  <c r="V12" i="12" s="1"/>
  <c r="AW12" i="12" s="1"/>
  <c r="F12" i="10"/>
  <c r="E12" i="12" s="1"/>
  <c r="W12" i="12" s="1"/>
  <c r="G12" i="10"/>
  <c r="H12" i="10"/>
  <c r="I12" i="10"/>
  <c r="G12" i="12" s="1"/>
  <c r="Y12" i="12" s="1"/>
  <c r="AZ12" i="12" s="1"/>
  <c r="B13" i="10"/>
  <c r="C13" i="10"/>
  <c r="D13" i="10"/>
  <c r="C13" i="12" s="1"/>
  <c r="U13" i="12" s="1"/>
  <c r="AV13" i="12" s="1"/>
  <c r="E13" i="10"/>
  <c r="D13" i="12" s="1"/>
  <c r="V13" i="12" s="1"/>
  <c r="AW13" i="12" s="1"/>
  <c r="F13" i="10"/>
  <c r="E13" i="12" s="1"/>
  <c r="W13" i="12" s="1"/>
  <c r="G13" i="10"/>
  <c r="H13" i="10"/>
  <c r="I13" i="10"/>
  <c r="G13" i="12" s="1"/>
  <c r="Y13" i="12" s="1"/>
  <c r="AZ13" i="12" s="1"/>
  <c r="B14" i="10"/>
  <c r="C14" i="10"/>
  <c r="D14" i="10"/>
  <c r="C14" i="12" s="1"/>
  <c r="U14" i="12" s="1"/>
  <c r="AV14" i="12" s="1"/>
  <c r="E14" i="10"/>
  <c r="D14" i="12" s="1"/>
  <c r="V14" i="12" s="1"/>
  <c r="AW14" i="12" s="1"/>
  <c r="F14" i="10"/>
  <c r="E14" i="12" s="1"/>
  <c r="W14" i="12" s="1"/>
  <c r="G14" i="10"/>
  <c r="H14" i="10"/>
  <c r="I14" i="10"/>
  <c r="G14" i="12" s="1"/>
  <c r="Y14" i="12" s="1"/>
  <c r="AZ14" i="12" s="1"/>
  <c r="B15" i="10"/>
  <c r="C15" i="10"/>
  <c r="D15" i="10"/>
  <c r="C15" i="12" s="1"/>
  <c r="U15" i="12" s="1"/>
  <c r="AV15" i="12" s="1"/>
  <c r="E15" i="10"/>
  <c r="D15" i="12" s="1"/>
  <c r="V15" i="12" s="1"/>
  <c r="AW15" i="12" s="1"/>
  <c r="F15" i="10"/>
  <c r="E15" i="12" s="1"/>
  <c r="W15" i="12" s="1"/>
  <c r="G15" i="10"/>
  <c r="H15" i="10"/>
  <c r="I15" i="10"/>
  <c r="G15" i="12" s="1"/>
  <c r="Y15" i="12" s="1"/>
  <c r="AZ15" i="12" s="1"/>
  <c r="B16" i="10"/>
  <c r="C16" i="10"/>
  <c r="D16" i="10"/>
  <c r="C16" i="12" s="1"/>
  <c r="U16" i="12" s="1"/>
  <c r="AV16" i="12" s="1"/>
  <c r="E16" i="10"/>
  <c r="D16" i="12" s="1"/>
  <c r="V16" i="12" s="1"/>
  <c r="AW16" i="12" s="1"/>
  <c r="F16" i="10"/>
  <c r="E16" i="12" s="1"/>
  <c r="W16" i="12" s="1"/>
  <c r="G16" i="10"/>
  <c r="H16" i="10"/>
  <c r="I16" i="10"/>
  <c r="G16" i="12" s="1"/>
  <c r="Y16" i="12" s="1"/>
  <c r="AZ16" i="12" s="1"/>
  <c r="B17" i="10"/>
  <c r="C17" i="10"/>
  <c r="D17" i="10"/>
  <c r="C17" i="12" s="1"/>
  <c r="U17" i="12" s="1"/>
  <c r="AV17" i="12" s="1"/>
  <c r="E17" i="10"/>
  <c r="D17" i="12" s="1"/>
  <c r="V17" i="12" s="1"/>
  <c r="AW17" i="12" s="1"/>
  <c r="F17" i="10"/>
  <c r="E17" i="12" s="1"/>
  <c r="W17" i="12" s="1"/>
  <c r="G17" i="10"/>
  <c r="H17" i="10"/>
  <c r="I17" i="10"/>
  <c r="G17" i="12" s="1"/>
  <c r="Y17" i="12" s="1"/>
  <c r="AZ17" i="12" s="1"/>
  <c r="B18" i="10"/>
  <c r="C18" i="10"/>
  <c r="D18" i="10"/>
  <c r="C18" i="12" s="1"/>
  <c r="U18" i="12" s="1"/>
  <c r="AV18" i="12" s="1"/>
  <c r="E18" i="10"/>
  <c r="D18" i="12" s="1"/>
  <c r="V18" i="12" s="1"/>
  <c r="AW18" i="12" s="1"/>
  <c r="F18" i="10"/>
  <c r="E18" i="12" s="1"/>
  <c r="W18" i="12" s="1"/>
  <c r="G18" i="10"/>
  <c r="H18" i="10"/>
  <c r="I18" i="10"/>
  <c r="G18" i="12" s="1"/>
  <c r="Y18" i="12" s="1"/>
  <c r="AZ18" i="12" s="1"/>
  <c r="B19" i="10"/>
  <c r="C19" i="10"/>
  <c r="D19" i="10"/>
  <c r="C19" i="12" s="1"/>
  <c r="U19" i="12" s="1"/>
  <c r="AV19" i="12" s="1"/>
  <c r="E19" i="10"/>
  <c r="D19" i="12" s="1"/>
  <c r="V19" i="12" s="1"/>
  <c r="AW19" i="12" s="1"/>
  <c r="F19" i="10"/>
  <c r="E19" i="12" s="1"/>
  <c r="W19" i="12" s="1"/>
  <c r="G19" i="10"/>
  <c r="H19" i="10"/>
  <c r="I19" i="10"/>
  <c r="G19" i="12" s="1"/>
  <c r="Y19" i="12" s="1"/>
  <c r="AZ19" i="12" s="1"/>
  <c r="B20" i="10"/>
  <c r="C20" i="10"/>
  <c r="D20" i="10"/>
  <c r="C20" i="12" s="1"/>
  <c r="U20" i="12" s="1"/>
  <c r="AV20" i="12" s="1"/>
  <c r="E20" i="10"/>
  <c r="D20" i="12" s="1"/>
  <c r="V20" i="12" s="1"/>
  <c r="AW20" i="12" s="1"/>
  <c r="F20" i="10"/>
  <c r="E20" i="12" s="1"/>
  <c r="W20" i="12" s="1"/>
  <c r="G20" i="10"/>
  <c r="H20" i="10"/>
  <c r="I20" i="10"/>
  <c r="G20" i="12" s="1"/>
  <c r="Y20" i="12" s="1"/>
  <c r="AZ20" i="12" s="1"/>
  <c r="B21" i="10"/>
  <c r="C21" i="10"/>
  <c r="D21" i="10"/>
  <c r="C21" i="12" s="1"/>
  <c r="U21" i="12" s="1"/>
  <c r="AV21" i="12" s="1"/>
  <c r="E21" i="10"/>
  <c r="D21" i="12" s="1"/>
  <c r="V21" i="12" s="1"/>
  <c r="AW21" i="12" s="1"/>
  <c r="F21" i="10"/>
  <c r="E21" i="12" s="1"/>
  <c r="W21" i="12" s="1"/>
  <c r="G21" i="10"/>
  <c r="H21" i="10"/>
  <c r="I21" i="10"/>
  <c r="G21" i="12" s="1"/>
  <c r="Y21" i="12" s="1"/>
  <c r="AZ21" i="12" s="1"/>
  <c r="B22" i="10"/>
  <c r="C22" i="10"/>
  <c r="D22" i="10"/>
  <c r="C22" i="12" s="1"/>
  <c r="U22" i="12" s="1"/>
  <c r="AV22" i="12" s="1"/>
  <c r="E22" i="10"/>
  <c r="D22" i="12" s="1"/>
  <c r="V22" i="12" s="1"/>
  <c r="AW22" i="12" s="1"/>
  <c r="F22" i="10"/>
  <c r="E22" i="12" s="1"/>
  <c r="W22" i="12" s="1"/>
  <c r="G22" i="10"/>
  <c r="H22" i="10"/>
  <c r="I22" i="10"/>
  <c r="G22" i="12" s="1"/>
  <c r="Y22" i="12" s="1"/>
  <c r="AZ22" i="12" s="1"/>
  <c r="B23" i="10"/>
  <c r="C23" i="10"/>
  <c r="D23" i="10"/>
  <c r="C23" i="12" s="1"/>
  <c r="U23" i="12" s="1"/>
  <c r="AV23" i="12" s="1"/>
  <c r="E23" i="10"/>
  <c r="D23" i="12" s="1"/>
  <c r="V23" i="12" s="1"/>
  <c r="AW23" i="12" s="1"/>
  <c r="F23" i="10"/>
  <c r="E23" i="12" s="1"/>
  <c r="W23" i="12" s="1"/>
  <c r="G23" i="10"/>
  <c r="H23" i="10"/>
  <c r="I23" i="10"/>
  <c r="G23" i="12" s="1"/>
  <c r="Y23" i="12" s="1"/>
  <c r="AZ23" i="12" s="1"/>
  <c r="B24" i="10"/>
  <c r="C24" i="10"/>
  <c r="D24" i="10"/>
  <c r="C24" i="12" s="1"/>
  <c r="U24" i="12" s="1"/>
  <c r="AV24" i="12" s="1"/>
  <c r="E24" i="10"/>
  <c r="D24" i="12" s="1"/>
  <c r="V24" i="12" s="1"/>
  <c r="AW24" i="12" s="1"/>
  <c r="F24" i="10"/>
  <c r="E24" i="12" s="1"/>
  <c r="W24" i="12" s="1"/>
  <c r="G24" i="10"/>
  <c r="H24" i="10"/>
  <c r="I24" i="10"/>
  <c r="G24" i="12" s="1"/>
  <c r="Y24" i="12" s="1"/>
  <c r="AZ24" i="12" s="1"/>
  <c r="B25" i="10"/>
  <c r="C25" i="10"/>
  <c r="D25" i="10"/>
  <c r="C25" i="12" s="1"/>
  <c r="U25" i="12" s="1"/>
  <c r="AV25" i="12" s="1"/>
  <c r="E25" i="10"/>
  <c r="D25" i="12" s="1"/>
  <c r="V25" i="12" s="1"/>
  <c r="AW25" i="12" s="1"/>
  <c r="F25" i="10"/>
  <c r="E25" i="12" s="1"/>
  <c r="W25" i="12" s="1"/>
  <c r="G25" i="10"/>
  <c r="H25" i="10"/>
  <c r="I25" i="10"/>
  <c r="G25" i="12" s="1"/>
  <c r="Y25" i="12" s="1"/>
  <c r="AZ25" i="12" s="1"/>
  <c r="B26" i="10"/>
  <c r="C26" i="10"/>
  <c r="D26" i="10"/>
  <c r="C26" i="12" s="1"/>
  <c r="U26" i="12" s="1"/>
  <c r="AV26" i="12" s="1"/>
  <c r="E26" i="10"/>
  <c r="D26" i="12" s="1"/>
  <c r="V26" i="12" s="1"/>
  <c r="AW26" i="12" s="1"/>
  <c r="F26" i="10"/>
  <c r="E26" i="12" s="1"/>
  <c r="W26" i="12" s="1"/>
  <c r="G26" i="10"/>
  <c r="H26" i="10"/>
  <c r="I26" i="10"/>
  <c r="G26" i="12" s="1"/>
  <c r="Y26" i="12" s="1"/>
  <c r="AZ26" i="12" s="1"/>
  <c r="B27" i="10"/>
  <c r="C27" i="10"/>
  <c r="D27" i="10"/>
  <c r="C27" i="12" s="1"/>
  <c r="U27" i="12" s="1"/>
  <c r="AV27" i="12" s="1"/>
  <c r="E27" i="10"/>
  <c r="D27" i="12" s="1"/>
  <c r="V27" i="12" s="1"/>
  <c r="AW27" i="12" s="1"/>
  <c r="F27" i="10"/>
  <c r="E27" i="12" s="1"/>
  <c r="W27" i="12" s="1"/>
  <c r="G27" i="10"/>
  <c r="H27" i="10"/>
  <c r="I27" i="10"/>
  <c r="G27" i="12" s="1"/>
  <c r="Y27" i="12" s="1"/>
  <c r="AZ27" i="12" s="1"/>
  <c r="B28" i="10"/>
  <c r="C28" i="10"/>
  <c r="D28" i="10"/>
  <c r="C28" i="12" s="1"/>
  <c r="U28" i="12" s="1"/>
  <c r="AV28" i="12" s="1"/>
  <c r="E28" i="10"/>
  <c r="D28" i="12" s="1"/>
  <c r="V28" i="12" s="1"/>
  <c r="AW28" i="12" s="1"/>
  <c r="F28" i="10"/>
  <c r="E28" i="12" s="1"/>
  <c r="W28" i="12" s="1"/>
  <c r="G28" i="10"/>
  <c r="H28" i="10"/>
  <c r="I28" i="10"/>
  <c r="G28" i="12" s="1"/>
  <c r="Y28" i="12" s="1"/>
  <c r="AZ28" i="12" s="1"/>
  <c r="B29" i="10"/>
  <c r="C29" i="10"/>
  <c r="D29" i="10"/>
  <c r="C29" i="12" s="1"/>
  <c r="U29" i="12" s="1"/>
  <c r="AV29" i="12" s="1"/>
  <c r="E29" i="10"/>
  <c r="D29" i="12" s="1"/>
  <c r="V29" i="12" s="1"/>
  <c r="AW29" i="12" s="1"/>
  <c r="F29" i="10"/>
  <c r="E29" i="12" s="1"/>
  <c r="W29" i="12" s="1"/>
  <c r="G29" i="10"/>
  <c r="H29" i="10"/>
  <c r="I29" i="10"/>
  <c r="G29" i="12" s="1"/>
  <c r="Y29" i="12" s="1"/>
  <c r="AZ29" i="12" s="1"/>
  <c r="B30" i="10"/>
  <c r="C30" i="10"/>
  <c r="D30" i="10"/>
  <c r="C30" i="12" s="1"/>
  <c r="U30" i="12" s="1"/>
  <c r="AV30" i="12" s="1"/>
  <c r="E30" i="10"/>
  <c r="D30" i="12" s="1"/>
  <c r="V30" i="12" s="1"/>
  <c r="AW30" i="12" s="1"/>
  <c r="F30" i="10"/>
  <c r="E30" i="12" s="1"/>
  <c r="W30" i="12" s="1"/>
  <c r="G30" i="10"/>
  <c r="H30" i="10"/>
  <c r="I30" i="10"/>
  <c r="G30" i="12" s="1"/>
  <c r="Y30" i="12" s="1"/>
  <c r="AZ30" i="12" s="1"/>
  <c r="B31" i="10"/>
  <c r="C31" i="10"/>
  <c r="D31" i="10"/>
  <c r="C31" i="12" s="1"/>
  <c r="U31" i="12" s="1"/>
  <c r="AV31" i="12" s="1"/>
  <c r="E31" i="10"/>
  <c r="D31" i="12" s="1"/>
  <c r="V31" i="12" s="1"/>
  <c r="AW31" i="12" s="1"/>
  <c r="F31" i="10"/>
  <c r="E31" i="12" s="1"/>
  <c r="W31" i="12" s="1"/>
  <c r="G31" i="10"/>
  <c r="H31" i="10"/>
  <c r="I31" i="10"/>
  <c r="G31" i="12" s="1"/>
  <c r="Y31" i="12" s="1"/>
  <c r="AZ31" i="12" s="1"/>
  <c r="B32" i="10"/>
  <c r="C32" i="10"/>
  <c r="D32" i="10"/>
  <c r="C32" i="12" s="1"/>
  <c r="U32" i="12" s="1"/>
  <c r="AV32" i="12" s="1"/>
  <c r="E32" i="10"/>
  <c r="D32" i="12" s="1"/>
  <c r="V32" i="12" s="1"/>
  <c r="AW32" i="12" s="1"/>
  <c r="F32" i="10"/>
  <c r="E32" i="12" s="1"/>
  <c r="W32" i="12" s="1"/>
  <c r="G32" i="10"/>
  <c r="H32" i="10"/>
  <c r="I32" i="10"/>
  <c r="G32" i="12" s="1"/>
  <c r="Y32" i="12" s="1"/>
  <c r="AZ32" i="12" s="1"/>
  <c r="B33" i="10"/>
  <c r="C33" i="10"/>
  <c r="D33" i="10"/>
  <c r="C33" i="12" s="1"/>
  <c r="U33" i="12" s="1"/>
  <c r="AV33" i="12" s="1"/>
  <c r="E33" i="10"/>
  <c r="D33" i="12" s="1"/>
  <c r="V33" i="12" s="1"/>
  <c r="AW33" i="12" s="1"/>
  <c r="F33" i="10"/>
  <c r="E33" i="12" s="1"/>
  <c r="W33" i="12" s="1"/>
  <c r="G33" i="10"/>
  <c r="H33" i="10"/>
  <c r="I33" i="10"/>
  <c r="G33" i="12" s="1"/>
  <c r="Y33" i="12" s="1"/>
  <c r="AZ33" i="12" s="1"/>
  <c r="B34" i="10"/>
  <c r="C34" i="10"/>
  <c r="D34" i="10"/>
  <c r="C34" i="12" s="1"/>
  <c r="U34" i="12" s="1"/>
  <c r="AV34" i="12" s="1"/>
  <c r="E34" i="10"/>
  <c r="D34" i="12" s="1"/>
  <c r="V34" i="12" s="1"/>
  <c r="AW34" i="12" s="1"/>
  <c r="F34" i="10"/>
  <c r="E34" i="12" s="1"/>
  <c r="W34" i="12" s="1"/>
  <c r="G34" i="10"/>
  <c r="H34" i="10"/>
  <c r="I34" i="10"/>
  <c r="G34" i="12" s="1"/>
  <c r="Y34" i="12" s="1"/>
  <c r="AZ34" i="12" s="1"/>
  <c r="B35" i="10"/>
  <c r="C35" i="10"/>
  <c r="D35" i="10"/>
  <c r="C35" i="12" s="1"/>
  <c r="U35" i="12" s="1"/>
  <c r="AV35" i="12" s="1"/>
  <c r="E35" i="10"/>
  <c r="D35" i="12" s="1"/>
  <c r="V35" i="12" s="1"/>
  <c r="AW35" i="12" s="1"/>
  <c r="F35" i="10"/>
  <c r="E35" i="12" s="1"/>
  <c r="W35" i="12" s="1"/>
  <c r="G35" i="10"/>
  <c r="H35" i="10"/>
  <c r="I35" i="10"/>
  <c r="G35" i="12" s="1"/>
  <c r="Y35" i="12" s="1"/>
  <c r="AZ35" i="12" s="1"/>
  <c r="B36" i="10"/>
  <c r="C36" i="10"/>
  <c r="D36" i="10"/>
  <c r="C36" i="12" s="1"/>
  <c r="U36" i="12" s="1"/>
  <c r="AV36" i="12" s="1"/>
  <c r="E36" i="10"/>
  <c r="D36" i="12" s="1"/>
  <c r="V36" i="12" s="1"/>
  <c r="F36" i="10"/>
  <c r="E36" i="12" s="1"/>
  <c r="W36" i="12" s="1"/>
  <c r="G36" i="10"/>
  <c r="H36" i="10"/>
  <c r="I36" i="10"/>
  <c r="G36" i="12" s="1"/>
  <c r="Y36" i="12" s="1"/>
  <c r="AZ36" i="12" s="1"/>
  <c r="B37" i="10"/>
  <c r="C37" i="10"/>
  <c r="D37" i="10"/>
  <c r="C37" i="12" s="1"/>
  <c r="U37" i="12" s="1"/>
  <c r="AV37" i="12" s="1"/>
  <c r="E37" i="10"/>
  <c r="D37" i="12" s="1"/>
  <c r="V37" i="12" s="1"/>
  <c r="AW37" i="12" s="1"/>
  <c r="F37" i="10"/>
  <c r="E37" i="12" s="1"/>
  <c r="W37" i="12" s="1"/>
  <c r="G37" i="10"/>
  <c r="H37" i="10"/>
  <c r="I37" i="10"/>
  <c r="G37" i="12" s="1"/>
  <c r="Y37" i="12" s="1"/>
  <c r="AZ37" i="12" s="1"/>
  <c r="B38" i="10"/>
  <c r="C38" i="10"/>
  <c r="D38" i="10"/>
  <c r="C38" i="12" s="1"/>
  <c r="U38" i="12" s="1"/>
  <c r="AV38" i="12" s="1"/>
  <c r="E38" i="10"/>
  <c r="D38" i="12" s="1"/>
  <c r="V38" i="12" s="1"/>
  <c r="AW38" i="12" s="1"/>
  <c r="F38" i="10"/>
  <c r="E38" i="12" s="1"/>
  <c r="W38" i="12" s="1"/>
  <c r="G38" i="10"/>
  <c r="H38" i="10"/>
  <c r="I38" i="10"/>
  <c r="G38" i="12" s="1"/>
  <c r="Y38" i="12" s="1"/>
  <c r="B39" i="10"/>
  <c r="C39" i="10"/>
  <c r="D39" i="10"/>
  <c r="C39" i="12" s="1"/>
  <c r="U39" i="12" s="1"/>
  <c r="AV39" i="12" s="1"/>
  <c r="E39" i="10"/>
  <c r="D39" i="12" s="1"/>
  <c r="V39" i="12" s="1"/>
  <c r="AW39" i="12" s="1"/>
  <c r="F39" i="10"/>
  <c r="E39" i="12" s="1"/>
  <c r="W39" i="12" s="1"/>
  <c r="G39" i="10"/>
  <c r="H39" i="10"/>
  <c r="I39" i="10"/>
  <c r="G39" i="12" s="1"/>
  <c r="Y39" i="12" s="1"/>
  <c r="AZ39" i="12" s="1"/>
  <c r="B40" i="10"/>
  <c r="C40" i="10"/>
  <c r="D40" i="10"/>
  <c r="C40" i="12" s="1"/>
  <c r="U40" i="12" s="1"/>
  <c r="AV40" i="12" s="1"/>
  <c r="E40" i="10"/>
  <c r="D40" i="12" s="1"/>
  <c r="V40" i="12" s="1"/>
  <c r="AW40" i="12" s="1"/>
  <c r="F40" i="10"/>
  <c r="E40" i="12" s="1"/>
  <c r="W40" i="12" s="1"/>
  <c r="G40" i="10"/>
  <c r="H40" i="10"/>
  <c r="I40" i="10"/>
  <c r="G40" i="12" s="1"/>
  <c r="Y40" i="12" s="1"/>
  <c r="AZ40" i="12" s="1"/>
  <c r="B41" i="10"/>
  <c r="C41" i="10"/>
  <c r="D41" i="10"/>
  <c r="C41" i="12" s="1"/>
  <c r="U41" i="12" s="1"/>
  <c r="E41" i="10"/>
  <c r="D41" i="12" s="1"/>
  <c r="V41" i="12" s="1"/>
  <c r="AW41" i="12" s="1"/>
  <c r="F41" i="10"/>
  <c r="E41" i="12" s="1"/>
  <c r="W41" i="12" s="1"/>
  <c r="G41" i="10"/>
  <c r="H41" i="10"/>
  <c r="I41" i="10"/>
  <c r="G41" i="12" s="1"/>
  <c r="Y41" i="12" s="1"/>
  <c r="AZ41" i="12" s="1"/>
  <c r="B42" i="10"/>
  <c r="C42" i="10"/>
  <c r="D42" i="10"/>
  <c r="C42" i="12" s="1"/>
  <c r="U42" i="12" s="1"/>
  <c r="AV42" i="12" s="1"/>
  <c r="E42" i="10"/>
  <c r="D42" i="12" s="1"/>
  <c r="V42" i="12" s="1"/>
  <c r="AW42" i="12" s="1"/>
  <c r="F42" i="10"/>
  <c r="E42" i="12" s="1"/>
  <c r="W42" i="12" s="1"/>
  <c r="G42" i="10"/>
  <c r="H42" i="10"/>
  <c r="I42" i="10"/>
  <c r="G42" i="12" s="1"/>
  <c r="Y42" i="12" s="1"/>
  <c r="AZ42" i="12" s="1"/>
  <c r="B43" i="10"/>
  <c r="C43" i="10"/>
  <c r="D43" i="10"/>
  <c r="C43" i="12" s="1"/>
  <c r="U43" i="12" s="1"/>
  <c r="AV43" i="12" s="1"/>
  <c r="E43" i="10"/>
  <c r="D43" i="12" s="1"/>
  <c r="V43" i="12" s="1"/>
  <c r="AW43" i="12" s="1"/>
  <c r="F43" i="10"/>
  <c r="E43" i="12" s="1"/>
  <c r="W43" i="12" s="1"/>
  <c r="G43" i="10"/>
  <c r="H43" i="10"/>
  <c r="I43" i="10"/>
  <c r="G43" i="12" s="1"/>
  <c r="Y43" i="12" s="1"/>
  <c r="AZ43" i="12" s="1"/>
  <c r="B44" i="10"/>
  <c r="C44" i="10"/>
  <c r="D44" i="10"/>
  <c r="C44" i="12" s="1"/>
  <c r="U44" i="12" s="1"/>
  <c r="AV44" i="12" s="1"/>
  <c r="E44" i="10"/>
  <c r="D44" i="12" s="1"/>
  <c r="V44" i="12" s="1"/>
  <c r="AW44" i="12" s="1"/>
  <c r="F44" i="10"/>
  <c r="E44" i="12" s="1"/>
  <c r="W44" i="12" s="1"/>
  <c r="G44" i="10"/>
  <c r="H44" i="10"/>
  <c r="I44" i="10"/>
  <c r="G44" i="12" s="1"/>
  <c r="Y44" i="12" s="1"/>
  <c r="AZ44" i="12" s="1"/>
  <c r="B45" i="10"/>
  <c r="C45" i="10"/>
  <c r="D45" i="10"/>
  <c r="C45" i="12" s="1"/>
  <c r="U45" i="12" s="1"/>
  <c r="AV45" i="12" s="1"/>
  <c r="E45" i="10"/>
  <c r="D45" i="12" s="1"/>
  <c r="V45" i="12" s="1"/>
  <c r="AW45" i="12" s="1"/>
  <c r="F45" i="10"/>
  <c r="E45" i="12" s="1"/>
  <c r="W45" i="12" s="1"/>
  <c r="G45" i="10"/>
  <c r="H45" i="10"/>
  <c r="I45" i="10"/>
  <c r="G45" i="12" s="1"/>
  <c r="Y45" i="12" s="1"/>
  <c r="AZ45" i="12" s="1"/>
  <c r="B46" i="10"/>
  <c r="C46" i="10"/>
  <c r="D46" i="10"/>
  <c r="C46" i="12" s="1"/>
  <c r="U46" i="12" s="1"/>
  <c r="AV46" i="12" s="1"/>
  <c r="E46" i="10"/>
  <c r="D46" i="12" s="1"/>
  <c r="V46" i="12" s="1"/>
  <c r="AW46" i="12" s="1"/>
  <c r="F46" i="10"/>
  <c r="E46" i="12" s="1"/>
  <c r="G46" i="10"/>
  <c r="H46" i="10"/>
  <c r="I46" i="10"/>
  <c r="G46" i="12" s="1"/>
  <c r="Y46" i="12" s="1"/>
  <c r="AZ46" i="12" s="1"/>
  <c r="B47" i="10"/>
  <c r="C47" i="10"/>
  <c r="D47" i="10"/>
  <c r="C47" i="12" s="1"/>
  <c r="U47" i="12" s="1"/>
  <c r="AV47" i="12" s="1"/>
  <c r="E47" i="10"/>
  <c r="D47" i="12" s="1"/>
  <c r="V47" i="12" s="1"/>
  <c r="AW47" i="12" s="1"/>
  <c r="F47" i="10"/>
  <c r="E47" i="12" s="1"/>
  <c r="W47" i="12" s="1"/>
  <c r="G47" i="10"/>
  <c r="H47" i="10"/>
  <c r="I47" i="10"/>
  <c r="G47" i="12" s="1"/>
  <c r="Y47" i="12" s="1"/>
  <c r="AZ47" i="12" s="1"/>
  <c r="B48" i="10"/>
  <c r="C48" i="10"/>
  <c r="D48" i="10"/>
  <c r="C48" i="12" s="1"/>
  <c r="U48" i="12" s="1"/>
  <c r="E48" i="10"/>
  <c r="D48" i="12" s="1"/>
  <c r="V48" i="12" s="1"/>
  <c r="AW48" i="12" s="1"/>
  <c r="F48" i="10"/>
  <c r="E48" i="12" s="1"/>
  <c r="W48" i="12" s="1"/>
  <c r="G48" i="10"/>
  <c r="H48" i="10"/>
  <c r="I48" i="10"/>
  <c r="G48" i="12" s="1"/>
  <c r="Y48" i="12" s="1"/>
  <c r="AZ48" i="12" s="1"/>
  <c r="C10" i="10"/>
  <c r="D10" i="10"/>
  <c r="C10" i="12" s="1"/>
  <c r="U10" i="12" s="1"/>
  <c r="AV10" i="12" s="1"/>
  <c r="E10" i="10"/>
  <c r="D10" i="12" s="1"/>
  <c r="V10" i="12" s="1"/>
  <c r="AW10" i="12" s="1"/>
  <c r="F10" i="10"/>
  <c r="E10" i="12" s="1"/>
  <c r="G10" i="10"/>
  <c r="H10" i="10"/>
  <c r="I10" i="10"/>
  <c r="G10" i="12" s="1"/>
  <c r="Y10" i="12" s="1"/>
  <c r="AZ10" i="12" s="1"/>
  <c r="B10" i="10"/>
  <c r="AJ49" i="10"/>
  <c r="AQ49" i="12" s="1"/>
  <c r="AI49" i="10"/>
  <c r="AH49" i="10"/>
  <c r="AF49" i="10"/>
  <c r="AN49" i="12" s="1"/>
  <c r="AE49" i="10"/>
  <c r="AM49" i="12" s="1"/>
  <c r="AD49" i="10"/>
  <c r="AD9" i="10"/>
  <c r="AH9" i="10"/>
  <c r="AA49" i="10"/>
  <c r="AH49" i="12" s="1"/>
  <c r="Z49" i="10"/>
  <c r="Y49" i="10"/>
  <c r="U49" i="10"/>
  <c r="Y9" i="10"/>
  <c r="W9" i="10"/>
  <c r="AE9" i="12" s="1"/>
  <c r="U9" i="10"/>
  <c r="R49" i="10"/>
  <c r="P49" i="12" s="1"/>
  <c r="Q49" i="10"/>
  <c r="P49" i="10"/>
  <c r="O49" i="10"/>
  <c r="N49" i="12" s="1"/>
  <c r="L49" i="10"/>
  <c r="M9" i="10"/>
  <c r="L9" i="12" s="1"/>
  <c r="G49" i="10"/>
  <c r="C49" i="10"/>
  <c r="F50" i="12" l="1"/>
  <c r="O50" i="12"/>
  <c r="X50" i="12" s="1"/>
  <c r="O51" i="12"/>
  <c r="O52" i="12"/>
  <c r="O53" i="12"/>
  <c r="O54" i="12"/>
  <c r="O55" i="12"/>
  <c r="O56" i="12"/>
  <c r="W51" i="12"/>
  <c r="AP50" i="12"/>
  <c r="AP51" i="12"/>
  <c r="AP52" i="12"/>
  <c r="AP53" i="12"/>
  <c r="AP54" i="12"/>
  <c r="AP55" i="12"/>
  <c r="AP56" i="12"/>
  <c r="C9" i="10"/>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56" i="12"/>
  <c r="B55" i="12"/>
  <c r="B54" i="12"/>
  <c r="B53" i="12"/>
  <c r="B52" i="12"/>
  <c r="B51" i="12"/>
  <c r="O10" i="12"/>
  <c r="K48" i="12"/>
  <c r="K47" i="12"/>
  <c r="K46" i="12"/>
  <c r="K45" i="12"/>
  <c r="T45" i="12" s="1"/>
  <c r="K44" i="12"/>
  <c r="K43" i="12"/>
  <c r="K42" i="12"/>
  <c r="K41" i="12"/>
  <c r="K40" i="12"/>
  <c r="K39" i="12"/>
  <c r="K38" i="12"/>
  <c r="K37" i="12"/>
  <c r="K36" i="12"/>
  <c r="K35" i="12"/>
  <c r="K34" i="12"/>
  <c r="AG50" i="12"/>
  <c r="AG51" i="12"/>
  <c r="AG52" i="12"/>
  <c r="AG53" i="12"/>
  <c r="AG54" i="12"/>
  <c r="AG55" i="12"/>
  <c r="AG56" i="12"/>
  <c r="AP16" i="12"/>
  <c r="K33" i="12"/>
  <c r="K32" i="12"/>
  <c r="K31" i="12"/>
  <c r="K30" i="12"/>
  <c r="K29" i="12"/>
  <c r="T29" i="12" s="1"/>
  <c r="K28" i="12"/>
  <c r="K27" i="12"/>
  <c r="K26" i="12"/>
  <c r="K25" i="12"/>
  <c r="K24" i="12"/>
  <c r="K23" i="12"/>
  <c r="K22" i="12"/>
  <c r="K21" i="12"/>
  <c r="K20" i="12"/>
  <c r="K19" i="12"/>
  <c r="K18" i="12"/>
  <c r="K17" i="12"/>
  <c r="K16" i="12"/>
  <c r="K15" i="12"/>
  <c r="K14" i="12"/>
  <c r="K13" i="12"/>
  <c r="K12" i="12"/>
  <c r="K11" i="12"/>
  <c r="AG10" i="12"/>
  <c r="AC48" i="12"/>
  <c r="AC47" i="12"/>
  <c r="AC46" i="12"/>
  <c r="AC45" i="12"/>
  <c r="AC44" i="12"/>
  <c r="AC43" i="12"/>
  <c r="AC42" i="12"/>
  <c r="AC41" i="12"/>
  <c r="AC40" i="12"/>
  <c r="AC39" i="12"/>
  <c r="AC38" i="12"/>
  <c r="AC37" i="12"/>
  <c r="AC36" i="12"/>
  <c r="AC35" i="12"/>
  <c r="AC34" i="12"/>
  <c r="AC33" i="12"/>
  <c r="AC32" i="12"/>
  <c r="AC31" i="12"/>
  <c r="AC30" i="12"/>
  <c r="AC29" i="12"/>
  <c r="AC28" i="12"/>
  <c r="AC27" i="12"/>
  <c r="AC26" i="12"/>
  <c r="AC25" i="12"/>
  <c r="AC24" i="12"/>
  <c r="AC23" i="12"/>
  <c r="AC22" i="12"/>
  <c r="AC21" i="12"/>
  <c r="AC20" i="12"/>
  <c r="AC19" i="12"/>
  <c r="AC18" i="12"/>
  <c r="AC17" i="12"/>
  <c r="AC16" i="12"/>
  <c r="AC15" i="12"/>
  <c r="AC14" i="12"/>
  <c r="AC13" i="12"/>
  <c r="AC12" i="12"/>
  <c r="AC11" i="12"/>
  <c r="AP10" i="12"/>
  <c r="AL48" i="12"/>
  <c r="AL47" i="12"/>
  <c r="AL46" i="12"/>
  <c r="AL45" i="12"/>
  <c r="AL44" i="12"/>
  <c r="AL43" i="12"/>
  <c r="AL42" i="12"/>
  <c r="AL41" i="12"/>
  <c r="AL40" i="12"/>
  <c r="AL39" i="12"/>
  <c r="AL38" i="12"/>
  <c r="AL37" i="12"/>
  <c r="AL36" i="12"/>
  <c r="AL35" i="12"/>
  <c r="AL34" i="12"/>
  <c r="AL33" i="12"/>
  <c r="AL32" i="12"/>
  <c r="AL31" i="12"/>
  <c r="AL30" i="12"/>
  <c r="AL29" i="12"/>
  <c r="AL28" i="12"/>
  <c r="AL27" i="12"/>
  <c r="F44" i="12"/>
  <c r="H44" i="12" s="1"/>
  <c r="F43" i="12"/>
  <c r="H43" i="12" s="1"/>
  <c r="F42" i="12"/>
  <c r="F41" i="12"/>
  <c r="I41" i="12" s="1"/>
  <c r="F40" i="12"/>
  <c r="I40" i="12" s="1"/>
  <c r="F39" i="12"/>
  <c r="I39" i="12" s="1"/>
  <c r="F38" i="12"/>
  <c r="F37" i="12"/>
  <c r="H37" i="12" s="1"/>
  <c r="F36" i="12"/>
  <c r="H36" i="12" s="1"/>
  <c r="F35" i="12"/>
  <c r="H35" i="12" s="1"/>
  <c r="F34" i="12"/>
  <c r="F33" i="12"/>
  <c r="I33" i="12" s="1"/>
  <c r="F32" i="12"/>
  <c r="I32" i="12" s="1"/>
  <c r="F31" i="12"/>
  <c r="I31" i="12" s="1"/>
  <c r="F30" i="12"/>
  <c r="F29" i="12"/>
  <c r="I29" i="12" s="1"/>
  <c r="F28" i="12"/>
  <c r="I28" i="12" s="1"/>
  <c r="F27" i="12"/>
  <c r="H27" i="12" s="1"/>
  <c r="F26" i="12"/>
  <c r="F25" i="12"/>
  <c r="I25" i="12" s="1"/>
  <c r="F24" i="12"/>
  <c r="I24" i="12" s="1"/>
  <c r="F23" i="12"/>
  <c r="I23" i="12" s="1"/>
  <c r="F22" i="12"/>
  <c r="F21" i="12"/>
  <c r="I21" i="12" s="1"/>
  <c r="F20" i="12"/>
  <c r="H20" i="12" s="1"/>
  <c r="F19" i="12"/>
  <c r="I19" i="12" s="1"/>
  <c r="F18" i="12"/>
  <c r="F17" i="12"/>
  <c r="F16" i="12"/>
  <c r="H16" i="12" s="1"/>
  <c r="F15" i="12"/>
  <c r="H15" i="12" s="1"/>
  <c r="F14" i="12"/>
  <c r="AG31" i="12"/>
  <c r="AL26" i="12"/>
  <c r="AL25" i="12"/>
  <c r="AL24" i="12"/>
  <c r="AL23" i="12"/>
  <c r="AL22" i="12"/>
  <c r="AL21" i="12"/>
  <c r="AL20" i="12"/>
  <c r="AL19" i="12"/>
  <c r="AL18" i="12"/>
  <c r="AL17" i="12"/>
  <c r="AL16" i="12"/>
  <c r="AL15" i="12"/>
  <c r="AL14" i="12"/>
  <c r="AL13" i="12"/>
  <c r="AL12" i="12"/>
  <c r="AL11" i="12"/>
  <c r="K51" i="12"/>
  <c r="T51" i="12" s="1"/>
  <c r="K52" i="12"/>
  <c r="R52" i="12" s="1"/>
  <c r="K53" i="12"/>
  <c r="K54" i="12"/>
  <c r="R54" i="12" s="1"/>
  <c r="K55" i="12"/>
  <c r="R55" i="12" s="1"/>
  <c r="K56" i="12"/>
  <c r="T56" i="12" s="1"/>
  <c r="AC51" i="12"/>
  <c r="AC52" i="12"/>
  <c r="AC53" i="12"/>
  <c r="AI53" i="12" s="1"/>
  <c r="AC54" i="12"/>
  <c r="AI54" i="12" s="1"/>
  <c r="AC55" i="12"/>
  <c r="AC56" i="12"/>
  <c r="AL53" i="12"/>
  <c r="AS53" i="12" s="1"/>
  <c r="AX48" i="12"/>
  <c r="W46" i="12"/>
  <c r="AX44" i="12"/>
  <c r="AX42" i="12"/>
  <c r="AX40" i="12"/>
  <c r="AX38" i="12"/>
  <c r="B10" i="12"/>
  <c r="U8" i="10"/>
  <c r="AG49" i="12"/>
  <c r="AD8" i="10"/>
  <c r="AP49" i="12"/>
  <c r="H49" i="10"/>
  <c r="F49" i="12" s="1"/>
  <c r="Q9" i="10"/>
  <c r="Q8" i="10" s="1"/>
  <c r="V9" i="10"/>
  <c r="AD9" i="12" s="1"/>
  <c r="AD41" i="12"/>
  <c r="AV41" i="12" s="1"/>
  <c r="Z9" i="10"/>
  <c r="Z8" i="10" s="1"/>
  <c r="T47" i="12"/>
  <c r="T41" i="12"/>
  <c r="T37" i="12"/>
  <c r="I37" i="12"/>
  <c r="AH8" i="10"/>
  <c r="O49" i="12"/>
  <c r="F48" i="12"/>
  <c r="I48" i="12" s="1"/>
  <c r="F47" i="12"/>
  <c r="I47" i="12" s="1"/>
  <c r="F46" i="12"/>
  <c r="F45" i="12"/>
  <c r="F13" i="12"/>
  <c r="H13" i="12" s="1"/>
  <c r="F12" i="12"/>
  <c r="I12" i="12" s="1"/>
  <c r="F11" i="12"/>
  <c r="D49" i="10"/>
  <c r="C49" i="12" s="1"/>
  <c r="C50" i="12"/>
  <c r="F56" i="12"/>
  <c r="F55" i="12"/>
  <c r="F54" i="12"/>
  <c r="H54" i="12" s="1"/>
  <c r="F53" i="12"/>
  <c r="X53" i="12" s="1"/>
  <c r="AY53" i="12" s="1"/>
  <c r="F52" i="12"/>
  <c r="F51" i="12"/>
  <c r="O48" i="12"/>
  <c r="L9" i="10"/>
  <c r="L8" i="10" s="1"/>
  <c r="O47" i="12"/>
  <c r="O46" i="12"/>
  <c r="R46" i="12" s="1"/>
  <c r="O45" i="12"/>
  <c r="O44" i="12"/>
  <c r="R44" i="12" s="1"/>
  <c r="O43" i="12"/>
  <c r="O42" i="12"/>
  <c r="X42" i="12" s="1"/>
  <c r="O41" i="12"/>
  <c r="R41" i="12" s="1"/>
  <c r="O40" i="12"/>
  <c r="O39" i="12"/>
  <c r="O38" i="12"/>
  <c r="Q38" i="12" s="1"/>
  <c r="O37" i="12"/>
  <c r="O36" i="12"/>
  <c r="O35" i="12"/>
  <c r="O34" i="12"/>
  <c r="X34" i="12" s="1"/>
  <c r="O33" i="12"/>
  <c r="O32" i="12"/>
  <c r="O31" i="12"/>
  <c r="O30" i="12"/>
  <c r="R30" i="12" s="1"/>
  <c r="O29" i="12"/>
  <c r="O28" i="12"/>
  <c r="O27" i="12"/>
  <c r="O26" i="12"/>
  <c r="X26" i="12" s="1"/>
  <c r="O25" i="12"/>
  <c r="O24" i="12"/>
  <c r="O23" i="12"/>
  <c r="O22" i="12"/>
  <c r="Q22" i="12" s="1"/>
  <c r="O21" i="12"/>
  <c r="R21" i="12" s="1"/>
  <c r="O20" i="12"/>
  <c r="O19" i="12"/>
  <c r="O18" i="12"/>
  <c r="X18" i="12" s="1"/>
  <c r="O17" i="12"/>
  <c r="O16" i="12"/>
  <c r="O15" i="12"/>
  <c r="O14" i="12"/>
  <c r="R14" i="12" s="1"/>
  <c r="O13" i="12"/>
  <c r="O12" i="12"/>
  <c r="O11" i="12"/>
  <c r="M49" i="10"/>
  <c r="L49" i="12" s="1"/>
  <c r="L50" i="12"/>
  <c r="AG48" i="12"/>
  <c r="AJ48" i="12" s="1"/>
  <c r="AG47" i="12"/>
  <c r="AI47" i="12" s="1"/>
  <c r="AG46" i="12"/>
  <c r="AG45" i="12"/>
  <c r="AG44" i="12"/>
  <c r="AJ44" i="12" s="1"/>
  <c r="AG43" i="12"/>
  <c r="AI43" i="12" s="1"/>
  <c r="AG42" i="12"/>
  <c r="AG41" i="12"/>
  <c r="AG40" i="12"/>
  <c r="AI40" i="12" s="1"/>
  <c r="AG39" i="12"/>
  <c r="AJ39" i="12" s="1"/>
  <c r="AG38" i="12"/>
  <c r="AG37" i="12"/>
  <c r="AG36" i="12"/>
  <c r="AI36" i="12" s="1"/>
  <c r="AG35" i="12"/>
  <c r="AJ35" i="12" s="1"/>
  <c r="AG34" i="12"/>
  <c r="AG33" i="12"/>
  <c r="AG32" i="12"/>
  <c r="AI32" i="12" s="1"/>
  <c r="G9" i="10"/>
  <c r="G8" i="10" s="1"/>
  <c r="F10" i="12"/>
  <c r="X10" i="12" s="1"/>
  <c r="AX47" i="12"/>
  <c r="AX45" i="12"/>
  <c r="AX43" i="12"/>
  <c r="AX41" i="12"/>
  <c r="AX39" i="12"/>
  <c r="AX37" i="12"/>
  <c r="AX36" i="12"/>
  <c r="AX35" i="12"/>
  <c r="AX34" i="12"/>
  <c r="AX33" i="12"/>
  <c r="T33" i="12"/>
  <c r="AX32" i="12"/>
  <c r="H32" i="12"/>
  <c r="AX31" i="12"/>
  <c r="AX30" i="12"/>
  <c r="AX29" i="12"/>
  <c r="H29" i="12"/>
  <c r="AX28" i="12"/>
  <c r="H28" i="12"/>
  <c r="AX27" i="12"/>
  <c r="AX26" i="12"/>
  <c r="AX25" i="12"/>
  <c r="H25" i="12"/>
  <c r="T25" i="12"/>
  <c r="AX24" i="12"/>
  <c r="AX23" i="12"/>
  <c r="AX22" i="12"/>
  <c r="AX21" i="12"/>
  <c r="H21" i="12"/>
  <c r="T21" i="12"/>
  <c r="AX20" i="12"/>
  <c r="I20" i="12"/>
  <c r="T20" i="12"/>
  <c r="AX19" i="12"/>
  <c r="AX18" i="12"/>
  <c r="AX17" i="12"/>
  <c r="H17" i="12"/>
  <c r="T17" i="12"/>
  <c r="I17" i="12"/>
  <c r="AX16" i="12"/>
  <c r="I16" i="12"/>
  <c r="AX15" i="12"/>
  <c r="AX14" i="12"/>
  <c r="AX13" i="12"/>
  <c r="T13" i="12"/>
  <c r="AX12" i="12"/>
  <c r="AX11" i="12"/>
  <c r="AX56" i="12"/>
  <c r="AX55" i="12"/>
  <c r="AX54" i="12"/>
  <c r="T54" i="12"/>
  <c r="AX53" i="12"/>
  <c r="AX52" i="12"/>
  <c r="AX51" i="12"/>
  <c r="R45" i="12"/>
  <c r="R37" i="12"/>
  <c r="R33" i="12"/>
  <c r="R29" i="12"/>
  <c r="R25" i="12"/>
  <c r="R24" i="12"/>
  <c r="R17" i="12"/>
  <c r="R13" i="12"/>
  <c r="N49" i="10"/>
  <c r="M49" i="12" s="1"/>
  <c r="M50" i="12"/>
  <c r="V50" i="12" s="1"/>
  <c r="AI45" i="12"/>
  <c r="AJ45" i="12"/>
  <c r="AI41" i="12"/>
  <c r="AJ37" i="12"/>
  <c r="AI37" i="12"/>
  <c r="AJ36" i="12"/>
  <c r="AI33" i="12"/>
  <c r="AJ33" i="12"/>
  <c r="W49" i="10"/>
  <c r="AE49" i="12" s="1"/>
  <c r="AE50" i="12"/>
  <c r="AG9" i="12"/>
  <c r="H40" i="12"/>
  <c r="B49" i="10"/>
  <c r="B49" i="12" s="1"/>
  <c r="B50" i="12"/>
  <c r="F49" i="10"/>
  <c r="E49" i="12" s="1"/>
  <c r="W49" i="12" s="1"/>
  <c r="E50" i="12"/>
  <c r="W50" i="12" s="1"/>
  <c r="I49" i="10"/>
  <c r="G49" i="12" s="1"/>
  <c r="Y49" i="12" s="1"/>
  <c r="AZ49" i="12" s="1"/>
  <c r="G54" i="12"/>
  <c r="Y54" i="12" s="1"/>
  <c r="AZ54" i="12" s="1"/>
  <c r="K9" i="10"/>
  <c r="K10" i="12"/>
  <c r="O9" i="10"/>
  <c r="N9" i="12" s="1"/>
  <c r="N10" i="12"/>
  <c r="W10" i="12" s="1"/>
  <c r="K49" i="10"/>
  <c r="K49" i="12" s="1"/>
  <c r="K50" i="12"/>
  <c r="R53" i="12"/>
  <c r="T9" i="10"/>
  <c r="AC9" i="12" s="1"/>
  <c r="AC10" i="12"/>
  <c r="X9" i="10"/>
  <c r="AF9" i="12" s="1"/>
  <c r="AF10" i="12"/>
  <c r="AS16" i="12"/>
  <c r="T49" i="10"/>
  <c r="AC49" i="12" s="1"/>
  <c r="AC50" i="12"/>
  <c r="X49" i="10"/>
  <c r="AF49" i="12" s="1"/>
  <c r="AF50" i="12"/>
  <c r="AJ51" i="12"/>
  <c r="AI55" i="12"/>
  <c r="AC9" i="10"/>
  <c r="AL9" i="12" s="1"/>
  <c r="AL10" i="12"/>
  <c r="AG9" i="10"/>
  <c r="AO9" i="12" s="1"/>
  <c r="AO10" i="12"/>
  <c r="AJ9" i="10"/>
  <c r="AQ38" i="12"/>
  <c r="AF9" i="10"/>
  <c r="AN36" i="12"/>
  <c r="AW36" i="12" s="1"/>
  <c r="AC49" i="10"/>
  <c r="AL49" i="12" s="1"/>
  <c r="AL50" i="12"/>
  <c r="AG49" i="10"/>
  <c r="AO49" i="12" s="1"/>
  <c r="AO50" i="12"/>
  <c r="AL51" i="12"/>
  <c r="AL52" i="12"/>
  <c r="AL54" i="12"/>
  <c r="AS54" i="12" s="1"/>
  <c r="AL55" i="12"/>
  <c r="AL56" i="12"/>
  <c r="AE9" i="10"/>
  <c r="AM9" i="12" s="1"/>
  <c r="AM48" i="12"/>
  <c r="AV48" i="12" s="1"/>
  <c r="AG30" i="12"/>
  <c r="AG29" i="12"/>
  <c r="AJ29" i="12" s="1"/>
  <c r="AG28" i="12"/>
  <c r="AI28" i="12" s="1"/>
  <c r="AG27" i="12"/>
  <c r="AJ27" i="12" s="1"/>
  <c r="AG26" i="12"/>
  <c r="AG25" i="12"/>
  <c r="AJ25" i="12" s="1"/>
  <c r="AG24" i="12"/>
  <c r="AI24" i="12" s="1"/>
  <c r="AG23" i="12"/>
  <c r="AJ23" i="12" s="1"/>
  <c r="AG22" i="12"/>
  <c r="AG21" i="12"/>
  <c r="AJ21" i="12" s="1"/>
  <c r="AG20" i="12"/>
  <c r="AI20" i="12" s="1"/>
  <c r="AG19" i="12"/>
  <c r="AJ19" i="12" s="1"/>
  <c r="AG18" i="12"/>
  <c r="AG17" i="12"/>
  <c r="AJ17" i="12" s="1"/>
  <c r="AG16" i="12"/>
  <c r="AI16" i="12" s="1"/>
  <c r="AG15" i="12"/>
  <c r="AJ15" i="12" s="1"/>
  <c r="AG14" i="12"/>
  <c r="AG13" i="12"/>
  <c r="AJ13" i="12" s="1"/>
  <c r="AG12" i="12"/>
  <c r="AI12" i="12" s="1"/>
  <c r="AG11" i="12"/>
  <c r="AJ11" i="12" s="1"/>
  <c r="V49" i="10"/>
  <c r="AD49" i="12" s="1"/>
  <c r="AD50" i="12"/>
  <c r="AP48" i="12"/>
  <c r="AP47" i="12"/>
  <c r="AR47" i="12" s="1"/>
  <c r="AP46" i="12"/>
  <c r="AP45" i="12"/>
  <c r="AP44" i="12"/>
  <c r="AS44" i="12" s="1"/>
  <c r="AP43" i="12"/>
  <c r="AP42" i="12"/>
  <c r="AP41" i="12"/>
  <c r="AP40" i="12"/>
  <c r="AS40" i="12" s="1"/>
  <c r="AP39" i="12"/>
  <c r="AP38" i="12"/>
  <c r="AP37" i="12"/>
  <c r="AP36" i="12"/>
  <c r="AP35" i="12"/>
  <c r="AP34" i="12"/>
  <c r="AP33" i="12"/>
  <c r="AP32" i="12"/>
  <c r="AS32" i="12" s="1"/>
  <c r="AP31" i="12"/>
  <c r="AP30" i="12"/>
  <c r="AP29" i="12"/>
  <c r="AP28" i="12"/>
  <c r="AS28" i="12" s="1"/>
  <c r="AP27" i="12"/>
  <c r="AP26" i="12"/>
  <c r="AP25" i="12"/>
  <c r="AP24" i="12"/>
  <c r="AS24" i="12" s="1"/>
  <c r="AP23" i="12"/>
  <c r="AP22" i="12"/>
  <c r="AP21" i="12"/>
  <c r="AP20" i="12"/>
  <c r="AS20" i="12" s="1"/>
  <c r="AP19" i="12"/>
  <c r="AP18" i="12"/>
  <c r="AP17" i="12"/>
  <c r="AP15" i="12"/>
  <c r="AR15" i="12" s="1"/>
  <c r="AP14" i="12"/>
  <c r="AP13" i="12"/>
  <c r="AP12" i="12"/>
  <c r="AR12" i="12" s="1"/>
  <c r="AP11" i="12"/>
  <c r="AS11" i="12" s="1"/>
  <c r="AR16" i="12"/>
  <c r="Q13" i="12"/>
  <c r="Q16" i="12"/>
  <c r="Q17" i="12"/>
  <c r="Q21" i="12"/>
  <c r="Q25" i="12"/>
  <c r="Q29" i="12"/>
  <c r="Q33" i="12"/>
  <c r="Q37" i="12"/>
  <c r="Q40" i="12"/>
  <c r="Q41" i="12"/>
  <c r="Q45" i="12"/>
  <c r="Q51" i="12"/>
  <c r="Q53" i="12"/>
  <c r="Q54" i="12"/>
  <c r="AE8" i="10"/>
  <c r="AM8" i="12" s="1"/>
  <c r="AI9" i="10"/>
  <c r="AI8" i="10" s="1"/>
  <c r="Y8" i="10"/>
  <c r="AA9" i="10"/>
  <c r="R9" i="10"/>
  <c r="N9" i="10"/>
  <c r="P9" i="10"/>
  <c r="E49" i="10"/>
  <c r="D49" i="12" s="1"/>
  <c r="B9" i="10"/>
  <c r="F9" i="10"/>
  <c r="E9" i="10"/>
  <c r="I9" i="10"/>
  <c r="H9" i="10"/>
  <c r="H8" i="10" s="1"/>
  <c r="D9" i="10"/>
  <c r="C8" i="10"/>
  <c r="P63" i="9"/>
  <c r="Q63" i="9" s="1"/>
  <c r="R63" i="9" s="1"/>
  <c r="P56" i="9"/>
  <c r="Q56" i="9" s="1"/>
  <c r="R56" i="9" s="1"/>
  <c r="P49" i="9"/>
  <c r="Q49" i="9" s="1"/>
  <c r="R49" i="9" s="1"/>
  <c r="P42" i="9"/>
  <c r="Q42" i="9" s="1"/>
  <c r="R42" i="9" s="1"/>
  <c r="P35" i="9"/>
  <c r="Q35" i="9" s="1"/>
  <c r="R35" i="9" s="1"/>
  <c r="P28" i="9"/>
  <c r="Q28" i="9" s="1"/>
  <c r="R28" i="9" s="1"/>
  <c r="P21" i="9"/>
  <c r="Q21" i="9" s="1"/>
  <c r="R21" i="9" s="1"/>
  <c r="P14" i="9"/>
  <c r="Q14" i="9" s="1"/>
  <c r="R14" i="9" s="1"/>
  <c r="O62" i="9"/>
  <c r="O55" i="9"/>
  <c r="O48" i="9"/>
  <c r="O41" i="9"/>
  <c r="O34" i="9"/>
  <c r="O27" i="9"/>
  <c r="O20" i="9"/>
  <c r="T16" i="12" l="1"/>
  <c r="T24" i="12"/>
  <c r="T32" i="12"/>
  <c r="T40" i="12"/>
  <c r="T44" i="12"/>
  <c r="AJ40" i="12"/>
  <c r="AJ32" i="12"/>
  <c r="AI44" i="12"/>
  <c r="H53" i="12"/>
  <c r="T11" i="12"/>
  <c r="T19" i="12"/>
  <c r="T23" i="12"/>
  <c r="AI56" i="12"/>
  <c r="AI52" i="12"/>
  <c r="T35" i="12"/>
  <c r="T43" i="12"/>
  <c r="Q47" i="12"/>
  <c r="H14" i="12"/>
  <c r="T18" i="12"/>
  <c r="T22" i="12"/>
  <c r="T26" i="12"/>
  <c r="Z26" i="12" s="1"/>
  <c r="H30" i="12"/>
  <c r="I34" i="12"/>
  <c r="H38" i="12"/>
  <c r="I42" i="12"/>
  <c r="AR18" i="12"/>
  <c r="AJ31" i="12"/>
  <c r="AI39" i="12"/>
  <c r="AJ55" i="12"/>
  <c r="AI51" i="12"/>
  <c r="Q48" i="12"/>
  <c r="H11" i="12"/>
  <c r="I14" i="12"/>
  <c r="R40" i="12"/>
  <c r="H24" i="12"/>
  <c r="AG8" i="10"/>
  <c r="AO8" i="12" s="1"/>
  <c r="Q24" i="12"/>
  <c r="K9" i="12"/>
  <c r="I44" i="12"/>
  <c r="AS18" i="12"/>
  <c r="AS22" i="12"/>
  <c r="AS26" i="12"/>
  <c r="AS30" i="12"/>
  <c r="AS34" i="12"/>
  <c r="AR38" i="12"/>
  <c r="AS42" i="12"/>
  <c r="AS46" i="12"/>
  <c r="AS55" i="12"/>
  <c r="AI31" i="12"/>
  <c r="R32" i="12"/>
  <c r="H22" i="12"/>
  <c r="H33" i="12"/>
  <c r="AY10" i="12"/>
  <c r="X51" i="12"/>
  <c r="AY51" i="12" s="1"/>
  <c r="X55" i="12"/>
  <c r="AY55" i="12" s="1"/>
  <c r="I11" i="12"/>
  <c r="H41" i="12"/>
  <c r="Q15" i="12"/>
  <c r="Q27" i="12"/>
  <c r="Q31" i="12"/>
  <c r="Q39" i="12"/>
  <c r="H52" i="12"/>
  <c r="H56" i="12"/>
  <c r="H18" i="12"/>
  <c r="I27" i="12"/>
  <c r="T31" i="12"/>
  <c r="AR26" i="12"/>
  <c r="AR42" i="12"/>
  <c r="AI35" i="12"/>
  <c r="AJ47" i="12"/>
  <c r="Q12" i="12"/>
  <c r="Q20" i="12"/>
  <c r="R28" i="12"/>
  <c r="R36" i="12"/>
  <c r="I53" i="12"/>
  <c r="T15" i="12"/>
  <c r="H19" i="12"/>
  <c r="T39" i="12"/>
  <c r="AU39" i="12" s="1"/>
  <c r="I43" i="12"/>
  <c r="O8" i="10"/>
  <c r="N8" i="12" s="1"/>
  <c r="Q32" i="12"/>
  <c r="AR53" i="12"/>
  <c r="H48" i="12"/>
  <c r="R16" i="12"/>
  <c r="T55" i="12"/>
  <c r="I36" i="12"/>
  <c r="I46" i="12"/>
  <c r="AI38" i="12"/>
  <c r="AJ34" i="12"/>
  <c r="AJ46" i="12"/>
  <c r="Z18" i="12"/>
  <c r="T52" i="12"/>
  <c r="Q55" i="12"/>
  <c r="AR48" i="12"/>
  <c r="R51" i="12"/>
  <c r="T42" i="12"/>
  <c r="AI34" i="12"/>
  <c r="R12" i="12"/>
  <c r="T28" i="12"/>
  <c r="AU28" i="12" s="1"/>
  <c r="T30" i="12"/>
  <c r="AU30" i="12" s="1"/>
  <c r="T34" i="12"/>
  <c r="Z34" i="12" s="1"/>
  <c r="T36" i="12"/>
  <c r="X16" i="12"/>
  <c r="AY16" i="12" s="1"/>
  <c r="X20" i="12"/>
  <c r="Z20" i="12" s="1"/>
  <c r="X24" i="12"/>
  <c r="AY24" i="12" s="1"/>
  <c r="X28" i="12"/>
  <c r="AY28" i="12" s="1"/>
  <c r="X32" i="12"/>
  <c r="AY32" i="12" s="1"/>
  <c r="X36" i="12"/>
  <c r="X40" i="12"/>
  <c r="AY40" i="12" s="1"/>
  <c r="X44" i="12"/>
  <c r="AY44" i="12" s="1"/>
  <c r="AI42" i="12"/>
  <c r="H46" i="12"/>
  <c r="AI46" i="12"/>
  <c r="V8" i="10"/>
  <c r="AD8" i="12" s="1"/>
  <c r="Q50" i="12"/>
  <c r="Q44" i="12"/>
  <c r="AR36" i="12"/>
  <c r="AS52" i="12"/>
  <c r="AJ53" i="12"/>
  <c r="T48" i="12"/>
  <c r="R20" i="12"/>
  <c r="R26" i="12"/>
  <c r="R48" i="12"/>
  <c r="T12" i="12"/>
  <c r="Q43" i="12"/>
  <c r="Q36" i="12"/>
  <c r="Q28" i="12"/>
  <c r="AS51" i="12"/>
  <c r="AR49" i="12"/>
  <c r="Q10" i="12"/>
  <c r="AJ41" i="12"/>
  <c r="AI48" i="12"/>
  <c r="R42" i="12"/>
  <c r="H12" i="12"/>
  <c r="X17" i="12"/>
  <c r="AY17" i="12" s="1"/>
  <c r="X21" i="12"/>
  <c r="Z21" i="12" s="1"/>
  <c r="X25" i="12"/>
  <c r="Z25" i="12" s="1"/>
  <c r="X33" i="12"/>
  <c r="AA33" i="12" s="1"/>
  <c r="X37" i="12"/>
  <c r="AY37" i="12" s="1"/>
  <c r="X41" i="12"/>
  <c r="X54" i="12"/>
  <c r="AA54" i="12" s="1"/>
  <c r="T53" i="12"/>
  <c r="Z53" i="12" s="1"/>
  <c r="W8" i="10"/>
  <c r="AE8" i="12" s="1"/>
  <c r="AR17" i="12"/>
  <c r="AR21" i="12"/>
  <c r="AR25" i="12"/>
  <c r="AR29" i="12"/>
  <c r="AR33" i="12"/>
  <c r="AR37" i="12"/>
  <c r="AR41" i="12"/>
  <c r="AR45" i="12"/>
  <c r="AS56" i="12"/>
  <c r="I38" i="12"/>
  <c r="H42" i="12"/>
  <c r="T46" i="12"/>
  <c r="AU46" i="12" s="1"/>
  <c r="AJ42" i="12"/>
  <c r="R22" i="12"/>
  <c r="R38" i="12"/>
  <c r="I51" i="12"/>
  <c r="I55" i="12"/>
  <c r="T14" i="12"/>
  <c r="AU14" i="12" s="1"/>
  <c r="I26" i="12"/>
  <c r="T27" i="12"/>
  <c r="AA27" i="12" s="1"/>
  <c r="H31" i="12"/>
  <c r="H34" i="12"/>
  <c r="R11" i="12"/>
  <c r="X15" i="12"/>
  <c r="Z15" i="12" s="1"/>
  <c r="X19" i="12"/>
  <c r="X23" i="12"/>
  <c r="X27" i="12"/>
  <c r="AY27" i="12" s="1"/>
  <c r="X31" i="12"/>
  <c r="X35" i="12"/>
  <c r="X39" i="12"/>
  <c r="X43" i="12"/>
  <c r="AY43" i="12" s="1"/>
  <c r="R47" i="12"/>
  <c r="X52" i="12"/>
  <c r="X56" i="12"/>
  <c r="AY56" i="12" s="1"/>
  <c r="H39" i="12"/>
  <c r="V49" i="12"/>
  <c r="AW49" i="12" s="1"/>
  <c r="X8" i="10"/>
  <c r="AF8" i="12" s="1"/>
  <c r="Q56" i="12"/>
  <c r="Q52" i="12"/>
  <c r="Q35" i="12"/>
  <c r="Q23" i="12"/>
  <c r="Q19" i="12"/>
  <c r="Q11" i="12"/>
  <c r="AS13" i="12"/>
  <c r="AI14" i="12"/>
  <c r="AJ18" i="12"/>
  <c r="AI22" i="12"/>
  <c r="AJ26" i="12"/>
  <c r="AI30" i="12"/>
  <c r="AJ56" i="12"/>
  <c r="AJ54" i="12"/>
  <c r="AJ52" i="12"/>
  <c r="R49" i="12"/>
  <c r="T38" i="12"/>
  <c r="AU38" i="12" s="1"/>
  <c r="AJ38" i="12"/>
  <c r="R18" i="12"/>
  <c r="R34" i="12"/>
  <c r="I22" i="12"/>
  <c r="AY50" i="12"/>
  <c r="M8" i="10"/>
  <c r="L8" i="12" s="1"/>
  <c r="Q46" i="12"/>
  <c r="Q42" i="12"/>
  <c r="Q34" i="12"/>
  <c r="Q30" i="12"/>
  <c r="Q26" i="12"/>
  <c r="Q18" i="12"/>
  <c r="Q14" i="12"/>
  <c r="Z51" i="12"/>
  <c r="AR52" i="12"/>
  <c r="R56" i="12"/>
  <c r="H55" i="12"/>
  <c r="AR46" i="12"/>
  <c r="AR30" i="12"/>
  <c r="I18" i="12"/>
  <c r="H26" i="12"/>
  <c r="AR34" i="12"/>
  <c r="X29" i="12"/>
  <c r="Z29" i="12" s="1"/>
  <c r="AG8" i="12"/>
  <c r="AR22" i="12"/>
  <c r="AR13" i="12"/>
  <c r="AJ22" i="12"/>
  <c r="U50" i="12"/>
  <c r="AV50" i="12" s="1"/>
  <c r="X13" i="12"/>
  <c r="AA13" i="12" s="1"/>
  <c r="X45" i="12"/>
  <c r="Z45" i="12" s="1"/>
  <c r="I15" i="12"/>
  <c r="H23" i="12"/>
  <c r="I35" i="12"/>
  <c r="AS50" i="12"/>
  <c r="AS38" i="12"/>
  <c r="AS10" i="12"/>
  <c r="AI26" i="12"/>
  <c r="Z41" i="12"/>
  <c r="AJ14" i="12"/>
  <c r="AJ30" i="12"/>
  <c r="AI18" i="12"/>
  <c r="X48" i="12"/>
  <c r="AY48" i="12" s="1"/>
  <c r="X14" i="12"/>
  <c r="AY14" i="12" s="1"/>
  <c r="X22" i="12"/>
  <c r="Z22" i="12" s="1"/>
  <c r="X30" i="12"/>
  <c r="AY30" i="12" s="1"/>
  <c r="X38" i="12"/>
  <c r="AY38" i="12" s="1"/>
  <c r="AR44" i="12"/>
  <c r="F8" i="12"/>
  <c r="T8" i="10"/>
  <c r="AC8" i="12" s="1"/>
  <c r="AC8" i="10"/>
  <c r="AL8" i="12" s="1"/>
  <c r="Q49" i="12"/>
  <c r="AR55" i="12"/>
  <c r="AR40" i="12"/>
  <c r="AR32" i="12"/>
  <c r="AR24" i="12"/>
  <c r="AR11" i="12"/>
  <c r="AS41" i="12"/>
  <c r="Z42" i="12"/>
  <c r="AJ43" i="12"/>
  <c r="R15" i="12"/>
  <c r="R19" i="12"/>
  <c r="R23" i="12"/>
  <c r="R27" i="12"/>
  <c r="R31" i="12"/>
  <c r="R35" i="12"/>
  <c r="R39" i="12"/>
  <c r="R43" i="12"/>
  <c r="H51" i="12"/>
  <c r="I52" i="12"/>
  <c r="I13" i="12"/>
  <c r="I30" i="12"/>
  <c r="U49" i="12"/>
  <c r="AV49" i="12" s="1"/>
  <c r="X46" i="12"/>
  <c r="AS17" i="12"/>
  <c r="AS25" i="12"/>
  <c r="AS33" i="12"/>
  <c r="H47" i="12"/>
  <c r="AR28" i="12"/>
  <c r="AS45" i="12"/>
  <c r="AR20" i="12"/>
  <c r="AR56" i="12"/>
  <c r="AR51" i="12"/>
  <c r="AS21" i="12"/>
  <c r="AS29" i="12"/>
  <c r="AS37" i="12"/>
  <c r="AY20" i="12"/>
  <c r="AY36" i="12"/>
  <c r="AY19" i="12"/>
  <c r="AY35" i="12"/>
  <c r="Z35" i="12"/>
  <c r="AX10" i="12"/>
  <c r="E8" i="10"/>
  <c r="D8" i="12" s="1"/>
  <c r="D9" i="12"/>
  <c r="F8" i="10"/>
  <c r="E8" i="12" s="1"/>
  <c r="W8" i="12" s="1"/>
  <c r="AX8" i="12" s="1"/>
  <c r="E9" i="12"/>
  <c r="W9" i="12" s="1"/>
  <c r="AR54" i="12"/>
  <c r="B8" i="10"/>
  <c r="B8" i="12" s="1"/>
  <c r="B9" i="12"/>
  <c r="R8" i="10"/>
  <c r="P8" i="12" s="1"/>
  <c r="P9" i="12"/>
  <c r="K8" i="10"/>
  <c r="K8" i="12" s="1"/>
  <c r="AS36" i="12"/>
  <c r="AI10" i="12"/>
  <c r="AJ10" i="12"/>
  <c r="R50" i="12"/>
  <c r="R10" i="12"/>
  <c r="AX50" i="12"/>
  <c r="AU44" i="12"/>
  <c r="AS48" i="12"/>
  <c r="AI11" i="12"/>
  <c r="AI13" i="12"/>
  <c r="AI15" i="12"/>
  <c r="AI17" i="12"/>
  <c r="AI19" i="12"/>
  <c r="AI21" i="12"/>
  <c r="AI23" i="12"/>
  <c r="AI25" i="12"/>
  <c r="AI27" i="12"/>
  <c r="AI29" i="12"/>
  <c r="AU51" i="12"/>
  <c r="AU52" i="12"/>
  <c r="AA52" i="12"/>
  <c r="AU55" i="12"/>
  <c r="I56" i="12"/>
  <c r="AU13" i="12"/>
  <c r="Z13" i="12"/>
  <c r="AU33" i="12"/>
  <c r="X11" i="12"/>
  <c r="AA11" i="12" s="1"/>
  <c r="X47" i="12"/>
  <c r="AA47" i="12" s="1"/>
  <c r="AP9" i="12"/>
  <c r="AU43" i="12"/>
  <c r="H45" i="12"/>
  <c r="AX46" i="12"/>
  <c r="AF8" i="10"/>
  <c r="AN8" i="12" s="1"/>
  <c r="AN9" i="12"/>
  <c r="AI9" i="12"/>
  <c r="AX49" i="12"/>
  <c r="AZ38" i="12"/>
  <c r="AU48" i="12"/>
  <c r="AS12" i="12"/>
  <c r="AJ12" i="12"/>
  <c r="AJ16" i="12"/>
  <c r="AJ20" i="12"/>
  <c r="AJ24" i="12"/>
  <c r="AJ28" i="12"/>
  <c r="AU56" i="12"/>
  <c r="AW50" i="12"/>
  <c r="AU17" i="12"/>
  <c r="AA17" i="12"/>
  <c r="AU21" i="12"/>
  <c r="AA21" i="12"/>
  <c r="AU25" i="12"/>
  <c r="AU29" i="12"/>
  <c r="F9" i="12"/>
  <c r="X12" i="12"/>
  <c r="AY12" i="12" s="1"/>
  <c r="AP8" i="12"/>
  <c r="AU41" i="12"/>
  <c r="AA41" i="12"/>
  <c r="AA8" i="10"/>
  <c r="AH8" i="12" s="1"/>
  <c r="AH9" i="12"/>
  <c r="AJ9" i="12" s="1"/>
  <c r="AR43" i="12"/>
  <c r="AR39" i="12"/>
  <c r="AR35" i="12"/>
  <c r="AR31" i="12"/>
  <c r="AR23" i="12"/>
  <c r="AR19" i="12"/>
  <c r="AI50" i="12"/>
  <c r="AJ50" i="12"/>
  <c r="AS14" i="12"/>
  <c r="H50" i="12"/>
  <c r="T50" i="12"/>
  <c r="I50" i="12"/>
  <c r="AU40" i="12"/>
  <c r="AU42" i="12"/>
  <c r="AA42" i="12"/>
  <c r="I54" i="12"/>
  <c r="AU18" i="12"/>
  <c r="AA18" i="12"/>
  <c r="AU22" i="12"/>
  <c r="AU26" i="12"/>
  <c r="AA26" i="12"/>
  <c r="AU34" i="12"/>
  <c r="AA34" i="12"/>
  <c r="AY25" i="12"/>
  <c r="AY33" i="12"/>
  <c r="AY41" i="12"/>
  <c r="I45" i="12"/>
  <c r="AU47" i="12"/>
  <c r="I8" i="10"/>
  <c r="G8" i="12" s="1"/>
  <c r="G9" i="12"/>
  <c r="P8" i="10"/>
  <c r="O8" i="12" s="1"/>
  <c r="O9" i="12"/>
  <c r="AR27" i="12"/>
  <c r="D8" i="10"/>
  <c r="C8" i="12" s="1"/>
  <c r="U8" i="12" s="1"/>
  <c r="AV8" i="12" s="1"/>
  <c r="C9" i="12"/>
  <c r="U9" i="12" s="1"/>
  <c r="AV9" i="12" s="1"/>
  <c r="N8" i="10"/>
  <c r="M8" i="12" s="1"/>
  <c r="M9" i="12"/>
  <c r="AR50" i="12"/>
  <c r="AR14" i="12"/>
  <c r="AR10" i="12"/>
  <c r="AS49" i="12"/>
  <c r="AJ8" i="10"/>
  <c r="AQ8" i="12" s="1"/>
  <c r="AQ9" i="12"/>
  <c r="AI49" i="12"/>
  <c r="AJ49" i="12"/>
  <c r="AS15" i="12"/>
  <c r="AS19" i="12"/>
  <c r="AS23" i="12"/>
  <c r="AS27" i="12"/>
  <c r="AS31" i="12"/>
  <c r="AS35" i="12"/>
  <c r="AS39" i="12"/>
  <c r="AS43" i="12"/>
  <c r="H49" i="12"/>
  <c r="T49" i="12"/>
  <c r="I49" i="12"/>
  <c r="AS47" i="12"/>
  <c r="AU54" i="12"/>
  <c r="AU11" i="12"/>
  <c r="AU12" i="12"/>
  <c r="AU15" i="12"/>
  <c r="AU16" i="12"/>
  <c r="AU19" i="12"/>
  <c r="AA19" i="12"/>
  <c r="AU20" i="12"/>
  <c r="AA20" i="12"/>
  <c r="AU23" i="12"/>
  <c r="AA23" i="12"/>
  <c r="AU24" i="12"/>
  <c r="Z24" i="12"/>
  <c r="AU31" i="12"/>
  <c r="AU32" i="12"/>
  <c r="AU35" i="12"/>
  <c r="AA35" i="12"/>
  <c r="AU36" i="12"/>
  <c r="Z36" i="12"/>
  <c r="AY18" i="12"/>
  <c r="AY26" i="12"/>
  <c r="AY34" i="12"/>
  <c r="AY42" i="12"/>
  <c r="X49" i="12"/>
  <c r="AY49" i="12" s="1"/>
  <c r="AU37" i="12"/>
  <c r="AU45" i="12"/>
  <c r="H10" i="12"/>
  <c r="T10" i="12"/>
  <c r="Z10" i="12" s="1"/>
  <c r="I10" i="12"/>
  <c r="Z44" i="12"/>
  <c r="Z48" i="12"/>
  <c r="O13" i="9"/>
  <c r="D9" i="9"/>
  <c r="D8" i="9"/>
  <c r="K7" i="9"/>
  <c r="I7" i="9"/>
  <c r="H6" i="9"/>
  <c r="Z16" i="12" l="1"/>
  <c r="AA39" i="12"/>
  <c r="AA15" i="12"/>
  <c r="Z19" i="12"/>
  <c r="AA36" i="12"/>
  <c r="AY22" i="12"/>
  <c r="BA22" i="12" s="1"/>
  <c r="Z32" i="12"/>
  <c r="AY21" i="12"/>
  <c r="AA43" i="12"/>
  <c r="Z33" i="12"/>
  <c r="AA46" i="12"/>
  <c r="AA51" i="12"/>
  <c r="Z39" i="12"/>
  <c r="Z23" i="12"/>
  <c r="Z55" i="12"/>
  <c r="Z40" i="12"/>
  <c r="AA24" i="12"/>
  <c r="AA53" i="12"/>
  <c r="AA40" i="12"/>
  <c r="AA25" i="12"/>
  <c r="Z43" i="12"/>
  <c r="AU53" i="12"/>
  <c r="BB53" i="12" s="1"/>
  <c r="Z30" i="12"/>
  <c r="AA55" i="12"/>
  <c r="AA44" i="12"/>
  <c r="Z31" i="12"/>
  <c r="Z27" i="12"/>
  <c r="AY39" i="12"/>
  <c r="BA39" i="12" s="1"/>
  <c r="AY23" i="12"/>
  <c r="BA23" i="12" s="1"/>
  <c r="Z38" i="12"/>
  <c r="AA32" i="12"/>
  <c r="Z28" i="12"/>
  <c r="AU27" i="12"/>
  <c r="BB27" i="12" s="1"/>
  <c r="AA16" i="12"/>
  <c r="AA30" i="12"/>
  <c r="AY31" i="12"/>
  <c r="BB31" i="12" s="1"/>
  <c r="Z17" i="12"/>
  <c r="Z37" i="12"/>
  <c r="AA28" i="12"/>
  <c r="Z50" i="12"/>
  <c r="AJ8" i="12"/>
  <c r="AY54" i="12"/>
  <c r="BA54" i="12" s="1"/>
  <c r="Z54" i="12"/>
  <c r="AY46" i="12"/>
  <c r="AA37" i="12"/>
  <c r="AA31" i="12"/>
  <c r="AY15" i="12"/>
  <c r="AA56" i="12"/>
  <c r="AA48" i="12"/>
  <c r="Z46" i="12"/>
  <c r="Z14" i="12"/>
  <c r="Z56" i="12"/>
  <c r="AY52" i="12"/>
  <c r="BB52" i="12" s="1"/>
  <c r="Z52" i="12"/>
  <c r="AA38" i="12"/>
  <c r="AI8" i="12"/>
  <c r="Z12" i="12"/>
  <c r="AA45" i="12"/>
  <c r="AY45" i="12"/>
  <c r="BA45" i="12" s="1"/>
  <c r="AY29" i="12"/>
  <c r="BA29" i="12" s="1"/>
  <c r="AY13" i="12"/>
  <c r="AA29" i="12"/>
  <c r="Q9" i="12"/>
  <c r="Y8" i="12"/>
  <c r="AZ8" i="12" s="1"/>
  <c r="AA22" i="12"/>
  <c r="AA14" i="12"/>
  <c r="AR9" i="12"/>
  <c r="BB42" i="12"/>
  <c r="AS9" i="12"/>
  <c r="BA19" i="12"/>
  <c r="X8" i="12"/>
  <c r="AY8" i="12" s="1"/>
  <c r="AR8" i="12"/>
  <c r="BA37" i="12"/>
  <c r="BB37" i="12"/>
  <c r="BA12" i="12"/>
  <c r="BB12" i="12"/>
  <c r="BB22" i="12"/>
  <c r="BA40" i="12"/>
  <c r="BB40" i="12"/>
  <c r="BB19" i="12"/>
  <c r="BA36" i="12"/>
  <c r="BB36" i="12"/>
  <c r="BA20" i="12"/>
  <c r="BB20" i="12"/>
  <c r="BA30" i="12"/>
  <c r="BB30" i="12"/>
  <c r="BA25" i="12"/>
  <c r="BB25" i="12"/>
  <c r="BA48" i="12"/>
  <c r="BB48" i="12"/>
  <c r="R9" i="12"/>
  <c r="AY47" i="12"/>
  <c r="BA47" i="12" s="1"/>
  <c r="Z47" i="12"/>
  <c r="BA33" i="12"/>
  <c r="BB33" i="12"/>
  <c r="BA13" i="12"/>
  <c r="BB13" i="12"/>
  <c r="AU10" i="12"/>
  <c r="AA10" i="12"/>
  <c r="BA32" i="12"/>
  <c r="BB32" i="12"/>
  <c r="BA16" i="12"/>
  <c r="BB16" i="12"/>
  <c r="AA12" i="12"/>
  <c r="AS8" i="12"/>
  <c r="Y9" i="12"/>
  <c r="AZ9" i="12" s="1"/>
  <c r="BA26" i="12"/>
  <c r="BB26" i="12"/>
  <c r="BA18" i="12"/>
  <c r="BA42" i="12"/>
  <c r="AU50" i="12"/>
  <c r="AA50" i="12"/>
  <c r="BA41" i="12"/>
  <c r="BB41" i="12"/>
  <c r="X9" i="12"/>
  <c r="AY9" i="12" s="1"/>
  <c r="BA17" i="12"/>
  <c r="BB17" i="12"/>
  <c r="BA43" i="12"/>
  <c r="BB43" i="12"/>
  <c r="AY11" i="12"/>
  <c r="BB11" i="12" s="1"/>
  <c r="Z11" i="12"/>
  <c r="BB18" i="12"/>
  <c r="BA52" i="12"/>
  <c r="BA38" i="12"/>
  <c r="BB38" i="12"/>
  <c r="R8" i="12"/>
  <c r="Q8" i="12"/>
  <c r="T8" i="12"/>
  <c r="H8" i="12"/>
  <c r="I8" i="12"/>
  <c r="AX9" i="12"/>
  <c r="AU49" i="12"/>
  <c r="AA49" i="12"/>
  <c r="BB29" i="12"/>
  <c r="BA21" i="12"/>
  <c r="BB21" i="12"/>
  <c r="BA51" i="12"/>
  <c r="BB51" i="12"/>
  <c r="BA35" i="12"/>
  <c r="BB35" i="12"/>
  <c r="BA28" i="12"/>
  <c r="BB28" i="12"/>
  <c r="BA15" i="12"/>
  <c r="BB15" i="12"/>
  <c r="BA24" i="12"/>
  <c r="BB24" i="12"/>
  <c r="BB39" i="12"/>
  <c r="BA14" i="12"/>
  <c r="BB14" i="12"/>
  <c r="Z49" i="12"/>
  <c r="BA55" i="12"/>
  <c r="BB55" i="12"/>
  <c r="BA44" i="12"/>
  <c r="BB44" i="12"/>
  <c r="V9" i="12"/>
  <c r="AW9" i="12" s="1"/>
  <c r="BA46" i="12"/>
  <c r="BB46" i="12"/>
  <c r="BA34" i="12"/>
  <c r="BB34" i="12"/>
  <c r="BA53" i="12"/>
  <c r="BA56" i="12"/>
  <c r="BB56" i="12"/>
  <c r="H9" i="12"/>
  <c r="T9" i="12"/>
  <c r="I9" i="12"/>
  <c r="V8" i="12"/>
  <c r="AW8" i="12" s="1"/>
  <c r="AP9" i="1"/>
  <c r="AP8" i="1" s="1"/>
  <c r="AO9" i="1"/>
  <c r="AO8" i="1" s="1"/>
  <c r="AN9" i="1"/>
  <c r="AM9" i="1"/>
  <c r="AM8" i="1" s="1"/>
  <c r="AN8" i="1"/>
  <c r="AG9" i="1"/>
  <c r="AF9" i="1"/>
  <c r="AE9" i="1"/>
  <c r="AD9" i="1"/>
  <c r="AG8" i="1"/>
  <c r="AF8" i="1"/>
  <c r="AE8" i="1"/>
  <c r="O9" i="1"/>
  <c r="N9" i="1"/>
  <c r="M9" i="1"/>
  <c r="L9" i="1"/>
  <c r="L8" i="1" s="1"/>
  <c r="O8" i="1"/>
  <c r="N8" i="1"/>
  <c r="M8" i="1"/>
  <c r="C9" i="1"/>
  <c r="C8" i="1" s="1"/>
  <c r="D9" i="1"/>
  <c r="D8" i="1" s="1"/>
  <c r="E9" i="1"/>
  <c r="E8" i="1" s="1"/>
  <c r="F9" i="1"/>
  <c r="BD32" i="1"/>
  <c r="AL9" i="1"/>
  <c r="AL8" i="1" s="1"/>
  <c r="AC9" i="1"/>
  <c r="AC8" i="1" s="1"/>
  <c r="T10" i="1"/>
  <c r="AU10" i="1" s="1"/>
  <c r="U10" i="1"/>
  <c r="AV10" i="1" s="1"/>
  <c r="V10" i="1"/>
  <c r="W10" i="1"/>
  <c r="X10" i="1"/>
  <c r="Y10" i="1"/>
  <c r="AZ10" i="1" s="1"/>
  <c r="T11" i="1"/>
  <c r="U11" i="1"/>
  <c r="V11" i="1"/>
  <c r="AW11" i="1" s="1"/>
  <c r="W11" i="1"/>
  <c r="AX11" i="1" s="1"/>
  <c r="X11" i="1"/>
  <c r="AY11" i="1" s="1"/>
  <c r="Y11" i="1"/>
  <c r="T12" i="1"/>
  <c r="AU12" i="1" s="1"/>
  <c r="U12" i="1"/>
  <c r="AV12" i="1" s="1"/>
  <c r="V12" i="1"/>
  <c r="W12" i="1"/>
  <c r="X12" i="1"/>
  <c r="AY12" i="1" s="1"/>
  <c r="Y12" i="1"/>
  <c r="AZ12" i="1" s="1"/>
  <c r="T13" i="1"/>
  <c r="AU13" i="1" s="1"/>
  <c r="U13" i="1"/>
  <c r="V13" i="1"/>
  <c r="W13" i="1"/>
  <c r="AX13" i="1" s="1"/>
  <c r="X13" i="1"/>
  <c r="AY13" i="1" s="1"/>
  <c r="Y13" i="1"/>
  <c r="T14" i="1"/>
  <c r="U14" i="1"/>
  <c r="AV14" i="1" s="1"/>
  <c r="V14" i="1"/>
  <c r="W14" i="1"/>
  <c r="X14" i="1"/>
  <c r="AY14" i="1" s="1"/>
  <c r="Y14" i="1"/>
  <c r="AZ14" i="1" s="1"/>
  <c r="T15" i="1"/>
  <c r="AU15" i="1" s="1"/>
  <c r="U15" i="1"/>
  <c r="V15" i="1"/>
  <c r="AW15" i="1" s="1"/>
  <c r="W15" i="1"/>
  <c r="AX15" i="1" s="1"/>
  <c r="X15" i="1"/>
  <c r="Y15" i="1"/>
  <c r="T16" i="1"/>
  <c r="U16" i="1"/>
  <c r="AV16" i="1" s="1"/>
  <c r="V16" i="1"/>
  <c r="W16" i="1"/>
  <c r="X16" i="1"/>
  <c r="AY16" i="1" s="1"/>
  <c r="Y16" i="1"/>
  <c r="AZ16" i="1" s="1"/>
  <c r="T17" i="1"/>
  <c r="AU17" i="1" s="1"/>
  <c r="U17" i="1"/>
  <c r="V17" i="1"/>
  <c r="AW17" i="1" s="1"/>
  <c r="W17" i="1"/>
  <c r="AX17" i="1" s="1"/>
  <c r="X17" i="1"/>
  <c r="Y17" i="1"/>
  <c r="T18" i="1"/>
  <c r="AU18" i="1" s="1"/>
  <c r="U18" i="1"/>
  <c r="AV18" i="1" s="1"/>
  <c r="V18" i="1"/>
  <c r="AW18" i="1" s="1"/>
  <c r="W18" i="1"/>
  <c r="X18" i="1"/>
  <c r="Y18" i="1"/>
  <c r="AZ18" i="1" s="1"/>
  <c r="T19" i="1"/>
  <c r="AU19" i="1" s="1"/>
  <c r="U19" i="1"/>
  <c r="V19" i="1"/>
  <c r="W19" i="1"/>
  <c r="AX19" i="1" s="1"/>
  <c r="X19" i="1"/>
  <c r="Y19" i="1"/>
  <c r="T20" i="1"/>
  <c r="AU20" i="1" s="1"/>
  <c r="U20" i="1"/>
  <c r="AV20" i="1" s="1"/>
  <c r="V20" i="1"/>
  <c r="AW20" i="1" s="1"/>
  <c r="W20" i="1"/>
  <c r="X20" i="1"/>
  <c r="AY20" i="1" s="1"/>
  <c r="Y20" i="1"/>
  <c r="AZ20" i="1" s="1"/>
  <c r="T21" i="1"/>
  <c r="U21" i="1"/>
  <c r="V21" i="1"/>
  <c r="W21" i="1"/>
  <c r="AX21" i="1" s="1"/>
  <c r="X21" i="1"/>
  <c r="Y21" i="1"/>
  <c r="T22" i="1"/>
  <c r="AU22" i="1" s="1"/>
  <c r="U22" i="1"/>
  <c r="AV22" i="1" s="1"/>
  <c r="V22" i="1"/>
  <c r="AW22" i="1" s="1"/>
  <c r="W22" i="1"/>
  <c r="X22" i="1"/>
  <c r="AY22" i="1" s="1"/>
  <c r="Y22" i="1"/>
  <c r="AZ22" i="1" s="1"/>
  <c r="T23" i="1"/>
  <c r="U23" i="1"/>
  <c r="V23" i="1"/>
  <c r="AW23" i="1" s="1"/>
  <c r="W23" i="1"/>
  <c r="AX23" i="1" s="1"/>
  <c r="X23" i="1"/>
  <c r="AY23" i="1" s="1"/>
  <c r="Y23" i="1"/>
  <c r="T24" i="1"/>
  <c r="U24" i="1"/>
  <c r="AV24" i="1" s="1"/>
  <c r="V24" i="1"/>
  <c r="AW24" i="1" s="1"/>
  <c r="W24" i="1"/>
  <c r="X24" i="1"/>
  <c r="Y24" i="1"/>
  <c r="AZ24" i="1" s="1"/>
  <c r="T25" i="1"/>
  <c r="U25" i="1"/>
  <c r="V25" i="1"/>
  <c r="AW25" i="1" s="1"/>
  <c r="W25" i="1"/>
  <c r="AX25" i="1" s="1"/>
  <c r="X25" i="1"/>
  <c r="AY25" i="1" s="1"/>
  <c r="Y25" i="1"/>
  <c r="T26" i="1"/>
  <c r="AU26" i="1" s="1"/>
  <c r="U26" i="1"/>
  <c r="AV26" i="1" s="1"/>
  <c r="V26" i="1"/>
  <c r="W26" i="1"/>
  <c r="X26" i="1"/>
  <c r="Y26" i="1"/>
  <c r="AZ26" i="1" s="1"/>
  <c r="T27" i="1"/>
  <c r="U27" i="1"/>
  <c r="V27" i="1"/>
  <c r="AW27" i="1" s="1"/>
  <c r="W27" i="1"/>
  <c r="AX27" i="1" s="1"/>
  <c r="X27" i="1"/>
  <c r="AY27" i="1" s="1"/>
  <c r="Y27" i="1"/>
  <c r="T28" i="1"/>
  <c r="AU28" i="1" s="1"/>
  <c r="U28" i="1"/>
  <c r="AV28" i="1" s="1"/>
  <c r="V28" i="1"/>
  <c r="W28" i="1"/>
  <c r="X28" i="1"/>
  <c r="AY28" i="1" s="1"/>
  <c r="Y28" i="1"/>
  <c r="AZ28" i="1" s="1"/>
  <c r="T29" i="1"/>
  <c r="AU29" i="1" s="1"/>
  <c r="U29" i="1"/>
  <c r="V29" i="1"/>
  <c r="W29" i="1"/>
  <c r="AX29" i="1" s="1"/>
  <c r="X29" i="1"/>
  <c r="AY29" i="1" s="1"/>
  <c r="Y29" i="1"/>
  <c r="T30" i="1"/>
  <c r="U30" i="1"/>
  <c r="AV30" i="1" s="1"/>
  <c r="V30" i="1"/>
  <c r="W30" i="1"/>
  <c r="X30" i="1"/>
  <c r="AY30" i="1" s="1"/>
  <c r="Y30" i="1"/>
  <c r="AZ30" i="1" s="1"/>
  <c r="U31" i="1"/>
  <c r="AV31" i="1" s="1"/>
  <c r="V31" i="1"/>
  <c r="W31" i="1"/>
  <c r="AX31" i="1" s="1"/>
  <c r="X31" i="1"/>
  <c r="T33" i="1"/>
  <c r="AU33" i="1" s="1"/>
  <c r="U33" i="1"/>
  <c r="V33" i="1"/>
  <c r="W33" i="1"/>
  <c r="AX33" i="1" s="1"/>
  <c r="X33" i="1"/>
  <c r="Y33" i="1"/>
  <c r="T34" i="1"/>
  <c r="U34" i="1"/>
  <c r="AV34" i="1" s="1"/>
  <c r="V34" i="1"/>
  <c r="W34" i="1"/>
  <c r="X34" i="1"/>
  <c r="AY34" i="1" s="1"/>
  <c r="Y34" i="1"/>
  <c r="AZ34" i="1" s="1"/>
  <c r="T35" i="1"/>
  <c r="AU35" i="1" s="1"/>
  <c r="U35" i="1"/>
  <c r="V35" i="1"/>
  <c r="AW35" i="1" s="1"/>
  <c r="W35" i="1"/>
  <c r="AX35" i="1" s="1"/>
  <c r="X35" i="1"/>
  <c r="Y35" i="1"/>
  <c r="T36" i="1"/>
  <c r="AU36" i="1" s="1"/>
  <c r="U36" i="1"/>
  <c r="AV36" i="1" s="1"/>
  <c r="V36" i="1"/>
  <c r="AW36" i="1" s="1"/>
  <c r="W36" i="1"/>
  <c r="X36" i="1"/>
  <c r="Y36" i="1"/>
  <c r="AZ36" i="1" s="1"/>
  <c r="T37" i="1"/>
  <c r="AU37" i="1" s="1"/>
  <c r="U37" i="1"/>
  <c r="V37" i="1"/>
  <c r="AW37" i="1" s="1"/>
  <c r="W37" i="1"/>
  <c r="AX37" i="1" s="1"/>
  <c r="X37" i="1"/>
  <c r="Y37" i="1"/>
  <c r="T38" i="1"/>
  <c r="AU38" i="1" s="1"/>
  <c r="U38" i="1"/>
  <c r="AV38" i="1" s="1"/>
  <c r="V38" i="1"/>
  <c r="AW38" i="1" s="1"/>
  <c r="W38" i="1"/>
  <c r="X38" i="1"/>
  <c r="Y38" i="1"/>
  <c r="AZ38" i="1" s="1"/>
  <c r="T39" i="1"/>
  <c r="U39" i="1"/>
  <c r="V39" i="1"/>
  <c r="W39" i="1"/>
  <c r="AX39" i="1" s="1"/>
  <c r="X39" i="1"/>
  <c r="Y39" i="1"/>
  <c r="T40" i="1"/>
  <c r="AU40" i="1" s="1"/>
  <c r="U40" i="1"/>
  <c r="AV40" i="1" s="1"/>
  <c r="V40" i="1"/>
  <c r="AW40" i="1" s="1"/>
  <c r="W40" i="1"/>
  <c r="X40" i="1"/>
  <c r="AY40" i="1" s="1"/>
  <c r="Y40" i="1"/>
  <c r="AZ40" i="1" s="1"/>
  <c r="T41" i="1"/>
  <c r="U41" i="1"/>
  <c r="V41" i="1"/>
  <c r="AW41" i="1" s="1"/>
  <c r="W41" i="1"/>
  <c r="AX41" i="1" s="1"/>
  <c r="X41" i="1"/>
  <c r="AY41" i="1" s="1"/>
  <c r="Y41" i="1"/>
  <c r="T42" i="1"/>
  <c r="U42" i="1"/>
  <c r="AV42" i="1" s="1"/>
  <c r="V42" i="1"/>
  <c r="AW42" i="1" s="1"/>
  <c r="W42" i="1"/>
  <c r="X42" i="1"/>
  <c r="AY42" i="1" s="1"/>
  <c r="Y42" i="1"/>
  <c r="AZ42" i="1" s="1"/>
  <c r="T43" i="1"/>
  <c r="U43" i="1"/>
  <c r="V43" i="1"/>
  <c r="AW43" i="1" s="1"/>
  <c r="W43" i="1"/>
  <c r="AX43" i="1" s="1"/>
  <c r="X43" i="1"/>
  <c r="AY43" i="1" s="1"/>
  <c r="Y43" i="1"/>
  <c r="T44" i="1"/>
  <c r="U44" i="1"/>
  <c r="AV44" i="1" s="1"/>
  <c r="V44" i="1"/>
  <c r="AW44" i="1" s="1"/>
  <c r="W44" i="1"/>
  <c r="X44" i="1"/>
  <c r="Y44" i="1"/>
  <c r="AZ44" i="1" s="1"/>
  <c r="T45" i="1"/>
  <c r="U45" i="1"/>
  <c r="V45" i="1"/>
  <c r="AW45" i="1" s="1"/>
  <c r="W45" i="1"/>
  <c r="AX45" i="1" s="1"/>
  <c r="X45" i="1"/>
  <c r="AY45" i="1" s="1"/>
  <c r="Y45" i="1"/>
  <c r="T46" i="1"/>
  <c r="U46" i="1"/>
  <c r="AV46" i="1" s="1"/>
  <c r="V46" i="1"/>
  <c r="AW46" i="1" s="1"/>
  <c r="W46" i="1"/>
  <c r="X46" i="1"/>
  <c r="Y46" i="1"/>
  <c r="AZ46" i="1" s="1"/>
  <c r="T47" i="1"/>
  <c r="U47" i="1"/>
  <c r="V47" i="1"/>
  <c r="W47" i="1"/>
  <c r="AX47" i="1" s="1"/>
  <c r="X47" i="1"/>
  <c r="Y47" i="1"/>
  <c r="T48" i="1"/>
  <c r="AU48" i="1" s="1"/>
  <c r="U48" i="1"/>
  <c r="AV48" i="1" s="1"/>
  <c r="V48" i="1"/>
  <c r="AW48" i="1" s="1"/>
  <c r="W48" i="1"/>
  <c r="X48" i="1"/>
  <c r="Y48" i="1"/>
  <c r="AZ48" i="1" s="1"/>
  <c r="T49" i="1"/>
  <c r="U49" i="1"/>
  <c r="V49" i="1"/>
  <c r="W49" i="1"/>
  <c r="AX49" i="1" s="1"/>
  <c r="X49" i="1"/>
  <c r="AY49" i="1" s="1"/>
  <c r="Y49" i="1"/>
  <c r="T50" i="1"/>
  <c r="AU50" i="1" s="1"/>
  <c r="U50" i="1"/>
  <c r="AV50" i="1" s="1"/>
  <c r="V50" i="1"/>
  <c r="AW50" i="1" s="1"/>
  <c r="W50" i="1"/>
  <c r="X50" i="1"/>
  <c r="AY50" i="1" s="1"/>
  <c r="Y50" i="1"/>
  <c r="AZ50" i="1" s="1"/>
  <c r="T51" i="1"/>
  <c r="AU51" i="1" s="1"/>
  <c r="U51" i="1"/>
  <c r="V51" i="1"/>
  <c r="AW51" i="1" s="1"/>
  <c r="W51" i="1"/>
  <c r="AX51" i="1" s="1"/>
  <c r="X51" i="1"/>
  <c r="AY51" i="1" s="1"/>
  <c r="Y51" i="1"/>
  <c r="T52" i="1"/>
  <c r="U52" i="1"/>
  <c r="AV52" i="1" s="1"/>
  <c r="V52" i="1"/>
  <c r="AW52" i="1" s="1"/>
  <c r="W52" i="1"/>
  <c r="X52" i="1"/>
  <c r="AY52" i="1" s="1"/>
  <c r="Y52" i="1"/>
  <c r="AZ52" i="1" s="1"/>
  <c r="T53" i="1"/>
  <c r="AU53" i="1" s="1"/>
  <c r="U53" i="1"/>
  <c r="V53" i="1"/>
  <c r="W53" i="1"/>
  <c r="AX53" i="1" s="1"/>
  <c r="X53" i="1"/>
  <c r="AY53" i="1" s="1"/>
  <c r="Y53" i="1"/>
  <c r="T54" i="1"/>
  <c r="AU54" i="1" s="1"/>
  <c r="U54" i="1"/>
  <c r="AV54" i="1" s="1"/>
  <c r="V54" i="1"/>
  <c r="AW54" i="1" s="1"/>
  <c r="W54" i="1"/>
  <c r="X54" i="1"/>
  <c r="Y54" i="1"/>
  <c r="AZ54" i="1" s="1"/>
  <c r="T55" i="1"/>
  <c r="AU55" i="1" s="1"/>
  <c r="U55" i="1"/>
  <c r="V55" i="1"/>
  <c r="AW55" i="1" s="1"/>
  <c r="W55" i="1"/>
  <c r="AX55" i="1" s="1"/>
  <c r="X55" i="1"/>
  <c r="AY55" i="1" s="1"/>
  <c r="Y55" i="1"/>
  <c r="T56" i="1"/>
  <c r="AU56" i="1" s="1"/>
  <c r="U56" i="1"/>
  <c r="AV56" i="1" s="1"/>
  <c r="V56" i="1"/>
  <c r="AW56" i="1" s="1"/>
  <c r="W56" i="1"/>
  <c r="X56" i="1"/>
  <c r="AY56" i="1" s="1"/>
  <c r="Y56" i="1"/>
  <c r="AZ56" i="1" s="1"/>
  <c r="AW10" i="1"/>
  <c r="AX10" i="1"/>
  <c r="AY10" i="1"/>
  <c r="AU11" i="1"/>
  <c r="AV11" i="1"/>
  <c r="AZ11" i="1"/>
  <c r="AW12" i="1"/>
  <c r="AX12" i="1"/>
  <c r="AV13" i="1"/>
  <c r="AW13" i="1"/>
  <c r="AZ13" i="1"/>
  <c r="AU14" i="1"/>
  <c r="AW14" i="1"/>
  <c r="AX14" i="1"/>
  <c r="AV15" i="1"/>
  <c r="AY15" i="1"/>
  <c r="AZ15" i="1"/>
  <c r="AU16" i="1"/>
  <c r="AW16" i="1"/>
  <c r="AX16" i="1"/>
  <c r="AV17" i="1"/>
  <c r="AY17" i="1"/>
  <c r="AZ17" i="1"/>
  <c r="AX18" i="1"/>
  <c r="AY18" i="1"/>
  <c r="AV19" i="1"/>
  <c r="AW19" i="1"/>
  <c r="AY19" i="1"/>
  <c r="AZ19" i="1"/>
  <c r="AX20" i="1"/>
  <c r="AU21" i="1"/>
  <c r="AV21" i="1"/>
  <c r="AW21" i="1"/>
  <c r="AY21" i="1"/>
  <c r="AZ21" i="1"/>
  <c r="AX22" i="1"/>
  <c r="AU23" i="1"/>
  <c r="AV23" i="1"/>
  <c r="AZ23" i="1"/>
  <c r="AU24" i="1"/>
  <c r="AX24" i="1"/>
  <c r="AY24" i="1"/>
  <c r="AU25" i="1"/>
  <c r="AV25" i="1"/>
  <c r="AZ25" i="1"/>
  <c r="AW26" i="1"/>
  <c r="AX26" i="1"/>
  <c r="AY26" i="1"/>
  <c r="AU27" i="1"/>
  <c r="AV27" i="1"/>
  <c r="AZ27" i="1"/>
  <c r="AW28" i="1"/>
  <c r="AX28" i="1"/>
  <c r="AV29" i="1"/>
  <c r="AW29" i="1"/>
  <c r="AZ29" i="1"/>
  <c r="AU30" i="1"/>
  <c r="AW30" i="1"/>
  <c r="AX30" i="1"/>
  <c r="AW31" i="1"/>
  <c r="AY31" i="1"/>
  <c r="AV33" i="1"/>
  <c r="AW33" i="1"/>
  <c r="AY33" i="1"/>
  <c r="AZ33" i="1"/>
  <c r="AU34" i="1"/>
  <c r="AW34" i="1"/>
  <c r="AX34" i="1"/>
  <c r="AV35" i="1"/>
  <c r="AY35" i="1"/>
  <c r="AZ35" i="1"/>
  <c r="AX36" i="1"/>
  <c r="AY36" i="1"/>
  <c r="AV37" i="1"/>
  <c r="AY37" i="1"/>
  <c r="AZ37" i="1"/>
  <c r="AX38" i="1"/>
  <c r="AY38" i="1"/>
  <c r="AU39" i="1"/>
  <c r="AV39" i="1"/>
  <c r="AW39" i="1"/>
  <c r="AY39" i="1"/>
  <c r="AZ39" i="1"/>
  <c r="AX40" i="1"/>
  <c r="AU41" i="1"/>
  <c r="AV41" i="1"/>
  <c r="AZ41" i="1"/>
  <c r="AU42" i="1"/>
  <c r="AX42" i="1"/>
  <c r="AU43" i="1"/>
  <c r="AV43" i="1"/>
  <c r="AZ43" i="1"/>
  <c r="AU44" i="1"/>
  <c r="AX44" i="1"/>
  <c r="AY44" i="1"/>
  <c r="AU45" i="1"/>
  <c r="AV45" i="1"/>
  <c r="AZ45" i="1"/>
  <c r="AU46" i="1"/>
  <c r="AX46" i="1"/>
  <c r="AY46" i="1"/>
  <c r="AU47" i="1"/>
  <c r="AV47" i="1"/>
  <c r="AW47" i="1"/>
  <c r="AY47" i="1"/>
  <c r="AZ47" i="1"/>
  <c r="AX48" i="1"/>
  <c r="AY48" i="1"/>
  <c r="AU49" i="1"/>
  <c r="AV49" i="1"/>
  <c r="AW49" i="1"/>
  <c r="AZ49" i="1"/>
  <c r="AX50" i="1"/>
  <c r="AV51" i="1"/>
  <c r="AZ51" i="1"/>
  <c r="AU52" i="1"/>
  <c r="AX52" i="1"/>
  <c r="AV53" i="1"/>
  <c r="AW53" i="1"/>
  <c r="AZ53" i="1"/>
  <c r="AX54" i="1"/>
  <c r="AY54" i="1"/>
  <c r="AV55" i="1"/>
  <c r="AZ55" i="1"/>
  <c r="AX56" i="1"/>
  <c r="AQ9" i="1"/>
  <c r="AQ8" i="1" s="1"/>
  <c r="P9" i="1"/>
  <c r="P8" i="1" s="1"/>
  <c r="K9" i="1"/>
  <c r="K8" i="1" s="1"/>
  <c r="B9" i="1"/>
  <c r="B8" i="1" s="1"/>
  <c r="BB23" i="12" l="1"/>
  <c r="BA27" i="12"/>
  <c r="BA31" i="12"/>
  <c r="X9" i="1"/>
  <c r="X8" i="1" s="1"/>
  <c r="W9" i="1"/>
  <c r="W8" i="1" s="1"/>
  <c r="AX8" i="1" s="1"/>
  <c r="V9" i="1"/>
  <c r="V8" i="1" s="1"/>
  <c r="AW8" i="1" s="1"/>
  <c r="BB54" i="12"/>
  <c r="AA9" i="12"/>
  <c r="BB45" i="12"/>
  <c r="AU9" i="12"/>
  <c r="Z9" i="12"/>
  <c r="Z8" i="12"/>
  <c r="AU8" i="12"/>
  <c r="AA8" i="12"/>
  <c r="BA11" i="12"/>
  <c r="BB47" i="12"/>
  <c r="BA50" i="12"/>
  <c r="BB50" i="12"/>
  <c r="BA49" i="12"/>
  <c r="BB49" i="12"/>
  <c r="BA10" i="12"/>
  <c r="BB10" i="12"/>
  <c r="Y31" i="1"/>
  <c r="Y9" i="1" s="1"/>
  <c r="Y8" i="1" s="1"/>
  <c r="AX9" i="1"/>
  <c r="U9" i="1"/>
  <c r="U8" i="1" s="1"/>
  <c r="T31" i="1"/>
  <c r="T9" i="1" s="1"/>
  <c r="T8" i="1" s="1"/>
  <c r="AU8" i="1" s="1"/>
  <c r="AZ31" i="1"/>
  <c r="G9" i="1"/>
  <c r="G8" i="1" s="1"/>
  <c r="AH9" i="1"/>
  <c r="AH8" i="1" s="1"/>
  <c r="AD8" i="1"/>
  <c r="AV8" i="1" s="1"/>
  <c r="AY9" i="1"/>
  <c r="F8" i="1"/>
  <c r="AY8" i="1" s="1"/>
  <c r="AW9" i="1" l="1"/>
  <c r="BB8" i="12"/>
  <c r="BA8" i="12"/>
  <c r="BA9" i="12"/>
  <c r="BB9" i="12"/>
  <c r="AU31" i="1"/>
  <c r="BD31" i="1" s="1"/>
  <c r="AZ8" i="1"/>
  <c r="BD8" i="1" s="1"/>
  <c r="AV9" i="1"/>
  <c r="AU9" i="1"/>
  <c r="AZ9" i="1"/>
  <c r="BD10" i="1"/>
  <c r="BD11" i="1"/>
  <c r="BD12" i="1"/>
  <c r="BD13" i="1"/>
  <c r="BD14" i="1"/>
  <c r="BD15" i="1"/>
  <c r="BD16" i="1"/>
  <c r="BD17" i="1"/>
  <c r="BD18" i="1"/>
  <c r="BD19" i="1"/>
  <c r="BD20" i="1"/>
  <c r="BD21" i="1"/>
  <c r="BD22" i="1"/>
  <c r="BD23" i="1"/>
  <c r="BD24" i="1"/>
  <c r="BD25" i="1"/>
  <c r="BD26" i="1"/>
  <c r="BD27" i="1"/>
  <c r="BD28" i="1"/>
  <c r="BD29" i="1"/>
  <c r="BD30" i="1"/>
  <c r="BD33" i="1"/>
  <c r="BD34" i="1"/>
  <c r="BD35" i="1"/>
  <c r="BD36" i="1"/>
  <c r="BD37" i="1"/>
  <c r="BD38" i="1"/>
  <c r="BD39" i="1"/>
  <c r="BD40" i="1"/>
  <c r="BD41" i="1"/>
  <c r="BD42" i="1"/>
  <c r="BD43" i="1"/>
  <c r="BD44" i="1"/>
  <c r="BD45" i="1"/>
  <c r="BD46" i="1"/>
  <c r="BD47" i="1"/>
  <c r="BD48" i="1"/>
  <c r="BD49" i="1"/>
  <c r="BD50" i="1"/>
  <c r="BD51" i="1"/>
  <c r="BD52" i="1"/>
  <c r="BD53" i="1"/>
  <c r="BD54" i="1"/>
  <c r="BD55" i="1"/>
  <c r="BD56" i="1"/>
  <c r="BF28" i="1" l="1"/>
  <c r="BD9" i="1"/>
  <c r="A4" i="5" l="1"/>
  <c r="AP55" i="5"/>
  <c r="AP34" i="5"/>
  <c r="AP25" i="5"/>
  <c r="AP48" i="5"/>
  <c r="AP50" i="5"/>
  <c r="AP38" i="5"/>
  <c r="AP41" i="5"/>
  <c r="AP36" i="5"/>
  <c r="AP40" i="5"/>
  <c r="AP29" i="5"/>
  <c r="AP21" i="5"/>
  <c r="AP26" i="5"/>
  <c r="AP44" i="5"/>
  <c r="AP54" i="5"/>
  <c r="AP32" i="5"/>
  <c r="AP43" i="5"/>
  <c r="AP33" i="5"/>
  <c r="AP31" i="5"/>
  <c r="AP20" i="5"/>
  <c r="AP27" i="5"/>
  <c r="AP18" i="5"/>
  <c r="AP15" i="5"/>
  <c r="AP16" i="5"/>
  <c r="AP28" i="5"/>
  <c r="AP39" i="5"/>
  <c r="AP45" i="5"/>
  <c r="AP51" i="5"/>
  <c r="AP22" i="5"/>
  <c r="AP53" i="5"/>
  <c r="AP30" i="5"/>
  <c r="AP42" i="5"/>
  <c r="AP23" i="5"/>
  <c r="AP24" i="5"/>
  <c r="AP19" i="5"/>
  <c r="AP11" i="5"/>
  <c r="AP47" i="5"/>
  <c r="AH10" i="4" l="1"/>
  <c r="AF10" i="4"/>
  <c r="AE10" i="4"/>
  <c r="AD10" i="4"/>
  <c r="AC10" i="4"/>
  <c r="AQ10" i="4"/>
  <c r="AO10" i="4"/>
  <c r="AN10" i="4"/>
  <c r="AM10" i="4"/>
  <c r="AL10" i="4"/>
  <c r="AP13" i="5"/>
  <c r="AM10" i="5"/>
  <c r="AE10" i="5"/>
  <c r="AP35" i="5"/>
  <c r="AN10" i="5"/>
  <c r="AP37" i="5"/>
  <c r="AP12" i="5"/>
  <c r="AP52" i="5"/>
  <c r="AP56" i="5"/>
  <c r="AF10" i="5"/>
  <c r="AD10" i="5"/>
  <c r="AC10" i="5"/>
  <c r="AP14" i="5"/>
  <c r="AQ10" i="5"/>
  <c r="AP46" i="5"/>
  <c r="AP10" i="5"/>
  <c r="AL10" i="5"/>
  <c r="AO10" i="5"/>
  <c r="AP17" i="5"/>
  <c r="AH10" i="5"/>
  <c r="AO11" i="4" l="1"/>
  <c r="AO13" i="4"/>
  <c r="AO14" i="4"/>
  <c r="AL15" i="4"/>
  <c r="AO16" i="4"/>
  <c r="AO18" i="4"/>
  <c r="AL20" i="4"/>
  <c r="AL22" i="4"/>
  <c r="AO22" i="4"/>
  <c r="AL23" i="4"/>
  <c r="AO24" i="4"/>
  <c r="AO25" i="4"/>
  <c r="AL27" i="4"/>
  <c r="AO28" i="4"/>
  <c r="AO31" i="4"/>
  <c r="AL33" i="4"/>
  <c r="AL35" i="4"/>
  <c r="AO36" i="4"/>
  <c r="AO39" i="4"/>
  <c r="AO41" i="4"/>
  <c r="AO42" i="4"/>
  <c r="AL44" i="4"/>
  <c r="AO45" i="4"/>
  <c r="AO50" i="4"/>
  <c r="AO52" i="4"/>
  <c r="AO53" i="4"/>
  <c r="AO54" i="4"/>
  <c r="AL56" i="4"/>
  <c r="AC11" i="4"/>
  <c r="AF13" i="4"/>
  <c r="AF15" i="4"/>
  <c r="AC17" i="4"/>
  <c r="AC19" i="4"/>
  <c r="AC22" i="4"/>
  <c r="AC23" i="4"/>
  <c r="AF24" i="4"/>
  <c r="AC26" i="4"/>
  <c r="AC27" i="4"/>
  <c r="AC28" i="4"/>
  <c r="AC30" i="4"/>
  <c r="AC31" i="4"/>
  <c r="AF31" i="4"/>
  <c r="AC33" i="4"/>
  <c r="AF34" i="4"/>
  <c r="AF35" i="4"/>
  <c r="AF36" i="4"/>
  <c r="AC38" i="4"/>
  <c r="AF39" i="4"/>
  <c r="AF41" i="4"/>
  <c r="AC42" i="4"/>
  <c r="AF43" i="4"/>
  <c r="AF44" i="4"/>
  <c r="AF46" i="4"/>
  <c r="AF47" i="4"/>
  <c r="AF50" i="4"/>
  <c r="AC51" i="4"/>
  <c r="AF51" i="4"/>
  <c r="AC52" i="4"/>
  <c r="AF52" i="4"/>
  <c r="AC53" i="4"/>
  <c r="AF53" i="4"/>
  <c r="AC54" i="4"/>
  <c r="AF54" i="4"/>
  <c r="AC55" i="4"/>
  <c r="AC56" i="4"/>
  <c r="AP15" i="4"/>
  <c r="AP17" i="4"/>
  <c r="AP18" i="4"/>
  <c r="AP19" i="4"/>
  <c r="AP23" i="4"/>
  <c r="AP24" i="4"/>
  <c r="AP25" i="4"/>
  <c r="AP26" i="4"/>
  <c r="AP27" i="4"/>
  <c r="AP28" i="4"/>
  <c r="AP29" i="4"/>
  <c r="AP30" i="4"/>
  <c r="AP31" i="4"/>
  <c r="AP32" i="4"/>
  <c r="AP33" i="4"/>
  <c r="AP34" i="4"/>
  <c r="AP35" i="4"/>
  <c r="AP37" i="4"/>
  <c r="AP39" i="4"/>
  <c r="AP40" i="4"/>
  <c r="AP41" i="4"/>
  <c r="AP42" i="4"/>
  <c r="AP43" i="4"/>
  <c r="AP51" i="4"/>
  <c r="AP52" i="4"/>
  <c r="AP53" i="4"/>
  <c r="AP54" i="4"/>
  <c r="AP55" i="4"/>
  <c r="AP56"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7" i="4"/>
  <c r="AG38" i="4"/>
  <c r="AG39" i="4"/>
  <c r="AG40" i="4"/>
  <c r="AG41" i="4"/>
  <c r="AG43" i="4"/>
  <c r="AG44" i="4"/>
  <c r="AG45" i="4"/>
  <c r="AG46" i="4"/>
  <c r="AG47" i="4"/>
  <c r="AG50" i="4"/>
  <c r="AG51" i="4"/>
  <c r="AG52" i="4"/>
  <c r="AG53" i="4"/>
  <c r="AG54" i="4"/>
  <c r="AG55" i="4"/>
  <c r="AG56" i="4"/>
  <c r="AO12" i="4"/>
  <c r="AO15" i="4"/>
  <c r="AL17" i="4"/>
  <c r="AL19" i="4"/>
  <c r="AL21" i="4"/>
  <c r="AO23" i="4"/>
  <c r="AO26" i="4"/>
  <c r="AO29" i="4"/>
  <c r="AL30" i="4"/>
  <c r="AL31" i="4"/>
  <c r="AL32" i="4"/>
  <c r="AO33" i="4"/>
  <c r="AO35" i="4"/>
  <c r="AO37" i="4"/>
  <c r="AO38" i="4"/>
  <c r="AO40" i="4"/>
  <c r="AL42" i="4"/>
  <c r="AL43" i="4"/>
  <c r="AO44" i="4"/>
  <c r="AL45" i="4"/>
  <c r="AO46" i="4"/>
  <c r="AL47" i="4"/>
  <c r="AL50" i="4"/>
  <c r="AO51" i="4"/>
  <c r="AL53" i="4"/>
  <c r="AO55" i="4"/>
  <c r="AF11" i="4"/>
  <c r="AC12" i="4"/>
  <c r="AF12" i="4"/>
  <c r="AC14" i="4"/>
  <c r="AF14" i="4"/>
  <c r="AC16" i="4"/>
  <c r="AC18" i="4"/>
  <c r="AC20" i="4"/>
  <c r="AC24" i="4"/>
  <c r="AF27" i="4"/>
  <c r="AF28" i="4"/>
  <c r="AF32" i="4"/>
  <c r="AF33" i="4"/>
  <c r="AC35" i="4"/>
  <c r="AC37" i="4"/>
  <c r="AF38" i="4"/>
  <c r="AC41" i="4"/>
  <c r="AC43" i="4"/>
  <c r="AC44" i="4"/>
  <c r="AC45" i="4"/>
  <c r="AC46" i="4"/>
  <c r="AC47" i="4"/>
  <c r="AF56"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7" i="4"/>
  <c r="AM50" i="4"/>
  <c r="AM51" i="4"/>
  <c r="AM52" i="4"/>
  <c r="AM53" i="4"/>
  <c r="AM54" i="4"/>
  <c r="AM55" i="4"/>
  <c r="AM56" i="4"/>
  <c r="AD11" i="4"/>
  <c r="AD12" i="4"/>
  <c r="AD13" i="4"/>
  <c r="AD14" i="4"/>
  <c r="AD15" i="4"/>
  <c r="AD16" i="4"/>
  <c r="AD17" i="4"/>
  <c r="AD18" i="4"/>
  <c r="AD19" i="4"/>
  <c r="AJ19" i="4" s="1"/>
  <c r="AD20" i="4"/>
  <c r="AD21" i="4"/>
  <c r="AD22" i="4"/>
  <c r="AJ22" i="4" s="1"/>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50" i="4"/>
  <c r="AD51" i="4"/>
  <c r="AD52" i="4"/>
  <c r="AD53" i="4"/>
  <c r="AD54" i="4"/>
  <c r="AD55" i="4"/>
  <c r="AD56" i="4"/>
  <c r="AL11" i="4"/>
  <c r="AL12" i="4"/>
  <c r="AL13" i="4"/>
  <c r="AL14" i="4"/>
  <c r="AL16" i="4"/>
  <c r="AO17" i="4"/>
  <c r="AL18" i="4"/>
  <c r="AO19" i="4"/>
  <c r="AO20" i="4"/>
  <c r="AO21" i="4"/>
  <c r="AL24" i="4"/>
  <c r="AL25" i="4"/>
  <c r="AL26" i="4"/>
  <c r="AO27" i="4"/>
  <c r="AL28" i="4"/>
  <c r="AL29" i="4"/>
  <c r="AO30" i="4"/>
  <c r="AO32" i="4"/>
  <c r="AL34" i="4"/>
  <c r="AO34" i="4"/>
  <c r="AL36" i="4"/>
  <c r="AL37" i="4"/>
  <c r="AL38" i="4"/>
  <c r="AL39" i="4"/>
  <c r="AL40" i="4"/>
  <c r="AL41" i="4"/>
  <c r="AO43" i="4"/>
  <c r="AL46" i="4"/>
  <c r="AO47" i="4"/>
  <c r="AL51" i="4"/>
  <c r="AL52" i="4"/>
  <c r="AL54" i="4"/>
  <c r="AL55" i="4"/>
  <c r="AO56" i="4"/>
  <c r="AC13" i="4"/>
  <c r="AC15" i="4"/>
  <c r="AF16" i="4"/>
  <c r="AF17" i="4"/>
  <c r="AF18" i="4"/>
  <c r="AF19" i="4"/>
  <c r="AF20" i="4"/>
  <c r="AC21" i="4"/>
  <c r="AF21" i="4"/>
  <c r="AF22" i="4"/>
  <c r="AF23" i="4"/>
  <c r="AC25" i="4"/>
  <c r="AF25" i="4"/>
  <c r="AF26" i="4"/>
  <c r="AC29" i="4"/>
  <c r="AF29" i="4"/>
  <c r="AF30" i="4"/>
  <c r="AC32" i="4"/>
  <c r="AC34" i="4"/>
  <c r="AC36" i="4"/>
  <c r="AF37" i="4"/>
  <c r="AC39" i="4"/>
  <c r="AC40" i="4"/>
  <c r="AF40" i="4"/>
  <c r="AF42" i="4"/>
  <c r="AF45" i="4"/>
  <c r="AC50" i="4"/>
  <c r="AF55" i="4"/>
  <c r="AF49" i="4" s="1"/>
  <c r="AP16" i="4"/>
  <c r="AN11" i="4"/>
  <c r="AQ11" i="4"/>
  <c r="AN12" i="4"/>
  <c r="AQ12" i="4"/>
  <c r="AN13" i="4"/>
  <c r="AQ13" i="4"/>
  <c r="AN14" i="4"/>
  <c r="AQ14" i="4"/>
  <c r="AN15" i="4"/>
  <c r="AQ15" i="4"/>
  <c r="AN16" i="4"/>
  <c r="AQ16" i="4"/>
  <c r="AN17" i="4"/>
  <c r="AQ17" i="4"/>
  <c r="AN18" i="4"/>
  <c r="AQ18" i="4"/>
  <c r="AN19" i="4"/>
  <c r="AQ19" i="4"/>
  <c r="AN20" i="4"/>
  <c r="AQ20" i="4"/>
  <c r="AN21" i="4"/>
  <c r="AQ21" i="4"/>
  <c r="AN22" i="4"/>
  <c r="AQ22" i="4"/>
  <c r="AN23" i="4"/>
  <c r="AQ23" i="4"/>
  <c r="AS23" i="4" s="1"/>
  <c r="AN24" i="4"/>
  <c r="AQ24" i="4"/>
  <c r="AN25" i="4"/>
  <c r="AQ25" i="4"/>
  <c r="AN26" i="4"/>
  <c r="AQ26" i="4"/>
  <c r="AN27" i="4"/>
  <c r="AQ27" i="4"/>
  <c r="AN28" i="4"/>
  <c r="AQ28" i="4"/>
  <c r="AN29" i="4"/>
  <c r="AQ29" i="4"/>
  <c r="AN30" i="4"/>
  <c r="AQ30" i="4"/>
  <c r="AN31" i="4"/>
  <c r="AQ31" i="4"/>
  <c r="AS31" i="4" s="1"/>
  <c r="AN32" i="4"/>
  <c r="AQ32" i="4"/>
  <c r="AN33" i="4"/>
  <c r="AQ33" i="4"/>
  <c r="AN34" i="4"/>
  <c r="AQ34" i="4"/>
  <c r="AN35" i="4"/>
  <c r="AQ35" i="4"/>
  <c r="AN36" i="4"/>
  <c r="AQ36" i="4"/>
  <c r="AN37" i="4"/>
  <c r="AQ37" i="4"/>
  <c r="AN38" i="4"/>
  <c r="AQ38" i="4"/>
  <c r="AN39" i="4"/>
  <c r="AQ39" i="4"/>
  <c r="AN40" i="4"/>
  <c r="AQ40" i="4"/>
  <c r="AN41" i="4"/>
  <c r="AQ41" i="4"/>
  <c r="AN42" i="4"/>
  <c r="AQ42" i="4"/>
  <c r="AN43" i="4"/>
  <c r="AQ43" i="4"/>
  <c r="AN44" i="4"/>
  <c r="AQ44" i="4"/>
  <c r="AN45" i="4"/>
  <c r="AR45" i="4" s="1"/>
  <c r="AQ45" i="4"/>
  <c r="AN46" i="4"/>
  <c r="AQ46" i="4"/>
  <c r="AN47" i="4"/>
  <c r="AQ47" i="4"/>
  <c r="AN50" i="4"/>
  <c r="AQ50" i="4"/>
  <c r="AN51" i="4"/>
  <c r="AQ51" i="4"/>
  <c r="AN52" i="4"/>
  <c r="AQ52" i="4"/>
  <c r="AN53" i="4"/>
  <c r="AQ53" i="4"/>
  <c r="AN54" i="4"/>
  <c r="AQ54" i="4"/>
  <c r="AN55" i="4"/>
  <c r="AQ55" i="4"/>
  <c r="AN56" i="4"/>
  <c r="AQ56" i="4"/>
  <c r="AE11" i="4"/>
  <c r="AH11" i="4"/>
  <c r="AE12" i="4"/>
  <c r="AH12" i="4"/>
  <c r="AE13" i="4"/>
  <c r="AH13" i="4"/>
  <c r="AE14" i="4"/>
  <c r="AH14" i="4"/>
  <c r="AE15" i="4"/>
  <c r="AH15" i="4"/>
  <c r="AE16" i="4"/>
  <c r="AH16" i="4"/>
  <c r="AE17" i="4"/>
  <c r="AH17" i="4"/>
  <c r="AE18" i="4"/>
  <c r="AH18" i="4"/>
  <c r="AE19" i="4"/>
  <c r="AH19" i="4"/>
  <c r="AE20" i="4"/>
  <c r="AH20" i="4"/>
  <c r="AE21" i="4"/>
  <c r="AH21" i="4"/>
  <c r="AJ21" i="4" s="1"/>
  <c r="AE22" i="4"/>
  <c r="AH22" i="4"/>
  <c r="AE23" i="4"/>
  <c r="AH23" i="4"/>
  <c r="AE24" i="4"/>
  <c r="AH24" i="4"/>
  <c r="AE25" i="4"/>
  <c r="AH25" i="4"/>
  <c r="AE26" i="4"/>
  <c r="AH26" i="4"/>
  <c r="AE27" i="4"/>
  <c r="AH27" i="4"/>
  <c r="AE28" i="4"/>
  <c r="AH28" i="4"/>
  <c r="AE29" i="4"/>
  <c r="AH29" i="4"/>
  <c r="AE30" i="4"/>
  <c r="AH30" i="4"/>
  <c r="AE31" i="4"/>
  <c r="AH31" i="4"/>
  <c r="AE32" i="4"/>
  <c r="AH32" i="4"/>
  <c r="AE33" i="4"/>
  <c r="AH33" i="4"/>
  <c r="AE34" i="4"/>
  <c r="AH34" i="4"/>
  <c r="AE35" i="4"/>
  <c r="AH35" i="4"/>
  <c r="AE36" i="4"/>
  <c r="AH36" i="4"/>
  <c r="AE37" i="4"/>
  <c r="AH37" i="4"/>
  <c r="AE38" i="4"/>
  <c r="AH38" i="4"/>
  <c r="AE39" i="4"/>
  <c r="AH39" i="4"/>
  <c r="AE40" i="4"/>
  <c r="AH40" i="4"/>
  <c r="AE41" i="4"/>
  <c r="AH41" i="4"/>
  <c r="AE42" i="4"/>
  <c r="AH42" i="4"/>
  <c r="AE43" i="4"/>
  <c r="AH43" i="4"/>
  <c r="AE44" i="4"/>
  <c r="AH44" i="4"/>
  <c r="AE45" i="4"/>
  <c r="AH45" i="4"/>
  <c r="AJ45" i="4" s="1"/>
  <c r="AE46" i="4"/>
  <c r="AH46" i="4"/>
  <c r="AE47" i="4"/>
  <c r="AH47" i="4"/>
  <c r="AE50" i="4"/>
  <c r="AH50" i="4"/>
  <c r="AE51" i="4"/>
  <c r="AH51" i="4"/>
  <c r="AE52" i="4"/>
  <c r="AH52" i="4"/>
  <c r="AE53" i="4"/>
  <c r="AH53" i="4"/>
  <c r="AE54" i="4"/>
  <c r="AH54" i="4"/>
  <c r="AE55" i="4"/>
  <c r="AH55" i="4"/>
  <c r="AE56" i="4"/>
  <c r="AH56" i="4"/>
  <c r="AL48" i="4"/>
  <c r="AF48" i="4"/>
  <c r="AG48" i="4"/>
  <c r="AO48" i="4"/>
  <c r="AC48" i="4"/>
  <c r="AM48" i="4"/>
  <c r="AD48" i="4"/>
  <c r="AN48" i="4"/>
  <c r="AQ48" i="4"/>
  <c r="AE48" i="4"/>
  <c r="AI48" i="4" s="1"/>
  <c r="AH48" i="4"/>
  <c r="AG10" i="4"/>
  <c r="AJ10" i="4" s="1"/>
  <c r="AL10" i="6"/>
  <c r="AC10" i="6"/>
  <c r="AO10" i="6"/>
  <c r="AM10" i="6"/>
  <c r="AD10" i="6"/>
  <c r="AF10" i="6"/>
  <c r="AN10" i="6"/>
  <c r="AQ10" i="6"/>
  <c r="AE10" i="6"/>
  <c r="AH10" i="6"/>
  <c r="AP10" i="4"/>
  <c r="AS10" i="4" s="1"/>
  <c r="AP11" i="4"/>
  <c r="AR11" i="4" s="1"/>
  <c r="AP12" i="4"/>
  <c r="AP13" i="4"/>
  <c r="AP14" i="4"/>
  <c r="AS14" i="4" s="1"/>
  <c r="AP20" i="4"/>
  <c r="AP21" i="4"/>
  <c r="AP22" i="4"/>
  <c r="AP36" i="4"/>
  <c r="AS36" i="4" s="1"/>
  <c r="AP38" i="4"/>
  <c r="AP44" i="4"/>
  <c r="AP45" i="4"/>
  <c r="AP46" i="4"/>
  <c r="AS46" i="4" s="1"/>
  <c r="AP47" i="4"/>
  <c r="AS47" i="4" s="1"/>
  <c r="AP48" i="4"/>
  <c r="AP50" i="4"/>
  <c r="AG36" i="4"/>
  <c r="AI36" i="4" s="1"/>
  <c r="AG42" i="4"/>
  <c r="AI14" i="4"/>
  <c r="AR14" i="4"/>
  <c r="AI10" i="4"/>
  <c r="AJ26" i="4"/>
  <c r="AI50" i="4"/>
  <c r="AE49" i="4"/>
  <c r="AS32" i="4" l="1"/>
  <c r="AR36" i="4"/>
  <c r="AR20" i="4"/>
  <c r="AJ39" i="4"/>
  <c r="AJ35" i="4"/>
  <c r="AJ23" i="4"/>
  <c r="AI11" i="4"/>
  <c r="AR53" i="4"/>
  <c r="AI54" i="4"/>
  <c r="AN49" i="4"/>
  <c r="AN8" i="4" s="1"/>
  <c r="AS13" i="4"/>
  <c r="AS42" i="4"/>
  <c r="AJ11" i="4"/>
  <c r="AR46" i="4"/>
  <c r="AS45" i="4"/>
  <c r="AN9" i="4"/>
  <c r="AJ54" i="4"/>
  <c r="AJ50" i="4"/>
  <c r="AJ46" i="4"/>
  <c r="AJ40" i="4"/>
  <c r="AJ28" i="4"/>
  <c r="AJ14" i="4"/>
  <c r="AS30" i="4"/>
  <c r="AS26" i="4"/>
  <c r="AJ13" i="4"/>
  <c r="AS43" i="4"/>
  <c r="AJ55" i="4"/>
  <c r="AJ41" i="4"/>
  <c r="AJ33" i="4"/>
  <c r="AJ29" i="4"/>
  <c r="AR55" i="4"/>
  <c r="AR51" i="4"/>
  <c r="AS41" i="4"/>
  <c r="AS25" i="4"/>
  <c r="AS17" i="4"/>
  <c r="AJ47" i="4"/>
  <c r="AI16" i="4"/>
  <c r="AR54" i="4"/>
  <c r="AS39" i="4"/>
  <c r="AI53" i="4"/>
  <c r="AO49" i="4"/>
  <c r="AS33" i="4"/>
  <c r="AR15" i="4"/>
  <c r="AL9" i="4"/>
  <c r="AJ31" i="4"/>
  <c r="AD9" i="4"/>
  <c r="AH9" i="4"/>
  <c r="AR16" i="4"/>
  <c r="AS16" i="4"/>
  <c r="AJ18" i="4"/>
  <c r="AS52" i="4"/>
  <c r="AR52" i="4"/>
  <c r="AS38" i="4"/>
  <c r="AS28" i="4"/>
  <c r="AS24" i="4"/>
  <c r="AS18" i="4"/>
  <c r="AJ37" i="4"/>
  <c r="AJ25" i="4"/>
  <c r="AC9" i="4"/>
  <c r="AS40" i="4"/>
  <c r="AJ52" i="4"/>
  <c r="AJ32" i="4"/>
  <c r="AI55" i="4"/>
  <c r="AJ51" i="4"/>
  <c r="AJ44" i="4"/>
  <c r="AJ34" i="4"/>
  <c r="AJ30" i="4"/>
  <c r="AJ24" i="4"/>
  <c r="AR24" i="4"/>
  <c r="AR28" i="4"/>
  <c r="AF9" i="4"/>
  <c r="AF8" i="4" s="1"/>
  <c r="AJ12" i="4"/>
  <c r="AS44" i="4"/>
  <c r="AI52" i="4"/>
  <c r="AJ16" i="4"/>
  <c r="AS15" i="4"/>
  <c r="AM9" i="4"/>
  <c r="AI51" i="4"/>
  <c r="AP49" i="4"/>
  <c r="AR50" i="4"/>
  <c r="AS50" i="4"/>
  <c r="AR22" i="4"/>
  <c r="AR13" i="4"/>
  <c r="AR44" i="4"/>
  <c r="AR21" i="4"/>
  <c r="AR12" i="4"/>
  <c r="AI47" i="4"/>
  <c r="AI45" i="4"/>
  <c r="AI43" i="4"/>
  <c r="AJ38" i="4"/>
  <c r="AI35" i="4"/>
  <c r="AJ27" i="4"/>
  <c r="AI20" i="4"/>
  <c r="AI12" i="4"/>
  <c r="AS55" i="4"/>
  <c r="AS51" i="4"/>
  <c r="AR43" i="4"/>
  <c r="AS37" i="4"/>
  <c r="AR31" i="4"/>
  <c r="AS29" i="4"/>
  <c r="AR19" i="4"/>
  <c r="AG49" i="4"/>
  <c r="AJ42" i="4"/>
  <c r="AS20" i="4"/>
  <c r="AS11" i="4"/>
  <c r="AR38" i="4"/>
  <c r="AJ36" i="4"/>
  <c r="AR47" i="4"/>
  <c r="AO9" i="4"/>
  <c r="AI39" i="4"/>
  <c r="AI32" i="4"/>
  <c r="AI25" i="4"/>
  <c r="AI21" i="4"/>
  <c r="AJ17" i="4"/>
  <c r="AI15" i="4"/>
  <c r="AS56" i="4"/>
  <c r="AR41" i="4"/>
  <c r="AR39" i="4"/>
  <c r="AR37" i="4"/>
  <c r="AS34" i="4"/>
  <c r="AR29" i="4"/>
  <c r="AS27" i="4"/>
  <c r="AR25" i="4"/>
  <c r="AS19" i="4"/>
  <c r="AD49" i="4"/>
  <c r="AM49" i="4"/>
  <c r="AI30" i="4"/>
  <c r="AI27" i="4"/>
  <c r="AI22" i="4"/>
  <c r="AI17" i="4"/>
  <c r="AR56" i="4"/>
  <c r="AS53" i="4"/>
  <c r="AR33" i="4"/>
  <c r="AR23" i="4"/>
  <c r="AH49" i="4"/>
  <c r="AH8" i="4" s="1"/>
  <c r="AQ49" i="4"/>
  <c r="AJ56" i="4"/>
  <c r="AI46" i="4"/>
  <c r="AI44" i="4"/>
  <c r="AI41" i="4"/>
  <c r="AI37" i="4"/>
  <c r="AI24" i="4"/>
  <c r="AI18" i="4"/>
  <c r="AL49" i="4"/>
  <c r="AR42" i="4"/>
  <c r="AS35" i="4"/>
  <c r="AR32" i="4"/>
  <c r="AR30" i="4"/>
  <c r="AR17" i="4"/>
  <c r="AC49" i="4"/>
  <c r="AI49" i="4" s="1"/>
  <c r="AI40" i="4"/>
  <c r="AI34" i="4"/>
  <c r="AI29" i="4"/>
  <c r="AJ20" i="4"/>
  <c r="AI13" i="4"/>
  <c r="AR40" i="4"/>
  <c r="AR34" i="4"/>
  <c r="AR26" i="4"/>
  <c r="AR18" i="4"/>
  <c r="AI56" i="4"/>
  <c r="AJ53" i="4"/>
  <c r="AJ43" i="4"/>
  <c r="AI38" i="4"/>
  <c r="AI33" i="4"/>
  <c r="AI31" i="4"/>
  <c r="AI28" i="4"/>
  <c r="AI26" i="4"/>
  <c r="AI23" i="4"/>
  <c r="AI19" i="4"/>
  <c r="AJ15" i="4"/>
  <c r="AS54" i="4"/>
  <c r="AR35" i="4"/>
  <c r="AR27" i="4"/>
  <c r="AJ48" i="4"/>
  <c r="AE9" i="4"/>
  <c r="AQ9" i="4"/>
  <c r="AQ8" i="4" s="1"/>
  <c r="AR10" i="4"/>
  <c r="AR48" i="4"/>
  <c r="AJ49" i="4"/>
  <c r="AI42" i="4"/>
  <c r="AS12" i="4"/>
  <c r="AE8" i="4"/>
  <c r="AS48" i="4"/>
  <c r="AS22" i="4"/>
  <c r="AS21" i="4"/>
  <c r="AG9" i="4"/>
  <c r="AP9" i="4"/>
  <c r="AO8" i="4"/>
  <c r="AD8" i="4" l="1"/>
  <c r="AG8" i="4"/>
  <c r="AC8" i="4"/>
  <c r="AJ8" i="4" s="1"/>
  <c r="AS49" i="4"/>
  <c r="AR49" i="4"/>
  <c r="AL8" i="4"/>
  <c r="AM8" i="4"/>
  <c r="AP8" i="4"/>
  <c r="AI9" i="4"/>
  <c r="AS9" i="4"/>
  <c r="AJ9" i="4"/>
  <c r="AR9" i="4"/>
  <c r="AI8" i="4" l="1"/>
  <c r="AR8" i="4"/>
  <c r="AS8" i="4"/>
  <c r="AJ49" i="3"/>
  <c r="AI49" i="3"/>
  <c r="AH49" i="3"/>
  <c r="AG49" i="3"/>
  <c r="AF49" i="3"/>
  <c r="AE49" i="3"/>
  <c r="AD49" i="3"/>
  <c r="AC49" i="3"/>
  <c r="AA49" i="3"/>
  <c r="Z49" i="3"/>
  <c r="Y49" i="3"/>
  <c r="X49" i="3"/>
  <c r="W49" i="3"/>
  <c r="V49" i="3"/>
  <c r="U49" i="3"/>
  <c r="T49" i="3"/>
  <c r="AJ9" i="3"/>
  <c r="AI9" i="3"/>
  <c r="AH9" i="3"/>
  <c r="AG9" i="3"/>
  <c r="AF9" i="3"/>
  <c r="AE9" i="3"/>
  <c r="AE8" i="3" s="1"/>
  <c r="AD9" i="3"/>
  <c r="AD8" i="3" s="1"/>
  <c r="AC9" i="3"/>
  <c r="AC8" i="3" s="1"/>
  <c r="AA9" i="3"/>
  <c r="AA8" i="3" s="1"/>
  <c r="Z9" i="3"/>
  <c r="Z8" i="3" s="1"/>
  <c r="Y9" i="3"/>
  <c r="Y8" i="3" s="1"/>
  <c r="X9" i="3"/>
  <c r="W9" i="3"/>
  <c r="W8" i="3" s="1"/>
  <c r="V9" i="3"/>
  <c r="V8" i="3" s="1"/>
  <c r="U9" i="3"/>
  <c r="U8" i="3" s="1"/>
  <c r="T9" i="3"/>
  <c r="T8" i="3" s="1"/>
  <c r="AJ8" i="3"/>
  <c r="AI8" i="3"/>
  <c r="AH8" i="3"/>
  <c r="AG8" i="3"/>
  <c r="AF8" i="3"/>
  <c r="P56" i="4"/>
  <c r="N56" i="4"/>
  <c r="M56" i="4"/>
  <c r="L56" i="4"/>
  <c r="P55" i="4"/>
  <c r="N55" i="4"/>
  <c r="M55" i="4"/>
  <c r="L55" i="4"/>
  <c r="P54" i="4"/>
  <c r="N54" i="4"/>
  <c r="M54" i="4"/>
  <c r="L54" i="4"/>
  <c r="P53" i="4"/>
  <c r="N53" i="4"/>
  <c r="M53" i="4"/>
  <c r="L53" i="4"/>
  <c r="P52" i="4"/>
  <c r="N52" i="4"/>
  <c r="M52" i="4"/>
  <c r="L52" i="4"/>
  <c r="P51" i="4"/>
  <c r="N51" i="4"/>
  <c r="M51" i="4"/>
  <c r="L51" i="4"/>
  <c r="P50" i="4"/>
  <c r="N50" i="4"/>
  <c r="M50" i="4"/>
  <c r="L50" i="4"/>
  <c r="P47" i="4"/>
  <c r="N47" i="4"/>
  <c r="M47" i="4"/>
  <c r="L47" i="4"/>
  <c r="P46" i="4"/>
  <c r="N46" i="4"/>
  <c r="M46" i="4"/>
  <c r="L46" i="4"/>
  <c r="P45" i="4"/>
  <c r="N45" i="4"/>
  <c r="M45" i="4"/>
  <c r="L45" i="4"/>
  <c r="P44" i="4"/>
  <c r="N44" i="4"/>
  <c r="M44" i="4"/>
  <c r="L44" i="4"/>
  <c r="P43" i="4"/>
  <c r="N43" i="4"/>
  <c r="M43" i="4"/>
  <c r="L43" i="4"/>
  <c r="P42" i="4"/>
  <c r="N42" i="4"/>
  <c r="M42" i="4"/>
  <c r="L42" i="4"/>
  <c r="P41" i="4"/>
  <c r="N41" i="4"/>
  <c r="M41" i="4"/>
  <c r="L41" i="4"/>
  <c r="P40" i="4"/>
  <c r="N40" i="4"/>
  <c r="M40" i="4"/>
  <c r="L40" i="4"/>
  <c r="P39" i="4"/>
  <c r="N39" i="4"/>
  <c r="M39" i="4"/>
  <c r="L39" i="4"/>
  <c r="P38" i="4"/>
  <c r="N38" i="4"/>
  <c r="M38" i="4"/>
  <c r="L38" i="4"/>
  <c r="P37" i="4"/>
  <c r="N37" i="4"/>
  <c r="M37" i="4"/>
  <c r="L37" i="4"/>
  <c r="P36" i="4"/>
  <c r="N36" i="4"/>
  <c r="M36" i="4"/>
  <c r="L36" i="4"/>
  <c r="P35" i="4"/>
  <c r="N35" i="4"/>
  <c r="M35" i="4"/>
  <c r="L35" i="4"/>
  <c r="P34" i="4"/>
  <c r="N34" i="4"/>
  <c r="M34" i="4"/>
  <c r="L34" i="4"/>
  <c r="P33" i="4"/>
  <c r="N33" i="4"/>
  <c r="M33" i="4"/>
  <c r="L33" i="4"/>
  <c r="P32" i="4"/>
  <c r="N32" i="4"/>
  <c r="M32" i="4"/>
  <c r="L32" i="4"/>
  <c r="P31" i="4"/>
  <c r="N31" i="4"/>
  <c r="M31" i="4"/>
  <c r="L31" i="4"/>
  <c r="P30" i="4"/>
  <c r="N30" i="4"/>
  <c r="M30" i="4"/>
  <c r="L30" i="4"/>
  <c r="P29" i="4"/>
  <c r="N29" i="4"/>
  <c r="M29" i="4"/>
  <c r="L29" i="4"/>
  <c r="P28" i="4"/>
  <c r="N28" i="4"/>
  <c r="M28" i="4"/>
  <c r="L28" i="4"/>
  <c r="P27" i="4"/>
  <c r="N27" i="4"/>
  <c r="M27" i="4"/>
  <c r="L27" i="4"/>
  <c r="P26" i="4"/>
  <c r="N26" i="4"/>
  <c r="M26" i="4"/>
  <c r="L26" i="4"/>
  <c r="P25" i="4"/>
  <c r="N25" i="4"/>
  <c r="M25" i="4"/>
  <c r="L25" i="4"/>
  <c r="P24" i="4"/>
  <c r="N24" i="4"/>
  <c r="M24" i="4"/>
  <c r="L24" i="4"/>
  <c r="P23" i="4"/>
  <c r="N23" i="4"/>
  <c r="M23" i="4"/>
  <c r="L23" i="4"/>
  <c r="P22" i="4"/>
  <c r="N22" i="4"/>
  <c r="M22" i="4"/>
  <c r="L22" i="4"/>
  <c r="P21" i="4"/>
  <c r="N21" i="4"/>
  <c r="M21" i="4"/>
  <c r="L21" i="4"/>
  <c r="P20" i="4"/>
  <c r="N20" i="4"/>
  <c r="M20" i="4"/>
  <c r="L20" i="4"/>
  <c r="P19" i="4"/>
  <c r="N19" i="4"/>
  <c r="M19" i="4"/>
  <c r="L19" i="4"/>
  <c r="P18" i="4"/>
  <c r="N18" i="4"/>
  <c r="M18" i="4"/>
  <c r="L18" i="4"/>
  <c r="P17" i="4"/>
  <c r="N17" i="4"/>
  <c r="M17" i="4"/>
  <c r="L17" i="4"/>
  <c r="P16" i="4"/>
  <c r="N16" i="4"/>
  <c r="M16" i="4"/>
  <c r="L16" i="4"/>
  <c r="P15" i="4"/>
  <c r="N15" i="4"/>
  <c r="M15" i="4"/>
  <c r="L15" i="4"/>
  <c r="P14" i="4"/>
  <c r="N14" i="4"/>
  <c r="M14" i="4"/>
  <c r="L14" i="4"/>
  <c r="P13" i="4"/>
  <c r="N13" i="4"/>
  <c r="M13" i="4"/>
  <c r="L13" i="4"/>
  <c r="P12" i="4"/>
  <c r="O12" i="4"/>
  <c r="N12" i="4"/>
  <c r="M12" i="4"/>
  <c r="L12" i="4"/>
  <c r="P11" i="4"/>
  <c r="O11" i="4"/>
  <c r="N11" i="4"/>
  <c r="M11" i="4"/>
  <c r="L11" i="4"/>
  <c r="P10" i="4"/>
  <c r="N10" i="4"/>
  <c r="M10" i="4"/>
  <c r="L10" i="4"/>
  <c r="X8" i="3" l="1"/>
  <c r="AP30" i="6"/>
  <c r="AP25" i="6"/>
  <c r="AP28" i="6"/>
  <c r="AP41" i="6"/>
  <c r="AP22" i="6"/>
  <c r="AP40" i="6"/>
  <c r="AP34" i="6"/>
  <c r="AP55" i="6"/>
  <c r="AP11" i="6"/>
  <c r="AP13" i="6"/>
  <c r="AP48" i="6"/>
  <c r="AP56" i="6"/>
  <c r="AP49" i="5"/>
  <c r="AP50" i="6"/>
  <c r="AP46" i="6"/>
  <c r="AP29" i="6"/>
  <c r="AP33" i="6"/>
  <c r="AP47" i="6"/>
  <c r="AP12" i="6"/>
  <c r="AP15" i="6"/>
  <c r="AP39" i="6"/>
  <c r="AP14" i="6"/>
  <c r="AP45" i="6"/>
  <c r="AP24" i="6"/>
  <c r="AP20" i="6"/>
  <c r="AP26" i="6"/>
  <c r="AP53" i="6"/>
  <c r="AP17" i="6"/>
  <c r="AP16" i="6"/>
  <c r="AP43" i="6"/>
  <c r="AP37" i="6"/>
  <c r="AP52" i="6"/>
  <c r="AP10" i="6"/>
  <c r="AS10" i="5"/>
  <c r="AP9" i="5"/>
  <c r="AR10" i="5"/>
  <c r="AP23" i="6"/>
  <c r="AP31" i="6"/>
  <c r="AP18" i="6"/>
  <c r="AP42" i="6"/>
  <c r="AP35" i="6"/>
  <c r="AP51" i="6"/>
  <c r="AP32" i="6"/>
  <c r="AP38" i="6"/>
  <c r="AP27" i="6"/>
  <c r="AP36" i="6"/>
  <c r="AP44" i="6"/>
  <c r="AP54" i="6"/>
  <c r="AP21" i="6"/>
  <c r="AP19" i="6"/>
  <c r="O13" i="4"/>
  <c r="O14" i="4"/>
  <c r="O15" i="4"/>
  <c r="O16" i="4"/>
  <c r="O17" i="4"/>
  <c r="O18" i="4"/>
  <c r="O19" i="4"/>
  <c r="O20" i="4"/>
  <c r="O21" i="4"/>
  <c r="O22" i="4"/>
  <c r="O23" i="4"/>
  <c r="O24" i="4"/>
  <c r="O25" i="4"/>
  <c r="O27" i="4"/>
  <c r="O28" i="4"/>
  <c r="O38" i="4"/>
  <c r="O39" i="4"/>
  <c r="O40" i="4"/>
  <c r="N49" i="4"/>
  <c r="M49" i="4"/>
  <c r="O29" i="4"/>
  <c r="O30" i="4"/>
  <c r="P49" i="4"/>
  <c r="L49" i="4"/>
  <c r="N48" i="4"/>
  <c r="L48" i="4"/>
  <c r="L9" i="4" s="1"/>
  <c r="M48" i="4"/>
  <c r="M9" i="4" s="1"/>
  <c r="P48" i="4"/>
  <c r="P9" i="4" s="1"/>
  <c r="P8" i="4" s="1"/>
  <c r="O10" i="4"/>
  <c r="O31" i="4"/>
  <c r="O32" i="4"/>
  <c r="O33" i="4"/>
  <c r="O34" i="4"/>
  <c r="O35" i="4"/>
  <c r="O36" i="4"/>
  <c r="O37" i="4"/>
  <c r="O41" i="4"/>
  <c r="O42" i="4"/>
  <c r="K10" i="4"/>
  <c r="K11" i="4"/>
  <c r="K12" i="4"/>
  <c r="K13" i="4"/>
  <c r="Q13" i="4" s="1"/>
  <c r="K14" i="4"/>
  <c r="K15" i="4"/>
  <c r="Q15" i="4" s="1"/>
  <c r="K16" i="4"/>
  <c r="K17" i="4"/>
  <c r="R17" i="4" s="1"/>
  <c r="K18" i="4"/>
  <c r="K19" i="4"/>
  <c r="K20" i="4"/>
  <c r="K21" i="4"/>
  <c r="R21" i="4" s="1"/>
  <c r="K22" i="4"/>
  <c r="K23" i="4"/>
  <c r="K24" i="4"/>
  <c r="K25" i="4"/>
  <c r="Q25" i="4" s="1"/>
  <c r="K26" i="4"/>
  <c r="K27" i="4"/>
  <c r="K28" i="4"/>
  <c r="K29" i="4"/>
  <c r="K30" i="4"/>
  <c r="K31" i="4"/>
  <c r="K32" i="4"/>
  <c r="K33" i="4"/>
  <c r="K34" i="4"/>
  <c r="K35" i="4"/>
  <c r="K36" i="4"/>
  <c r="K37" i="4"/>
  <c r="K38" i="4"/>
  <c r="K39" i="4"/>
  <c r="K40" i="4"/>
  <c r="K41" i="4"/>
  <c r="R41" i="4" s="1"/>
  <c r="K42" i="4"/>
  <c r="K43" i="4"/>
  <c r="K44" i="4"/>
  <c r="K45" i="4"/>
  <c r="Q45" i="4" s="1"/>
  <c r="K46" i="4"/>
  <c r="K47" i="4"/>
  <c r="K48" i="4"/>
  <c r="K50" i="4"/>
  <c r="R50" i="4" s="1"/>
  <c r="K51" i="4"/>
  <c r="K52" i="4"/>
  <c r="K53" i="4"/>
  <c r="K54" i="4"/>
  <c r="R54" i="4" s="1"/>
  <c r="K55" i="4"/>
  <c r="O26" i="4"/>
  <c r="O43" i="4"/>
  <c r="O44" i="4"/>
  <c r="O45" i="4"/>
  <c r="O46" i="4"/>
  <c r="O47" i="4"/>
  <c r="O48" i="4"/>
  <c r="O50" i="4"/>
  <c r="O51" i="4"/>
  <c r="O52" i="4"/>
  <c r="O53" i="4"/>
  <c r="O54" i="4"/>
  <c r="O55" i="4"/>
  <c r="O56" i="4"/>
  <c r="R13" i="4"/>
  <c r="Q19" i="4"/>
  <c r="Q23" i="4"/>
  <c r="R25" i="4"/>
  <c r="R45" i="4"/>
  <c r="K56" i="4"/>
  <c r="R49" i="3"/>
  <c r="Q49" i="3"/>
  <c r="P49" i="3"/>
  <c r="O49" i="3"/>
  <c r="N49" i="3"/>
  <c r="M49" i="3"/>
  <c r="L49" i="3"/>
  <c r="K49" i="3"/>
  <c r="P9" i="3"/>
  <c r="R9" i="3"/>
  <c r="Q9" i="3"/>
  <c r="O9" i="3"/>
  <c r="O8" i="3" s="1"/>
  <c r="N9" i="3"/>
  <c r="N8" i="3" s="1"/>
  <c r="M9" i="3"/>
  <c r="M8" i="3" s="1"/>
  <c r="L9" i="3"/>
  <c r="L8" i="3" s="1"/>
  <c r="K9" i="3"/>
  <c r="K8" i="3" s="1"/>
  <c r="G56" i="4"/>
  <c r="G55" i="4"/>
  <c r="G54" i="4"/>
  <c r="G53" i="4"/>
  <c r="G52" i="4"/>
  <c r="G51" i="4"/>
  <c r="G50"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F45" i="4"/>
  <c r="F56" i="4"/>
  <c r="F52" i="4"/>
  <c r="F47" i="4"/>
  <c r="F43" i="4"/>
  <c r="F39" i="4"/>
  <c r="F35" i="4"/>
  <c r="F31" i="4"/>
  <c r="F27" i="4"/>
  <c r="F23" i="4"/>
  <c r="F19" i="4"/>
  <c r="F15" i="4"/>
  <c r="F11" i="4"/>
  <c r="E56" i="4"/>
  <c r="E55" i="4"/>
  <c r="E54" i="4"/>
  <c r="E53" i="4"/>
  <c r="E52" i="4"/>
  <c r="E51" i="4"/>
  <c r="E50"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D56" i="4"/>
  <c r="D55" i="4"/>
  <c r="D54" i="4"/>
  <c r="D52" i="4"/>
  <c r="D51" i="4"/>
  <c r="D50"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C56" i="4"/>
  <c r="C55" i="4"/>
  <c r="C54" i="4"/>
  <c r="C53" i="4"/>
  <c r="C52" i="4"/>
  <c r="C51" i="4"/>
  <c r="C50"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Q52" i="4" l="1"/>
  <c r="M8" i="4"/>
  <c r="R37" i="4"/>
  <c r="Q27" i="4"/>
  <c r="Q31" i="4"/>
  <c r="AS10" i="6"/>
  <c r="AR10" i="6"/>
  <c r="AP49" i="6"/>
  <c r="AP8" i="5"/>
  <c r="AP9" i="6"/>
  <c r="R43" i="4"/>
  <c r="R35" i="4"/>
  <c r="R27" i="4"/>
  <c r="L8" i="4"/>
  <c r="Q50" i="4"/>
  <c r="R18" i="4"/>
  <c r="Q41" i="4"/>
  <c r="Q54" i="4"/>
  <c r="Q21" i="4"/>
  <c r="Q17" i="4"/>
  <c r="U17" i="4"/>
  <c r="AV17" i="4" s="1"/>
  <c r="U29" i="4"/>
  <c r="AV29" i="4" s="1"/>
  <c r="U50" i="4"/>
  <c r="AV50" i="4" s="1"/>
  <c r="V15" i="4"/>
  <c r="AW15" i="4" s="1"/>
  <c r="V27" i="4"/>
  <c r="AW27" i="4" s="1"/>
  <c r="V39" i="4"/>
  <c r="AW39" i="4" s="1"/>
  <c r="V47" i="4"/>
  <c r="AW47" i="4" s="1"/>
  <c r="W13" i="4"/>
  <c r="AX13" i="4" s="1"/>
  <c r="W33" i="4"/>
  <c r="AX33" i="4" s="1"/>
  <c r="W45" i="4"/>
  <c r="AX45" i="4" s="1"/>
  <c r="X15" i="4"/>
  <c r="AY15" i="4" s="1"/>
  <c r="X27" i="4"/>
  <c r="AY27" i="4" s="1"/>
  <c r="X43" i="4"/>
  <c r="AY43" i="4" s="1"/>
  <c r="Y23" i="4"/>
  <c r="AZ23" i="4" s="1"/>
  <c r="Y47" i="4"/>
  <c r="AZ47" i="4" s="1"/>
  <c r="R36" i="4"/>
  <c r="R24" i="4"/>
  <c r="R12" i="4"/>
  <c r="U26" i="4"/>
  <c r="AV26" i="4" s="1"/>
  <c r="U13" i="4"/>
  <c r="AV13" i="4" s="1"/>
  <c r="U25" i="4"/>
  <c r="AV25" i="4" s="1"/>
  <c r="U37" i="4"/>
  <c r="AV37" i="4" s="1"/>
  <c r="U45" i="4"/>
  <c r="AV45" i="4" s="1"/>
  <c r="U54" i="4"/>
  <c r="AV54" i="4" s="1"/>
  <c r="V19" i="4"/>
  <c r="AW19" i="4" s="1"/>
  <c r="V31" i="4"/>
  <c r="AW31" i="4" s="1"/>
  <c r="V43" i="4"/>
  <c r="AW43" i="4" s="1"/>
  <c r="V56" i="4"/>
  <c r="AW56" i="4" s="1"/>
  <c r="W21" i="4"/>
  <c r="AX21" i="4" s="1"/>
  <c r="W29" i="4"/>
  <c r="AX29" i="4" s="1"/>
  <c r="W37" i="4"/>
  <c r="AX37" i="4" s="1"/>
  <c r="W50" i="4"/>
  <c r="AX50" i="4" s="1"/>
  <c r="W54" i="4"/>
  <c r="AX54" i="4" s="1"/>
  <c r="X19" i="4"/>
  <c r="AY19" i="4" s="1"/>
  <c r="X31" i="4"/>
  <c r="AY31" i="4" s="1"/>
  <c r="X39" i="4"/>
  <c r="AY39" i="4" s="1"/>
  <c r="X45" i="4"/>
  <c r="AY45" i="4" s="1"/>
  <c r="Y11" i="4"/>
  <c r="AZ11" i="4" s="1"/>
  <c r="Y19" i="4"/>
  <c r="AZ19" i="4" s="1"/>
  <c r="Y27" i="4"/>
  <c r="AZ27" i="4" s="1"/>
  <c r="Y35" i="4"/>
  <c r="AZ35" i="4" s="1"/>
  <c r="Y39" i="4"/>
  <c r="AZ39" i="4" s="1"/>
  <c r="Y52" i="4"/>
  <c r="AZ52" i="4" s="1"/>
  <c r="R40" i="4"/>
  <c r="R32" i="4"/>
  <c r="R20" i="4"/>
  <c r="R16" i="4"/>
  <c r="U14" i="4"/>
  <c r="AV14" i="4" s="1"/>
  <c r="U18" i="4"/>
  <c r="AV18" i="4" s="1"/>
  <c r="U22" i="4"/>
  <c r="AV22" i="4" s="1"/>
  <c r="U30" i="4"/>
  <c r="AV30" i="4" s="1"/>
  <c r="U34" i="4"/>
  <c r="AV34" i="4" s="1"/>
  <c r="U38" i="4"/>
  <c r="AV38" i="4" s="1"/>
  <c r="U42" i="4"/>
  <c r="AV42" i="4" s="1"/>
  <c r="U46" i="4"/>
  <c r="AV46" i="4" s="1"/>
  <c r="U51" i="4"/>
  <c r="AV51" i="4" s="1"/>
  <c r="U55" i="4"/>
  <c r="AV55" i="4" s="1"/>
  <c r="V12" i="4"/>
  <c r="AW12" i="4" s="1"/>
  <c r="V16" i="4"/>
  <c r="AW16" i="4" s="1"/>
  <c r="V20" i="4"/>
  <c r="AW20" i="4" s="1"/>
  <c r="V24" i="4"/>
  <c r="AW24" i="4" s="1"/>
  <c r="V28" i="4"/>
  <c r="AW28" i="4" s="1"/>
  <c r="V32" i="4"/>
  <c r="AW32" i="4" s="1"/>
  <c r="V36" i="4"/>
  <c r="AW36" i="4" s="1"/>
  <c r="V40" i="4"/>
  <c r="AW40" i="4" s="1"/>
  <c r="V44" i="4"/>
  <c r="AW44" i="4" s="1"/>
  <c r="W22" i="4"/>
  <c r="AX22" i="4" s="1"/>
  <c r="W30" i="4"/>
  <c r="AX30" i="4" s="1"/>
  <c r="W38" i="4"/>
  <c r="AX38" i="4" s="1"/>
  <c r="W51" i="4"/>
  <c r="AX51" i="4" s="1"/>
  <c r="Y20" i="4"/>
  <c r="AZ20" i="4" s="1"/>
  <c r="Y28" i="4"/>
  <c r="AZ28" i="4" s="1"/>
  <c r="Y36" i="4"/>
  <c r="AZ36" i="4" s="1"/>
  <c r="Y44" i="4"/>
  <c r="AZ44" i="4" s="1"/>
  <c r="R52" i="4"/>
  <c r="R31" i="4"/>
  <c r="U11" i="4"/>
  <c r="AV11" i="4" s="1"/>
  <c r="U15" i="4"/>
  <c r="AV15" i="4" s="1"/>
  <c r="U19" i="4"/>
  <c r="AV19" i="4" s="1"/>
  <c r="U23" i="4"/>
  <c r="AV23" i="4" s="1"/>
  <c r="U27" i="4"/>
  <c r="AV27" i="4" s="1"/>
  <c r="U31" i="4"/>
  <c r="AV31" i="4" s="1"/>
  <c r="U35" i="4"/>
  <c r="AV35" i="4" s="1"/>
  <c r="U39" i="4"/>
  <c r="AV39" i="4" s="1"/>
  <c r="U43" i="4"/>
  <c r="AV43" i="4" s="1"/>
  <c r="U47" i="4"/>
  <c r="AV47" i="4" s="1"/>
  <c r="U52" i="4"/>
  <c r="AV52" i="4" s="1"/>
  <c r="U56" i="4"/>
  <c r="AV56" i="4" s="1"/>
  <c r="V13" i="4"/>
  <c r="AW13" i="4" s="1"/>
  <c r="V17" i="4"/>
  <c r="AW17" i="4" s="1"/>
  <c r="V21" i="4"/>
  <c r="AW21" i="4" s="1"/>
  <c r="V25" i="4"/>
  <c r="AW25" i="4" s="1"/>
  <c r="V29" i="4"/>
  <c r="AW29" i="4" s="1"/>
  <c r="V33" i="4"/>
  <c r="AW33" i="4" s="1"/>
  <c r="V37" i="4"/>
  <c r="AW37" i="4" s="1"/>
  <c r="V41" i="4"/>
  <c r="AW41" i="4" s="1"/>
  <c r="V45" i="4"/>
  <c r="AW45" i="4" s="1"/>
  <c r="V50" i="4"/>
  <c r="AW50" i="4" s="1"/>
  <c r="V54" i="4"/>
  <c r="AW54" i="4" s="1"/>
  <c r="W11" i="4"/>
  <c r="AX11" i="4" s="1"/>
  <c r="W15" i="4"/>
  <c r="AX15" i="4" s="1"/>
  <c r="W19" i="4"/>
  <c r="AX19" i="4" s="1"/>
  <c r="W23" i="4"/>
  <c r="AX23" i="4" s="1"/>
  <c r="W27" i="4"/>
  <c r="AX27" i="4" s="1"/>
  <c r="W31" i="4"/>
  <c r="AX31" i="4" s="1"/>
  <c r="W35" i="4"/>
  <c r="AX35" i="4" s="1"/>
  <c r="W39" i="4"/>
  <c r="AX39" i="4" s="1"/>
  <c r="W43" i="4"/>
  <c r="AX43" i="4" s="1"/>
  <c r="W47" i="4"/>
  <c r="AX47" i="4" s="1"/>
  <c r="W52" i="4"/>
  <c r="AX52" i="4" s="1"/>
  <c r="W56" i="4"/>
  <c r="AX56" i="4" s="1"/>
  <c r="Y13" i="4"/>
  <c r="AZ13" i="4" s="1"/>
  <c r="Y17" i="4"/>
  <c r="AZ17" i="4" s="1"/>
  <c r="Y21" i="4"/>
  <c r="AZ21" i="4" s="1"/>
  <c r="Y25" i="4"/>
  <c r="AZ25" i="4" s="1"/>
  <c r="Y29" i="4"/>
  <c r="AZ29" i="4" s="1"/>
  <c r="Y33" i="4"/>
  <c r="AZ33" i="4" s="1"/>
  <c r="Y37" i="4"/>
  <c r="AZ37" i="4" s="1"/>
  <c r="Y41" i="4"/>
  <c r="AZ41" i="4" s="1"/>
  <c r="Y45" i="4"/>
  <c r="AZ45" i="4" s="1"/>
  <c r="Y50" i="4"/>
  <c r="AZ50" i="4" s="1"/>
  <c r="Y54" i="4"/>
  <c r="AZ54" i="4" s="1"/>
  <c r="R51" i="4"/>
  <c r="R47" i="4"/>
  <c r="Q39" i="4"/>
  <c r="Q29" i="4"/>
  <c r="R26" i="4"/>
  <c r="R23" i="4"/>
  <c r="R19" i="4"/>
  <c r="Q11" i="4"/>
  <c r="R55" i="4"/>
  <c r="Q51" i="4"/>
  <c r="R46" i="4"/>
  <c r="Q42" i="4"/>
  <c r="R38" i="4"/>
  <c r="Q34" i="4"/>
  <c r="R30" i="4"/>
  <c r="Q26" i="4"/>
  <c r="R22" i="4"/>
  <c r="Q18" i="4"/>
  <c r="R14" i="4"/>
  <c r="Q37" i="4"/>
  <c r="R33" i="4"/>
  <c r="U21" i="4"/>
  <c r="AV21" i="4" s="1"/>
  <c r="U33" i="4"/>
  <c r="AV33" i="4" s="1"/>
  <c r="U41" i="4"/>
  <c r="AV41" i="4" s="1"/>
  <c r="V11" i="4"/>
  <c r="AW11" i="4" s="1"/>
  <c r="V23" i="4"/>
  <c r="AW23" i="4" s="1"/>
  <c r="V35" i="4"/>
  <c r="AW35" i="4" s="1"/>
  <c r="V52" i="4"/>
  <c r="AW52" i="4" s="1"/>
  <c r="W17" i="4"/>
  <c r="AX17" i="4" s="1"/>
  <c r="W25" i="4"/>
  <c r="AX25" i="4" s="1"/>
  <c r="W41" i="4"/>
  <c r="AX41" i="4" s="1"/>
  <c r="X11" i="4"/>
  <c r="AY11" i="4" s="1"/>
  <c r="X23" i="4"/>
  <c r="AY23" i="4" s="1"/>
  <c r="X35" i="4"/>
  <c r="AY35" i="4" s="1"/>
  <c r="Y15" i="4"/>
  <c r="AZ15" i="4" s="1"/>
  <c r="Y31" i="4"/>
  <c r="AZ31" i="4" s="1"/>
  <c r="Y43" i="4"/>
  <c r="AZ43" i="4" s="1"/>
  <c r="Y56" i="4"/>
  <c r="AZ56" i="4" s="1"/>
  <c r="R28" i="4"/>
  <c r="W14" i="4"/>
  <c r="AX14" i="4" s="1"/>
  <c r="W18" i="4"/>
  <c r="AX18" i="4" s="1"/>
  <c r="W26" i="4"/>
  <c r="AX26" i="4" s="1"/>
  <c r="W34" i="4"/>
  <c r="AX34" i="4" s="1"/>
  <c r="W42" i="4"/>
  <c r="AX42" i="4" s="1"/>
  <c r="W46" i="4"/>
  <c r="AX46" i="4" s="1"/>
  <c r="W55" i="4"/>
  <c r="AX55" i="4" s="1"/>
  <c r="H49" i="3"/>
  <c r="Y12" i="4"/>
  <c r="AZ12" i="4" s="1"/>
  <c r="Y16" i="4"/>
  <c r="AZ16" i="4" s="1"/>
  <c r="Y24" i="4"/>
  <c r="AZ24" i="4" s="1"/>
  <c r="Y32" i="4"/>
  <c r="AZ32" i="4" s="1"/>
  <c r="Y40" i="4"/>
  <c r="AZ40" i="4" s="1"/>
  <c r="Y53" i="4"/>
  <c r="AZ53" i="4" s="1"/>
  <c r="Q47" i="4"/>
  <c r="Q43" i="4"/>
  <c r="Q35" i="4"/>
  <c r="U12" i="4"/>
  <c r="AV12" i="4" s="1"/>
  <c r="U16" i="4"/>
  <c r="AV16" i="4" s="1"/>
  <c r="U20" i="4"/>
  <c r="AV20" i="4" s="1"/>
  <c r="U24" i="4"/>
  <c r="AV24" i="4" s="1"/>
  <c r="U28" i="4"/>
  <c r="AV28" i="4" s="1"/>
  <c r="U32" i="4"/>
  <c r="AV32" i="4" s="1"/>
  <c r="U36" i="4"/>
  <c r="AV36" i="4" s="1"/>
  <c r="U40" i="4"/>
  <c r="AV40" i="4" s="1"/>
  <c r="U44" i="4"/>
  <c r="AV44" i="4" s="1"/>
  <c r="U53" i="4"/>
  <c r="AV53" i="4" s="1"/>
  <c r="V14" i="4"/>
  <c r="AW14" i="4" s="1"/>
  <c r="V18" i="4"/>
  <c r="AW18" i="4" s="1"/>
  <c r="V22" i="4"/>
  <c r="AW22" i="4" s="1"/>
  <c r="V26" i="4"/>
  <c r="AW26" i="4" s="1"/>
  <c r="V30" i="4"/>
  <c r="AW30" i="4" s="1"/>
  <c r="V34" i="4"/>
  <c r="AW34" i="4" s="1"/>
  <c r="V38" i="4"/>
  <c r="AW38" i="4" s="1"/>
  <c r="V42" i="4"/>
  <c r="AW42" i="4" s="1"/>
  <c r="V46" i="4"/>
  <c r="AW46" i="4" s="1"/>
  <c r="V51" i="4"/>
  <c r="AW51" i="4" s="1"/>
  <c r="V55" i="4"/>
  <c r="AW55" i="4" s="1"/>
  <c r="W12" i="4"/>
  <c r="AX12" i="4" s="1"/>
  <c r="W16" i="4"/>
  <c r="AX16" i="4" s="1"/>
  <c r="W20" i="4"/>
  <c r="AX20" i="4" s="1"/>
  <c r="W24" i="4"/>
  <c r="AX24" i="4" s="1"/>
  <c r="W28" i="4"/>
  <c r="AX28" i="4" s="1"/>
  <c r="W32" i="4"/>
  <c r="AX32" i="4" s="1"/>
  <c r="W36" i="4"/>
  <c r="AX36" i="4" s="1"/>
  <c r="W40" i="4"/>
  <c r="AX40" i="4" s="1"/>
  <c r="W44" i="4"/>
  <c r="AX44" i="4" s="1"/>
  <c r="W53" i="4"/>
  <c r="AX53" i="4" s="1"/>
  <c r="X47" i="4"/>
  <c r="AY47" i="4" s="1"/>
  <c r="X52" i="4"/>
  <c r="AY52" i="4" s="1"/>
  <c r="X56" i="4"/>
  <c r="AY56" i="4" s="1"/>
  <c r="Y14" i="4"/>
  <c r="AZ14" i="4" s="1"/>
  <c r="Y18" i="4"/>
  <c r="AZ18" i="4" s="1"/>
  <c r="Y22" i="4"/>
  <c r="AZ22" i="4" s="1"/>
  <c r="Y26" i="4"/>
  <c r="AZ26" i="4" s="1"/>
  <c r="Y30" i="4"/>
  <c r="AZ30" i="4" s="1"/>
  <c r="Y34" i="4"/>
  <c r="AZ34" i="4" s="1"/>
  <c r="Y38" i="4"/>
  <c r="AZ38" i="4" s="1"/>
  <c r="Y42" i="4"/>
  <c r="AZ42" i="4" s="1"/>
  <c r="Y46" i="4"/>
  <c r="AZ46" i="4" s="1"/>
  <c r="Y51" i="4"/>
  <c r="AZ51" i="4" s="1"/>
  <c r="Y55" i="4"/>
  <c r="AZ55" i="4" s="1"/>
  <c r="R42" i="4"/>
  <c r="R39" i="4"/>
  <c r="R34" i="4"/>
  <c r="R29" i="4"/>
  <c r="R15" i="4"/>
  <c r="R11" i="4"/>
  <c r="N9" i="4"/>
  <c r="N8" i="4" s="1"/>
  <c r="W10" i="4"/>
  <c r="AX10" i="4" s="1"/>
  <c r="R10" i="4"/>
  <c r="U48" i="4"/>
  <c r="AV48" i="4" s="1"/>
  <c r="V10" i="4"/>
  <c r="AW10" i="4" s="1"/>
  <c r="W48" i="4"/>
  <c r="AX48" i="4" s="1"/>
  <c r="Y10" i="4"/>
  <c r="AZ10" i="4" s="1"/>
  <c r="U10" i="4"/>
  <c r="AV10" i="4" s="1"/>
  <c r="V48" i="4"/>
  <c r="AW48" i="4" s="1"/>
  <c r="Y48" i="4"/>
  <c r="AZ48" i="4" s="1"/>
  <c r="Q8" i="3"/>
  <c r="Q55" i="4"/>
  <c r="Q46" i="4"/>
  <c r="Q38" i="4"/>
  <c r="Q33" i="4"/>
  <c r="Q30" i="4"/>
  <c r="Q22" i="4"/>
  <c r="Q14" i="4"/>
  <c r="Q10" i="4"/>
  <c r="K9" i="4"/>
  <c r="R53" i="4"/>
  <c r="R48" i="4"/>
  <c r="R44" i="4"/>
  <c r="F50" i="4"/>
  <c r="F49" i="3"/>
  <c r="F13" i="4"/>
  <c r="F17" i="4"/>
  <c r="F21" i="4"/>
  <c r="F25" i="4"/>
  <c r="F29" i="4"/>
  <c r="F33" i="4"/>
  <c r="F37" i="4"/>
  <c r="F41" i="4"/>
  <c r="F46" i="4"/>
  <c r="F51" i="4"/>
  <c r="F55" i="4"/>
  <c r="Q53" i="4"/>
  <c r="Q48" i="4"/>
  <c r="Q44" i="4"/>
  <c r="Q40" i="4"/>
  <c r="Q36" i="4"/>
  <c r="Q32" i="4"/>
  <c r="Q28" i="4"/>
  <c r="Q24" i="4"/>
  <c r="Q20" i="4"/>
  <c r="Q16" i="4"/>
  <c r="Q12" i="4"/>
  <c r="O9" i="4"/>
  <c r="I49" i="3"/>
  <c r="F54" i="4"/>
  <c r="D49" i="3"/>
  <c r="C9" i="3"/>
  <c r="C49" i="3"/>
  <c r="D9" i="4"/>
  <c r="V9" i="4" s="1"/>
  <c r="AW9" i="4" s="1"/>
  <c r="F10" i="4"/>
  <c r="F14" i="4"/>
  <c r="F18" i="4"/>
  <c r="F22" i="4"/>
  <c r="F26" i="4"/>
  <c r="F30" i="4"/>
  <c r="F34" i="4"/>
  <c r="F38" i="4"/>
  <c r="F42" i="4"/>
  <c r="G9" i="4"/>
  <c r="Y9" i="4" s="1"/>
  <c r="AZ9" i="4" s="1"/>
  <c r="R8" i="3"/>
  <c r="G49" i="4"/>
  <c r="Y49" i="4" s="1"/>
  <c r="AZ49" i="4" s="1"/>
  <c r="R56" i="4"/>
  <c r="Q56" i="4"/>
  <c r="K49" i="4"/>
  <c r="O49" i="4"/>
  <c r="C49" i="4"/>
  <c r="U49" i="4" s="1"/>
  <c r="AV49" i="4" s="1"/>
  <c r="E49" i="4"/>
  <c r="W49" i="4" s="1"/>
  <c r="AX49" i="4" s="1"/>
  <c r="G49" i="3"/>
  <c r="F53" i="4"/>
  <c r="C9" i="4"/>
  <c r="U9" i="4" s="1"/>
  <c r="AV9" i="4" s="1"/>
  <c r="E49" i="3"/>
  <c r="D53" i="4"/>
  <c r="E9" i="4"/>
  <c r="F12" i="4"/>
  <c r="F16" i="4"/>
  <c r="F20" i="4"/>
  <c r="F24" i="4"/>
  <c r="F28" i="4"/>
  <c r="F32" i="4"/>
  <c r="F36" i="4"/>
  <c r="F40" i="4"/>
  <c r="F44" i="4"/>
  <c r="F48" i="4"/>
  <c r="P8" i="3"/>
  <c r="G9" i="3"/>
  <c r="D9" i="3"/>
  <c r="H9" i="3"/>
  <c r="E9" i="3"/>
  <c r="I9" i="3"/>
  <c r="F9" i="3"/>
  <c r="AP8" i="6" l="1"/>
  <c r="H8" i="3"/>
  <c r="F8" i="3"/>
  <c r="I8" i="3"/>
  <c r="G8" i="3"/>
  <c r="X16" i="4"/>
  <c r="AY16" i="4" s="1"/>
  <c r="X28" i="4"/>
  <c r="AY28" i="4" s="1"/>
  <c r="X24" i="4"/>
  <c r="AY24" i="4" s="1"/>
  <c r="X42" i="4"/>
  <c r="AY42" i="4" s="1"/>
  <c r="X33" i="4"/>
  <c r="AY33" i="4" s="1"/>
  <c r="X32" i="4"/>
  <c r="AY32" i="4" s="1"/>
  <c r="X30" i="4"/>
  <c r="AY30" i="4" s="1"/>
  <c r="X40" i="4"/>
  <c r="AY40" i="4" s="1"/>
  <c r="X53" i="4"/>
  <c r="AY53" i="4" s="1"/>
  <c r="X26" i="4"/>
  <c r="AY26" i="4" s="1"/>
  <c r="X51" i="4"/>
  <c r="AY51" i="4" s="1"/>
  <c r="X17" i="4"/>
  <c r="AY17" i="4" s="1"/>
  <c r="X36" i="4"/>
  <c r="AY36" i="4" s="1"/>
  <c r="X20" i="4"/>
  <c r="AY20" i="4" s="1"/>
  <c r="V53" i="4"/>
  <c r="AW53" i="4" s="1"/>
  <c r="D49" i="4"/>
  <c r="V49" i="4" s="1"/>
  <c r="AW49" i="4" s="1"/>
  <c r="X38" i="4"/>
  <c r="AY38" i="4" s="1"/>
  <c r="X22" i="4"/>
  <c r="AY22" i="4" s="1"/>
  <c r="X54" i="4"/>
  <c r="AY54" i="4" s="1"/>
  <c r="X46" i="4"/>
  <c r="AY46" i="4" s="1"/>
  <c r="X29" i="4"/>
  <c r="AY29" i="4" s="1"/>
  <c r="X13" i="4"/>
  <c r="AY13" i="4" s="1"/>
  <c r="X34" i="4"/>
  <c r="AY34" i="4" s="1"/>
  <c r="X18" i="4"/>
  <c r="AY18" i="4" s="1"/>
  <c r="X41" i="4"/>
  <c r="AY41" i="4" s="1"/>
  <c r="X25" i="4"/>
  <c r="AY25" i="4" s="1"/>
  <c r="X44" i="4"/>
  <c r="AY44" i="4" s="1"/>
  <c r="X12" i="4"/>
  <c r="AY12" i="4" s="1"/>
  <c r="X14" i="4"/>
  <c r="AY14" i="4" s="1"/>
  <c r="X55" i="4"/>
  <c r="AY55" i="4" s="1"/>
  <c r="X37" i="4"/>
  <c r="AY37" i="4" s="1"/>
  <c r="X21" i="4"/>
  <c r="AY21" i="4" s="1"/>
  <c r="X50" i="4"/>
  <c r="AY50" i="4" s="1"/>
  <c r="C8" i="3"/>
  <c r="Q9" i="4"/>
  <c r="R9" i="4"/>
  <c r="E8" i="4"/>
  <c r="W8" i="4" s="1"/>
  <c r="AX8" i="4" s="1"/>
  <c r="W9" i="4"/>
  <c r="AX9" i="4" s="1"/>
  <c r="X48" i="4"/>
  <c r="AY48" i="4" s="1"/>
  <c r="O8" i="4"/>
  <c r="G8" i="4"/>
  <c r="Y8" i="4" s="1"/>
  <c r="AZ8" i="4" s="1"/>
  <c r="X10" i="4"/>
  <c r="AY10" i="4" s="1"/>
  <c r="F49" i="4"/>
  <c r="X49" i="4" s="1"/>
  <c r="AY49" i="4" s="1"/>
  <c r="C8" i="4"/>
  <c r="U8" i="4" s="1"/>
  <c r="AV8" i="4" s="1"/>
  <c r="E8" i="3"/>
  <c r="D8" i="3"/>
  <c r="F9" i="4"/>
  <c r="X9" i="4" s="1"/>
  <c r="AY9" i="4" s="1"/>
  <c r="R49" i="4"/>
  <c r="Q49" i="4"/>
  <c r="K8" i="4"/>
  <c r="B56" i="4"/>
  <c r="B55" i="4"/>
  <c r="B54" i="4"/>
  <c r="B53" i="4"/>
  <c r="B52" i="4"/>
  <c r="B51" i="4"/>
  <c r="B50"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D8" i="4" l="1"/>
  <c r="V8" i="4" s="1"/>
  <c r="AW8" i="4" s="1"/>
  <c r="T17" i="4"/>
  <c r="T12" i="4"/>
  <c r="T16" i="4"/>
  <c r="T20" i="4"/>
  <c r="T24" i="4"/>
  <c r="T28" i="4"/>
  <c r="T32" i="4"/>
  <c r="T36" i="4"/>
  <c r="T40" i="4"/>
  <c r="T44" i="4"/>
  <c r="T53" i="4"/>
  <c r="T25" i="4"/>
  <c r="T29" i="4"/>
  <c r="T33" i="4"/>
  <c r="T37" i="4"/>
  <c r="T41" i="4"/>
  <c r="T45" i="4"/>
  <c r="T50" i="4"/>
  <c r="T54" i="4"/>
  <c r="T13" i="4"/>
  <c r="T14" i="4"/>
  <c r="T18" i="4"/>
  <c r="T22" i="4"/>
  <c r="T26" i="4"/>
  <c r="T30" i="4"/>
  <c r="T34" i="4"/>
  <c r="T38" i="4"/>
  <c r="T42" i="4"/>
  <c r="T46" i="4"/>
  <c r="T51" i="4"/>
  <c r="T55" i="4"/>
  <c r="T21" i="4"/>
  <c r="T11" i="4"/>
  <c r="T15" i="4"/>
  <c r="T19" i="4"/>
  <c r="T23" i="4"/>
  <c r="T27" i="4"/>
  <c r="T31" i="4"/>
  <c r="T35" i="4"/>
  <c r="T39" i="4"/>
  <c r="T43" i="4"/>
  <c r="T47" i="4"/>
  <c r="T52" i="4"/>
  <c r="T56" i="4"/>
  <c r="T48" i="4"/>
  <c r="T10" i="4"/>
  <c r="F8" i="4"/>
  <c r="X8" i="4" s="1"/>
  <c r="H14" i="4"/>
  <c r="I14" i="4"/>
  <c r="H12" i="4"/>
  <c r="I12" i="4"/>
  <c r="H16" i="4"/>
  <c r="I16" i="4"/>
  <c r="H20" i="4"/>
  <c r="I20" i="4"/>
  <c r="H24" i="4"/>
  <c r="I24" i="4"/>
  <c r="H28" i="4"/>
  <c r="I28" i="4"/>
  <c r="H32" i="4"/>
  <c r="I32" i="4"/>
  <c r="I36" i="4"/>
  <c r="H36" i="4"/>
  <c r="I40" i="4"/>
  <c r="H40" i="4"/>
  <c r="I44" i="4"/>
  <c r="H44" i="4"/>
  <c r="I48" i="4"/>
  <c r="H48" i="4"/>
  <c r="H53" i="4"/>
  <c r="I53" i="4"/>
  <c r="R8" i="4"/>
  <c r="Q8" i="4"/>
  <c r="H13" i="4"/>
  <c r="I13" i="4"/>
  <c r="H17" i="4"/>
  <c r="I17" i="4"/>
  <c r="H21" i="4"/>
  <c r="I21" i="4"/>
  <c r="H25" i="4"/>
  <c r="I25" i="4"/>
  <c r="H29" i="4"/>
  <c r="I29" i="4"/>
  <c r="H33" i="4"/>
  <c r="I33" i="4"/>
  <c r="H37" i="4"/>
  <c r="I37" i="4"/>
  <c r="H41" i="4"/>
  <c r="I41" i="4"/>
  <c r="H45" i="4"/>
  <c r="I45" i="4"/>
  <c r="I50" i="4"/>
  <c r="B49" i="4"/>
  <c r="T49" i="4" s="1"/>
  <c r="H50" i="4"/>
  <c r="I54" i="4"/>
  <c r="H54" i="4"/>
  <c r="H18" i="4"/>
  <c r="I18" i="4"/>
  <c r="H22" i="4"/>
  <c r="I22" i="4"/>
  <c r="H26" i="4"/>
  <c r="I26" i="4"/>
  <c r="H30" i="4"/>
  <c r="I30" i="4"/>
  <c r="I34" i="4"/>
  <c r="H34" i="4"/>
  <c r="I38" i="4"/>
  <c r="H38" i="4"/>
  <c r="I46" i="4"/>
  <c r="H46" i="4"/>
  <c r="H51" i="4"/>
  <c r="I51" i="4"/>
  <c r="H55" i="4"/>
  <c r="I55" i="4"/>
  <c r="H10" i="4"/>
  <c r="I10" i="4"/>
  <c r="B9" i="4"/>
  <c r="T9" i="4" s="1"/>
  <c r="I42" i="4"/>
  <c r="H42" i="4"/>
  <c r="H11" i="4"/>
  <c r="I11" i="4"/>
  <c r="H15" i="4"/>
  <c r="I15" i="4"/>
  <c r="H19" i="4"/>
  <c r="I19" i="4"/>
  <c r="H23" i="4"/>
  <c r="I23" i="4"/>
  <c r="H27" i="4"/>
  <c r="I27" i="4"/>
  <c r="H31" i="4"/>
  <c r="I31" i="4"/>
  <c r="H35" i="4"/>
  <c r="I35" i="4"/>
  <c r="H39" i="4"/>
  <c r="I39" i="4"/>
  <c r="H43" i="4"/>
  <c r="I43" i="4"/>
  <c r="H47" i="4"/>
  <c r="I47" i="4"/>
  <c r="I52" i="4"/>
  <c r="H52" i="4"/>
  <c r="I56" i="4"/>
  <c r="H56" i="4"/>
  <c r="B9" i="3"/>
  <c r="B49" i="3"/>
  <c r="Z56" i="4" l="1"/>
  <c r="AA56" i="4"/>
  <c r="AU56" i="4"/>
  <c r="BD56" i="4" s="1"/>
  <c r="Z23" i="4"/>
  <c r="AA23" i="4"/>
  <c r="AU23" i="4"/>
  <c r="BD23" i="4" s="1"/>
  <c r="Z21" i="4"/>
  <c r="AA21" i="4"/>
  <c r="AU21" i="4"/>
  <c r="BD21" i="4" s="1"/>
  <c r="AA26" i="4"/>
  <c r="Z26" i="4"/>
  <c r="AU26" i="4"/>
  <c r="BD26" i="4" s="1"/>
  <c r="AA36" i="4"/>
  <c r="Z36" i="4"/>
  <c r="AU36" i="4"/>
  <c r="BD36" i="4" s="1"/>
  <c r="Z52" i="4"/>
  <c r="AA52" i="4"/>
  <c r="AU52" i="4"/>
  <c r="BD52" i="4" s="1"/>
  <c r="Z35" i="4"/>
  <c r="AA35" i="4"/>
  <c r="AU35" i="4"/>
  <c r="BD35" i="4" s="1"/>
  <c r="Z19" i="4"/>
  <c r="AA19" i="4"/>
  <c r="AU19" i="4"/>
  <c r="BD19" i="4" s="1"/>
  <c r="AA55" i="4"/>
  <c r="Z55" i="4"/>
  <c r="AU55" i="4"/>
  <c r="BD55" i="4" s="1"/>
  <c r="AA38" i="4"/>
  <c r="Z38" i="4"/>
  <c r="AU38" i="4"/>
  <c r="BD38" i="4" s="1"/>
  <c r="AA22" i="4"/>
  <c r="Z22" i="4"/>
  <c r="AU22" i="4"/>
  <c r="BD22" i="4" s="1"/>
  <c r="Z45" i="4"/>
  <c r="AA45" i="4"/>
  <c r="AU45" i="4"/>
  <c r="BD45" i="4" s="1"/>
  <c r="Z29" i="4"/>
  <c r="AA29" i="4"/>
  <c r="AU29" i="4"/>
  <c r="BD29" i="4" s="1"/>
  <c r="AA53" i="4"/>
  <c r="Z53" i="4"/>
  <c r="AU53" i="4"/>
  <c r="BD53" i="4" s="1"/>
  <c r="AA32" i="4"/>
  <c r="Z32" i="4"/>
  <c r="AU32" i="4"/>
  <c r="BD32" i="4" s="1"/>
  <c r="AA16" i="4"/>
  <c r="Z16" i="4"/>
  <c r="AU16" i="4"/>
  <c r="BD16" i="4" s="1"/>
  <c r="AA49" i="4"/>
  <c r="Z49" i="4"/>
  <c r="AU49" i="4"/>
  <c r="BD49" i="4" s="1"/>
  <c r="Z47" i="4"/>
  <c r="AA47" i="4"/>
  <c r="AU47" i="4"/>
  <c r="BD47" i="4" s="1"/>
  <c r="Z31" i="4"/>
  <c r="AA31" i="4"/>
  <c r="AU31" i="4"/>
  <c r="BD31" i="4" s="1"/>
  <c r="Z15" i="4"/>
  <c r="AA15" i="4"/>
  <c r="AU15" i="4"/>
  <c r="BD15" i="4" s="1"/>
  <c r="AA51" i="4"/>
  <c r="Z51" i="4"/>
  <c r="AU51" i="4"/>
  <c r="BD51" i="4" s="1"/>
  <c r="AA34" i="4"/>
  <c r="Z34" i="4"/>
  <c r="AU34" i="4"/>
  <c r="BD34" i="4" s="1"/>
  <c r="AA18" i="4"/>
  <c r="Z18" i="4"/>
  <c r="AU18" i="4"/>
  <c r="BD18" i="4" s="1"/>
  <c r="Z41" i="4"/>
  <c r="AA41" i="4"/>
  <c r="AU41" i="4"/>
  <c r="BD41" i="4" s="1"/>
  <c r="Z25" i="4"/>
  <c r="AA25" i="4"/>
  <c r="AU25" i="4"/>
  <c r="BD25" i="4" s="1"/>
  <c r="AA44" i="4"/>
  <c r="Z44" i="4"/>
  <c r="AU44" i="4"/>
  <c r="BD44" i="4" s="1"/>
  <c r="AA28" i="4"/>
  <c r="Z28" i="4"/>
  <c r="AU28" i="4"/>
  <c r="BD28" i="4" s="1"/>
  <c r="AA12" i="4"/>
  <c r="Z12" i="4"/>
  <c r="AU12" i="4"/>
  <c r="BD12" i="4" s="1"/>
  <c r="Z43" i="4"/>
  <c r="AA43" i="4"/>
  <c r="AU43" i="4"/>
  <c r="BD43" i="4" s="1"/>
  <c r="Z27" i="4"/>
  <c r="AA27" i="4"/>
  <c r="AU27" i="4"/>
  <c r="BD27" i="4" s="1"/>
  <c r="Z11" i="4"/>
  <c r="AA11" i="4"/>
  <c r="AU11" i="4"/>
  <c r="BD11" i="4" s="1"/>
  <c r="AA46" i="4"/>
  <c r="Z46" i="4"/>
  <c r="AU46" i="4"/>
  <c r="BD46" i="4" s="1"/>
  <c r="AA30" i="4"/>
  <c r="Z30" i="4"/>
  <c r="AU30" i="4"/>
  <c r="BD30" i="4" s="1"/>
  <c r="AA14" i="4"/>
  <c r="Z14" i="4"/>
  <c r="AU14" i="4"/>
  <c r="BD14" i="4" s="1"/>
  <c r="Z54" i="4"/>
  <c r="AA54" i="4"/>
  <c r="AU54" i="4"/>
  <c r="BD54" i="4" s="1"/>
  <c r="Z37" i="4"/>
  <c r="AA37" i="4"/>
  <c r="AU37" i="4"/>
  <c r="BD37" i="4" s="1"/>
  <c r="AA40" i="4"/>
  <c r="Z40" i="4"/>
  <c r="AU40" i="4"/>
  <c r="BD40" i="4" s="1"/>
  <c r="AA24" i="4"/>
  <c r="Z24" i="4"/>
  <c r="AU24" i="4"/>
  <c r="BD24" i="4" s="1"/>
  <c r="Z17" i="4"/>
  <c r="AA17" i="4"/>
  <c r="AU17" i="4"/>
  <c r="BD17" i="4" s="1"/>
  <c r="Z39" i="4"/>
  <c r="AA39" i="4"/>
  <c r="AU39" i="4"/>
  <c r="BD39" i="4" s="1"/>
  <c r="AA42" i="4"/>
  <c r="Z42" i="4"/>
  <c r="AU42" i="4"/>
  <c r="BD42" i="4" s="1"/>
  <c r="Z13" i="4"/>
  <c r="AA13" i="4"/>
  <c r="AU13" i="4"/>
  <c r="BD13" i="4" s="1"/>
  <c r="Z50" i="4"/>
  <c r="AA50" i="4"/>
  <c r="AU50" i="4"/>
  <c r="BD50" i="4" s="1"/>
  <c r="Z33" i="4"/>
  <c r="AA33" i="4"/>
  <c r="AU33" i="4"/>
  <c r="BD33" i="4" s="1"/>
  <c r="AA20" i="4"/>
  <c r="Z20" i="4"/>
  <c r="AU20" i="4"/>
  <c r="BD20" i="4" s="1"/>
  <c r="Z10" i="4"/>
  <c r="AA10" i="4"/>
  <c r="AU10" i="4"/>
  <c r="BD10" i="4" s="1"/>
  <c r="AA9" i="4"/>
  <c r="Z9" i="4"/>
  <c r="AU9" i="4"/>
  <c r="BD9" i="4" s="1"/>
  <c r="AY8" i="4"/>
  <c r="Z48" i="4"/>
  <c r="AA48" i="4"/>
  <c r="AU48" i="4"/>
  <c r="BD48" i="4" s="1"/>
  <c r="H9" i="4"/>
  <c r="I9" i="4"/>
  <c r="B8" i="4"/>
  <c r="T8" i="4" s="1"/>
  <c r="H49" i="4"/>
  <c r="I49" i="4"/>
  <c r="B8" i="3"/>
  <c r="BA30" i="4" l="1"/>
  <c r="BB30" i="4"/>
  <c r="BB43" i="4"/>
  <c r="BA43" i="4"/>
  <c r="BA12" i="4"/>
  <c r="BB12" i="4"/>
  <c r="BB41" i="4"/>
  <c r="BA41" i="4"/>
  <c r="BA20" i="4"/>
  <c r="BB20" i="4"/>
  <c r="BA42" i="4"/>
  <c r="BB42" i="4"/>
  <c r="BA24" i="4"/>
  <c r="BB24" i="4"/>
  <c r="BA14" i="4"/>
  <c r="BB14" i="4"/>
  <c r="BB27" i="4"/>
  <c r="BA27" i="4"/>
  <c r="BB25" i="4"/>
  <c r="BA25" i="4"/>
  <c r="BA51" i="4"/>
  <c r="BB51" i="4"/>
  <c r="BA49" i="4"/>
  <c r="BB49" i="4"/>
  <c r="BA16" i="4"/>
  <c r="BB16" i="4"/>
  <c r="BB45" i="4"/>
  <c r="BA45" i="4"/>
  <c r="BB19" i="4"/>
  <c r="BA19" i="4"/>
  <c r="BA26" i="4"/>
  <c r="BB26" i="4"/>
  <c r="BB33" i="4"/>
  <c r="BA33" i="4"/>
  <c r="BA40" i="4"/>
  <c r="BB40" i="4"/>
  <c r="BB13" i="4"/>
  <c r="BA13" i="4"/>
  <c r="BB17" i="4"/>
  <c r="BA17" i="4"/>
  <c r="BB54" i="4"/>
  <c r="BA54" i="4"/>
  <c r="BB11" i="4"/>
  <c r="BA11" i="4"/>
  <c r="BA44" i="4"/>
  <c r="BB44" i="4"/>
  <c r="BA34" i="4"/>
  <c r="BB34" i="4"/>
  <c r="BB47" i="4"/>
  <c r="BA47" i="4"/>
  <c r="BB29" i="4"/>
  <c r="BA29" i="4"/>
  <c r="BA55" i="4"/>
  <c r="BB55" i="4"/>
  <c r="BA36" i="4"/>
  <c r="BB36" i="4"/>
  <c r="BB56" i="4"/>
  <c r="BA56" i="4"/>
  <c r="BB50" i="4"/>
  <c r="BA50" i="4"/>
  <c r="BB37" i="4"/>
  <c r="BA37" i="4"/>
  <c r="BA46" i="4"/>
  <c r="BB46" i="4"/>
  <c r="BA28" i="4"/>
  <c r="BB28" i="4"/>
  <c r="BA18" i="4"/>
  <c r="BB18" i="4"/>
  <c r="BB31" i="4"/>
  <c r="BA31" i="4"/>
  <c r="BA53" i="4"/>
  <c r="BB53" i="4"/>
  <c r="BA38" i="4"/>
  <c r="BB38" i="4"/>
  <c r="BB52" i="4"/>
  <c r="BA52" i="4"/>
  <c r="BB23" i="4"/>
  <c r="BA23" i="4"/>
  <c r="BB39" i="4"/>
  <c r="BA39" i="4"/>
  <c r="BB15" i="4"/>
  <c r="BA15" i="4"/>
  <c r="BA32" i="4"/>
  <c r="BB32" i="4"/>
  <c r="BA22" i="4"/>
  <c r="BB22" i="4"/>
  <c r="BB35" i="4"/>
  <c r="BA35" i="4"/>
  <c r="BB21" i="4"/>
  <c r="BA21" i="4"/>
  <c r="AA8" i="4"/>
  <c r="AU8" i="4"/>
  <c r="BD8" i="4" s="1"/>
  <c r="Z8" i="4"/>
  <c r="BB10" i="4"/>
  <c r="BA10" i="4"/>
  <c r="BB48" i="4"/>
  <c r="BA48" i="4"/>
  <c r="BA9" i="4"/>
  <c r="BB9" i="4"/>
  <c r="I8" i="4"/>
  <c r="H8" i="4"/>
  <c r="BB8" i="4" l="1"/>
  <c r="BA8" i="4"/>
  <c r="BF29" i="1" l="1"/>
  <c r="BF14" i="1"/>
  <c r="BF51" i="1"/>
  <c r="BF19" i="1"/>
  <c r="BF50" i="1"/>
  <c r="BF46" i="1"/>
  <c r="BF33" i="1"/>
  <c r="BF25" i="1"/>
  <c r="BF20" i="1"/>
  <c r="BF12" i="1"/>
  <c r="BF22" i="1"/>
  <c r="BF11" i="1"/>
  <c r="BF18" i="1"/>
  <c r="BF16" i="1"/>
  <c r="BF54" i="1"/>
  <c r="BF10" i="1"/>
  <c r="BF52" i="1"/>
  <c r="BF48" i="1"/>
  <c r="BF40" i="1"/>
  <c r="BF26" i="1"/>
  <c r="BF47" i="1"/>
  <c r="BF43" i="1"/>
  <c r="BF36" i="1"/>
  <c r="BF30" i="1"/>
  <c r="BF55" i="1"/>
  <c r="BF23" i="1"/>
  <c r="BF13" i="1"/>
  <c r="BF17" i="1"/>
  <c r="BF21" i="1"/>
  <c r="BF56" i="1"/>
  <c r="BF44" i="1"/>
  <c r="BF34" i="1"/>
  <c r="BF45" i="1"/>
  <c r="BF32" i="1"/>
  <c r="BF42" i="1"/>
  <c r="BF53" i="1"/>
  <c r="BF38" i="1"/>
  <c r="BF24" i="1"/>
  <c r="BF15" i="1"/>
  <c r="BF31" i="1"/>
  <c r="BF35" i="1" l="1"/>
  <c r="BF37" i="1"/>
  <c r="BF49" i="1"/>
  <c r="BF41" i="1"/>
  <c r="BF39" i="1"/>
  <c r="BF27" i="1"/>
  <c r="BF9" i="1" l="1"/>
  <c r="E17" i="5"/>
  <c r="AE35" i="5"/>
  <c r="AQ23" i="5"/>
  <c r="AH21" i="5"/>
  <c r="E46" i="5"/>
  <c r="O54" i="5"/>
  <c r="AN54" i="5"/>
  <c r="O35" i="5"/>
  <c r="AN25" i="5"/>
  <c r="AF44" i="5"/>
  <c r="AQ18" i="5"/>
  <c r="D52" i="5"/>
  <c r="AF51" i="5"/>
  <c r="G54" i="5"/>
  <c r="AO19" i="5"/>
  <c r="F48" i="5"/>
  <c r="G18" i="5"/>
  <c r="AG26" i="5"/>
  <c r="AQ17" i="5"/>
  <c r="N25" i="5"/>
  <c r="N38" i="5"/>
  <c r="D47" i="5"/>
  <c r="C21" i="5"/>
  <c r="P27" i="5"/>
  <c r="AL19" i="5"/>
  <c r="C42" i="5"/>
  <c r="F20" i="5"/>
  <c r="AC43" i="5"/>
  <c r="AL25" i="5"/>
  <c r="AD22" i="5"/>
  <c r="C12" i="5"/>
  <c r="K51" i="5"/>
  <c r="AN52" i="5"/>
  <c r="P25" i="5"/>
  <c r="AG44" i="5"/>
  <c r="AC15" i="5"/>
  <c r="AL26" i="5"/>
  <c r="AD24" i="5"/>
  <c r="P43" i="5"/>
  <c r="AE31" i="5"/>
  <c r="M43" i="5"/>
  <c r="G51" i="5"/>
  <c r="AG36" i="5"/>
  <c r="AC30" i="5"/>
  <c r="AD41" i="5"/>
  <c r="M38" i="5"/>
  <c r="O28" i="5"/>
  <c r="AG10" i="5"/>
  <c r="D36" i="5"/>
  <c r="AH35" i="5"/>
  <c r="P13" i="5"/>
  <c r="N34" i="5"/>
  <c r="D34" i="5"/>
  <c r="AD26" i="5"/>
  <c r="AO50" i="5"/>
  <c r="AF24" i="5"/>
  <c r="AO34" i="5"/>
  <c r="AQ14" i="5"/>
  <c r="E31" i="5"/>
  <c r="AM14" i="5"/>
  <c r="AF23" i="5"/>
  <c r="AL12" i="5"/>
  <c r="AE21" i="5"/>
  <c r="AM48" i="5"/>
  <c r="F25" i="5"/>
  <c r="AG12" i="5"/>
  <c r="AF29" i="5"/>
  <c r="C34" i="5"/>
  <c r="L21" i="5"/>
  <c r="AL53" i="5"/>
  <c r="AL51" i="5"/>
  <c r="AM43" i="5"/>
  <c r="AL27" i="5"/>
  <c r="AM40" i="5"/>
  <c r="AF11" i="5"/>
  <c r="AD19" i="5"/>
  <c r="F15" i="5"/>
  <c r="AG50" i="5"/>
  <c r="AO46" i="5"/>
  <c r="AN47" i="5"/>
  <c r="O13" i="5"/>
  <c r="K37" i="5"/>
  <c r="O15" i="5"/>
  <c r="AC12" i="5"/>
  <c r="C55" i="5"/>
  <c r="N46" i="5"/>
  <c r="N50" i="5"/>
  <c r="F28" i="5"/>
  <c r="P21" i="5"/>
  <c r="AE42" i="5"/>
  <c r="D53" i="5"/>
  <c r="G10" i="5"/>
  <c r="N26" i="5"/>
  <c r="N35" i="5"/>
  <c r="AL55" i="5"/>
  <c r="AG53" i="5"/>
  <c r="AM47" i="5"/>
  <c r="M37" i="5"/>
  <c r="AG31" i="5"/>
  <c r="K47" i="5"/>
  <c r="F39" i="5"/>
  <c r="AQ28" i="5"/>
  <c r="E45" i="5"/>
  <c r="O10" i="5"/>
  <c r="E50" i="5"/>
  <c r="AG42" i="5"/>
  <c r="AH16" i="5"/>
  <c r="K42" i="5"/>
  <c r="L41" i="5"/>
  <c r="K23" i="5"/>
  <c r="M25" i="5"/>
  <c r="P54" i="5"/>
  <c r="AF50" i="5"/>
  <c r="F32" i="5"/>
  <c r="E51" i="5"/>
  <c r="AL47" i="5"/>
  <c r="AC48" i="5"/>
  <c r="AH30" i="5"/>
  <c r="M39" i="5"/>
  <c r="AQ20" i="5"/>
  <c r="K20" i="5"/>
  <c r="P46" i="5"/>
  <c r="K16" i="5"/>
  <c r="AF35" i="5"/>
  <c r="AF54" i="5"/>
  <c r="AG51" i="5"/>
  <c r="AH55" i="5"/>
  <c r="AO54" i="5"/>
  <c r="AL14" i="5"/>
  <c r="AC39" i="5"/>
  <c r="AC13" i="5"/>
  <c r="N20" i="5"/>
  <c r="AC56" i="5"/>
  <c r="L38" i="5"/>
  <c r="AM34" i="5"/>
  <c r="P17" i="5"/>
  <c r="AD13" i="5"/>
  <c r="AE33" i="5"/>
  <c r="E15" i="5"/>
  <c r="P52" i="5"/>
  <c r="O24" i="5"/>
  <c r="AD20" i="5"/>
  <c r="AQ11" i="5"/>
  <c r="N40" i="5"/>
  <c r="AN44" i="5"/>
  <c r="G33" i="5"/>
  <c r="C54" i="5"/>
  <c r="AM41" i="5"/>
  <c r="AG14" i="5"/>
  <c r="AE30" i="5"/>
  <c r="AO37" i="5"/>
  <c r="N11" i="5"/>
  <c r="O46" i="5"/>
  <c r="AM55" i="5"/>
  <c r="C25" i="5"/>
  <c r="C32" i="5"/>
  <c r="K50" i="5"/>
  <c r="L29" i="5"/>
  <c r="P20" i="5"/>
  <c r="AF52" i="5"/>
  <c r="O48" i="5"/>
  <c r="AC35" i="5"/>
  <c r="E16" i="5"/>
  <c r="AD44" i="5"/>
  <c r="AQ39" i="5"/>
  <c r="M34" i="5"/>
  <c r="O30" i="5"/>
  <c r="M15" i="5"/>
  <c r="AH33" i="5"/>
  <c r="AE46" i="5"/>
  <c r="M50" i="5"/>
  <c r="F53" i="5"/>
  <c r="E39" i="5"/>
  <c r="O43" i="5"/>
  <c r="AO12" i="5"/>
  <c r="AN24" i="5"/>
  <c r="AH45" i="5"/>
  <c r="AG16" i="5"/>
  <c r="AG15" i="5"/>
  <c r="AF17" i="5"/>
  <c r="AH12" i="5"/>
  <c r="P42" i="5"/>
  <c r="AQ33" i="5"/>
  <c r="G23" i="5"/>
  <c r="AO20" i="5"/>
  <c r="AO32" i="5"/>
  <c r="F13" i="5"/>
  <c r="AE45" i="5"/>
  <c r="AQ44" i="5"/>
  <c r="AM32" i="5"/>
  <c r="C30" i="5"/>
  <c r="AN17" i="5"/>
  <c r="L15" i="5"/>
  <c r="AO29" i="5"/>
  <c r="M42" i="5"/>
  <c r="AC11" i="5"/>
  <c r="AN45" i="5"/>
  <c r="G40" i="5"/>
  <c r="AM30" i="5"/>
  <c r="AQ15" i="5"/>
  <c r="P50" i="5"/>
  <c r="AC34" i="5"/>
  <c r="F38" i="5"/>
  <c r="F10" i="5"/>
  <c r="O34" i="5"/>
  <c r="L39" i="5"/>
  <c r="AO25" i="5"/>
  <c r="AF18" i="5"/>
  <c r="G24" i="5"/>
  <c r="F43" i="5"/>
  <c r="L12" i="5"/>
  <c r="AE54" i="5"/>
  <c r="E30" i="5"/>
  <c r="AN16" i="5"/>
  <c r="L48" i="5"/>
  <c r="AE53" i="5"/>
  <c r="AE23" i="5"/>
  <c r="AH47" i="5"/>
  <c r="P19" i="5"/>
  <c r="AN40" i="5"/>
  <c r="E27" i="5"/>
  <c r="AC44" i="5"/>
  <c r="AC28" i="5"/>
  <c r="AL56" i="5"/>
  <c r="O23" i="5"/>
  <c r="F46" i="5"/>
  <c r="AO44" i="5"/>
  <c r="AG47" i="5"/>
  <c r="AG22" i="5"/>
  <c r="M32" i="5"/>
  <c r="AC31" i="5"/>
  <c r="AM15" i="5"/>
  <c r="AM31" i="5"/>
  <c r="K29" i="5"/>
  <c r="AM50" i="5"/>
  <c r="P30" i="5"/>
  <c r="AF20" i="5"/>
  <c r="AF27" i="5"/>
  <c r="D23" i="5"/>
  <c r="AM17" i="5"/>
  <c r="AQ16" i="5"/>
  <c r="P22" i="5"/>
  <c r="AN55" i="5"/>
  <c r="AQ43" i="5"/>
  <c r="O44" i="5"/>
  <c r="E28" i="5"/>
  <c r="N24" i="5"/>
  <c r="AG17" i="5"/>
  <c r="AC26" i="5"/>
  <c r="AF21" i="5"/>
  <c r="L52" i="5"/>
  <c r="AL20" i="5"/>
  <c r="E18" i="5"/>
  <c r="AF22" i="5"/>
  <c r="AD29" i="5"/>
  <c r="L28" i="5"/>
  <c r="C40" i="5"/>
  <c r="K45" i="5"/>
  <c r="G45" i="5"/>
  <c r="D38" i="5"/>
  <c r="N51" i="5"/>
  <c r="O55" i="5"/>
  <c r="AO53" i="5"/>
  <c r="AF45" i="5"/>
  <c r="N53" i="5"/>
  <c r="AE34" i="5"/>
  <c r="AM12" i="5"/>
  <c r="AD45" i="5"/>
  <c r="AE40" i="5"/>
  <c r="G30" i="5"/>
  <c r="M54" i="5"/>
  <c r="AQ53" i="5"/>
  <c r="AE22" i="5"/>
  <c r="M56" i="5"/>
  <c r="D27" i="5"/>
  <c r="P24" i="5"/>
  <c r="M10" i="5"/>
  <c r="AG56" i="5"/>
  <c r="E42" i="5"/>
  <c r="AH11" i="5"/>
  <c r="AH31" i="5"/>
  <c r="AE26" i="5"/>
  <c r="C26" i="5"/>
  <c r="C46" i="5"/>
  <c r="AC19" i="5"/>
  <c r="AG45" i="5"/>
  <c r="E55" i="5"/>
  <c r="AM23" i="5"/>
  <c r="K46" i="5"/>
  <c r="AH54" i="5"/>
  <c r="F12" i="5"/>
  <c r="AG20" i="5"/>
  <c r="D28" i="5"/>
  <c r="F31" i="5"/>
  <c r="P39" i="5"/>
  <c r="P34" i="5"/>
  <c r="AC20" i="5"/>
  <c r="AQ42" i="5"/>
  <c r="AN31" i="5"/>
  <c r="AC50" i="5"/>
  <c r="AH48" i="5"/>
  <c r="C14" i="5"/>
  <c r="B22" i="5"/>
  <c r="G28" i="5"/>
  <c r="AM37" i="5"/>
  <c r="AE39" i="5"/>
  <c r="G19" i="5"/>
  <c r="AL11" i="5"/>
  <c r="M24" i="5"/>
  <c r="AE47" i="5"/>
  <c r="AC38" i="5"/>
  <c r="AL31" i="5"/>
  <c r="AG29" i="5"/>
  <c r="F21" i="5"/>
  <c r="B11" i="5"/>
  <c r="AN11" i="5"/>
  <c r="AH43" i="5"/>
  <c r="AQ26" i="5"/>
  <c r="AH53" i="5"/>
  <c r="AQ29" i="5"/>
  <c r="K43" i="5"/>
  <c r="C47" i="5"/>
  <c r="N33" i="5"/>
  <c r="AO36" i="5"/>
  <c r="AQ34" i="5"/>
  <c r="AE19" i="5"/>
  <c r="AC52" i="5"/>
  <c r="AH25" i="5"/>
  <c r="AQ55" i="5"/>
  <c r="AH38" i="5"/>
  <c r="L40" i="5"/>
  <c r="AM38" i="5"/>
  <c r="N30" i="5"/>
  <c r="B29" i="5"/>
  <c r="L31" i="5"/>
  <c r="AQ35" i="5"/>
  <c r="D50" i="5"/>
  <c r="M44" i="5"/>
  <c r="B39" i="5"/>
  <c r="B33" i="5"/>
  <c r="B55" i="5"/>
  <c r="C16" i="5"/>
  <c r="N41" i="5"/>
  <c r="P40" i="5"/>
  <c r="AD31" i="5"/>
  <c r="K41" i="5"/>
  <c r="P48" i="5"/>
  <c r="AO45" i="5"/>
  <c r="AH20" i="5"/>
  <c r="AF36" i="5"/>
  <c r="AC45" i="5"/>
  <c r="AN48" i="5"/>
  <c r="F37" i="5"/>
  <c r="AN13" i="5"/>
  <c r="G12" i="5"/>
  <c r="AH13" i="5"/>
  <c r="AL46" i="5"/>
  <c r="AL33" i="5"/>
  <c r="AL15" i="5"/>
  <c r="AC46" i="5"/>
  <c r="L35" i="5"/>
  <c r="AN21" i="5"/>
  <c r="AM39" i="5"/>
  <c r="AM22" i="5"/>
  <c r="AF33" i="5"/>
  <c r="B15" i="5"/>
  <c r="L24" i="5"/>
  <c r="M51" i="5"/>
  <c r="AH51" i="5"/>
  <c r="AO48" i="5"/>
  <c r="AL42" i="5"/>
  <c r="G16" i="5"/>
  <c r="C43" i="5"/>
  <c r="AH34" i="5"/>
  <c r="AE24" i="5"/>
  <c r="O47" i="5"/>
  <c r="P44" i="5"/>
  <c r="P31" i="5"/>
  <c r="AQ31" i="5"/>
  <c r="AO51" i="5"/>
  <c r="M45" i="5"/>
  <c r="L45" i="5"/>
  <c r="AD27" i="5"/>
  <c r="AE11" i="5"/>
  <c r="F29" i="5"/>
  <c r="P35" i="5"/>
  <c r="AG40" i="5"/>
  <c r="AN23" i="5"/>
  <c r="N15" i="5"/>
  <c r="B34" i="5"/>
  <c r="AM35" i="5"/>
  <c r="E20" i="5"/>
  <c r="E19" i="5"/>
  <c r="AD39" i="5"/>
  <c r="AL35" i="5"/>
  <c r="L22" i="5"/>
  <c r="K33" i="5"/>
  <c r="N32" i="5"/>
  <c r="AM19" i="5"/>
  <c r="AE48" i="5"/>
  <c r="AE44" i="5"/>
  <c r="P45" i="5"/>
  <c r="N14" i="5"/>
  <c r="P10" i="5"/>
  <c r="AG55" i="5"/>
  <c r="G53" i="5"/>
  <c r="L18" i="5"/>
  <c r="AQ21" i="5"/>
  <c r="D41" i="5"/>
  <c r="AG27" i="5"/>
  <c r="AC47" i="5"/>
  <c r="E53" i="5"/>
  <c r="AQ41" i="5"/>
  <c r="F30" i="5"/>
  <c r="AL23" i="5"/>
  <c r="P33" i="5"/>
  <c r="C35" i="5"/>
  <c r="AG54" i="5"/>
  <c r="M18" i="5"/>
  <c r="B28" i="5"/>
  <c r="F41" i="5"/>
  <c r="AF32" i="5"/>
  <c r="M29" i="5"/>
  <c r="G37" i="5"/>
  <c r="L20" i="5"/>
  <c r="G21" i="5"/>
  <c r="AD16" i="5"/>
  <c r="AN28" i="5"/>
  <c r="M22" i="5"/>
  <c r="AD42" i="5"/>
  <c r="G55" i="5"/>
  <c r="AN42" i="5"/>
  <c r="AC53" i="5"/>
  <c r="G35" i="5"/>
  <c r="AM21" i="5"/>
  <c r="AE37" i="5"/>
  <c r="L53" i="5"/>
  <c r="K15" i="5"/>
  <c r="L17" i="5"/>
  <c r="E29" i="5"/>
  <c r="AD14" i="5"/>
  <c r="P38" i="5"/>
  <c r="AQ30" i="5"/>
  <c r="AG41" i="5"/>
  <c r="AO26" i="5"/>
  <c r="B25" i="5"/>
  <c r="AQ12" i="5"/>
  <c r="N23" i="5"/>
  <c r="D44" i="5"/>
  <c r="AF26" i="5"/>
  <c r="G22" i="5"/>
  <c r="K38" i="5"/>
  <c r="K19" i="5"/>
  <c r="AE20" i="5"/>
  <c r="B56" i="5"/>
  <c r="AM53" i="5"/>
  <c r="AO23" i="5"/>
  <c r="B37" i="5"/>
  <c r="AL28" i="5"/>
  <c r="P56" i="5"/>
  <c r="AQ52" i="5"/>
  <c r="AG21" i="5"/>
  <c r="AQ54" i="5"/>
  <c r="AM13" i="5"/>
  <c r="L37" i="5"/>
  <c r="AF37" i="5"/>
  <c r="N21" i="5"/>
  <c r="O25" i="5"/>
  <c r="O16" i="5"/>
  <c r="AL48" i="5"/>
  <c r="AF12" i="5"/>
  <c r="AG34" i="5"/>
  <c r="N43" i="5"/>
  <c r="F34" i="5"/>
  <c r="AM20" i="5"/>
  <c r="L32" i="5"/>
  <c r="AC17" i="5"/>
  <c r="AM29" i="5"/>
  <c r="P36" i="5"/>
  <c r="L23" i="5"/>
  <c r="N12" i="5"/>
  <c r="P47" i="5"/>
  <c r="K22" i="5"/>
  <c r="E14" i="5"/>
  <c r="G47" i="5"/>
  <c r="L27" i="5"/>
  <c r="AM46" i="5"/>
  <c r="O50" i="5"/>
  <c r="AC54" i="5"/>
  <c r="AH17" i="5"/>
  <c r="E40" i="5"/>
  <c r="P29" i="5"/>
  <c r="AN53" i="5"/>
  <c r="AO11" i="5"/>
  <c r="B42" i="5"/>
  <c r="C53" i="5"/>
  <c r="AQ50" i="5"/>
  <c r="AE18" i="5"/>
  <c r="D25" i="5"/>
  <c r="O37" i="5"/>
  <c r="F17" i="5"/>
  <c r="AO22" i="5"/>
  <c r="AE51" i="5"/>
  <c r="AF42" i="5"/>
  <c r="M46" i="5"/>
  <c r="AD35" i="5"/>
  <c r="AC36" i="5"/>
  <c r="AD18" i="5"/>
  <c r="P32" i="5"/>
  <c r="AO17" i="5"/>
  <c r="AQ45" i="5"/>
  <c r="AH56" i="5"/>
  <c r="K10" i="5"/>
  <c r="B19" i="5"/>
  <c r="N52" i="5"/>
  <c r="O26" i="5"/>
  <c r="AF47" i="5"/>
  <c r="P53" i="5"/>
  <c r="AM45" i="5"/>
  <c r="D54" i="5"/>
  <c r="G25" i="5"/>
  <c r="AL34" i="5"/>
  <c r="AO21" i="5"/>
  <c r="C36" i="5"/>
  <c r="AH14" i="5"/>
  <c r="D43" i="5"/>
  <c r="AH27" i="5"/>
  <c r="AL17" i="5"/>
  <c r="O39" i="5"/>
  <c r="AN27" i="5"/>
  <c r="M19" i="5"/>
  <c r="AF55" i="5"/>
  <c r="AM54" i="5"/>
  <c r="K34" i="5"/>
  <c r="G34" i="5"/>
  <c r="AH24" i="5"/>
  <c r="O31" i="5"/>
  <c r="L13" i="5"/>
  <c r="AE14" i="5"/>
  <c r="AH44" i="5"/>
  <c r="AF34" i="5"/>
  <c r="AH36" i="5"/>
  <c r="AG19" i="5"/>
  <c r="B53" i="5"/>
  <c r="AD25" i="5"/>
  <c r="O52" i="5"/>
  <c r="D20" i="5"/>
  <c r="K14" i="5"/>
  <c r="F47" i="5"/>
  <c r="F33" i="5"/>
  <c r="E32" i="5"/>
  <c r="E10" i="5"/>
  <c r="K44" i="5"/>
  <c r="AG24" i="5"/>
  <c r="AN18" i="5"/>
  <c r="L43" i="5"/>
  <c r="N13" i="5"/>
  <c r="K40" i="5"/>
  <c r="AE13" i="5"/>
  <c r="N45" i="5"/>
  <c r="AH42" i="5"/>
  <c r="AQ56" i="5"/>
  <c r="AD51" i="5"/>
  <c r="G52" i="5"/>
  <c r="L44" i="5"/>
  <c r="AL13" i="5"/>
  <c r="AH52" i="5"/>
  <c r="O56" i="5"/>
  <c r="B24" i="5"/>
  <c r="AE55" i="5"/>
  <c r="N31" i="5"/>
  <c r="AD23" i="5"/>
  <c r="F50" i="5"/>
  <c r="AL37" i="5"/>
  <c r="B17" i="5"/>
  <c r="AF15" i="5"/>
  <c r="D10" i="5"/>
  <c r="L47" i="5"/>
  <c r="O18" i="5"/>
  <c r="G41" i="5"/>
  <c r="O20" i="5"/>
  <c r="M40" i="5"/>
  <c r="AD34" i="5"/>
  <c r="AL24" i="5"/>
  <c r="AL22" i="5"/>
  <c r="AM18" i="5"/>
  <c r="O41" i="5"/>
  <c r="E44" i="5"/>
  <c r="C38" i="5"/>
  <c r="C17" i="5"/>
  <c r="D31" i="5"/>
  <c r="AC42" i="5"/>
  <c r="AF38" i="5"/>
  <c r="C22" i="5"/>
  <c r="AO47" i="5"/>
  <c r="AN19" i="5"/>
  <c r="B51" i="5"/>
  <c r="AD36" i="5"/>
  <c r="C28" i="5"/>
  <c r="AH18" i="5"/>
  <c r="AD53" i="5"/>
  <c r="B27" i="5"/>
  <c r="N18" i="5"/>
  <c r="D21" i="5"/>
  <c r="P16" i="5"/>
  <c r="AH39" i="5"/>
  <c r="O21" i="5"/>
  <c r="O32" i="5"/>
  <c r="F40" i="5"/>
  <c r="AL30" i="5"/>
  <c r="AO33" i="5"/>
  <c r="N17" i="5"/>
  <c r="K12" i="5"/>
  <c r="B43" i="5"/>
  <c r="AF30" i="5"/>
  <c r="E41" i="5"/>
  <c r="C41" i="5"/>
  <c r="O36" i="5"/>
  <c r="C39" i="5"/>
  <c r="L34" i="5"/>
  <c r="K21" i="5"/>
  <c r="P12" i="5"/>
  <c r="AN35" i="5"/>
  <c r="AC51" i="5"/>
  <c r="F11" i="5"/>
  <c r="AN20" i="5"/>
  <c r="N29" i="5"/>
  <c r="M35" i="5"/>
  <c r="K11" i="5"/>
  <c r="AQ13" i="5"/>
  <c r="AN29" i="5"/>
  <c r="P15" i="5"/>
  <c r="AD40" i="5"/>
  <c r="AF13" i="5"/>
  <c r="AO18" i="5"/>
  <c r="L55" i="5"/>
  <c r="G56" i="5"/>
  <c r="O12" i="5"/>
  <c r="AE52" i="5"/>
  <c r="AL38" i="5"/>
  <c r="AO27" i="5"/>
  <c r="B14" i="5"/>
  <c r="N36" i="5"/>
  <c r="AD54" i="5"/>
  <c r="K28" i="5"/>
  <c r="F56" i="5"/>
  <c r="AH28" i="5"/>
  <c r="E48" i="5"/>
  <c r="P18" i="5"/>
  <c r="AD21" i="5"/>
  <c r="D35" i="5"/>
  <c r="B21" i="5"/>
  <c r="B35" i="5"/>
  <c r="AE25" i="5"/>
  <c r="AQ24" i="5"/>
  <c r="AF56" i="5"/>
  <c r="C37" i="5"/>
  <c r="C48" i="5"/>
  <c r="AC24" i="5"/>
  <c r="F27" i="5"/>
  <c r="C44" i="5"/>
  <c r="AN50" i="5"/>
  <c r="M20" i="5"/>
  <c r="G38" i="5"/>
  <c r="AE32" i="5"/>
  <c r="D12" i="5"/>
  <c r="AC33" i="5"/>
  <c r="AN43" i="5"/>
  <c r="D51" i="5"/>
  <c r="AE29" i="5"/>
  <c r="M21" i="5"/>
  <c r="M36" i="5"/>
  <c r="B52" i="5"/>
  <c r="M17" i="5"/>
  <c r="AO52" i="5"/>
  <c r="C20" i="5"/>
  <c r="N54" i="5"/>
  <c r="L11" i="5"/>
  <c r="AO35" i="5"/>
  <c r="C31" i="5"/>
  <c r="N19" i="5"/>
  <c r="AD32" i="5"/>
  <c r="AM11" i="5"/>
  <c r="N39" i="5"/>
  <c r="AG38" i="5"/>
  <c r="AO24" i="5"/>
  <c r="L25" i="5"/>
  <c r="AG28" i="5"/>
  <c r="K56" i="5"/>
  <c r="AN32" i="5"/>
  <c r="F52" i="5"/>
  <c r="F26" i="5"/>
  <c r="K26" i="5"/>
  <c r="AD47" i="5"/>
  <c r="AD17" i="5"/>
  <c r="B45" i="5"/>
  <c r="AF19" i="5"/>
  <c r="AG30" i="5"/>
  <c r="AF41" i="5"/>
  <c r="AG46" i="5"/>
  <c r="K36" i="5"/>
  <c r="G44" i="5"/>
  <c r="K24" i="5"/>
  <c r="G20" i="5"/>
  <c r="AN36" i="5"/>
  <c r="AL54" i="5"/>
  <c r="C33" i="5"/>
  <c r="M28" i="5"/>
  <c r="L19" i="5"/>
  <c r="F54" i="5"/>
  <c r="G48" i="5"/>
  <c r="O19" i="5"/>
  <c r="M26" i="5"/>
  <c r="M27" i="5"/>
  <c r="AN41" i="5"/>
  <c r="F44" i="5"/>
  <c r="L50" i="5"/>
  <c r="AC25" i="5"/>
  <c r="L33" i="5"/>
  <c r="M30" i="5"/>
  <c r="AM51" i="5"/>
  <c r="C15" i="5"/>
  <c r="F55" i="5"/>
  <c r="N28" i="5"/>
  <c r="B36" i="5"/>
  <c r="B48" i="5"/>
  <c r="B12" i="5"/>
  <c r="AC27" i="5"/>
  <c r="AQ37" i="5"/>
  <c r="N44" i="5"/>
  <c r="AD15" i="5"/>
  <c r="AD38" i="5"/>
  <c r="AC23" i="5"/>
  <c r="M14" i="5"/>
  <c r="AC14" i="5"/>
  <c r="AM27" i="5"/>
  <c r="F23" i="5"/>
  <c r="AG33" i="5"/>
  <c r="AO31" i="5"/>
  <c r="AE56" i="5"/>
  <c r="G43" i="5"/>
  <c r="AC16" i="5"/>
  <c r="AF25" i="5"/>
  <c r="M53" i="5"/>
  <c r="AH37" i="5"/>
  <c r="AN26" i="5"/>
  <c r="M16" i="5"/>
  <c r="N56" i="5"/>
  <c r="AO14" i="5"/>
  <c r="E35" i="5"/>
  <c r="D29" i="5"/>
  <c r="D46" i="5"/>
  <c r="AH46" i="5"/>
  <c r="N37" i="5"/>
  <c r="K18" i="5"/>
  <c r="AO56" i="5"/>
  <c r="D19" i="5"/>
  <c r="AN39" i="5"/>
  <c r="K53" i="5"/>
  <c r="AE17" i="5"/>
  <c r="M47" i="5"/>
  <c r="AF16" i="5"/>
  <c r="AE36" i="5"/>
  <c r="K31" i="5"/>
  <c r="AC22" i="5"/>
  <c r="E54" i="5"/>
  <c r="F18" i="5"/>
  <c r="AF43" i="5"/>
  <c r="D55" i="5"/>
  <c r="B16" i="5"/>
  <c r="AD50" i="5"/>
  <c r="O45" i="5"/>
  <c r="D42" i="5"/>
  <c r="P55" i="5"/>
  <c r="B31" i="5"/>
  <c r="AM24" i="5"/>
  <c r="AQ25" i="5"/>
  <c r="C11" i="5"/>
  <c r="AH32" i="5"/>
  <c r="N10" i="5"/>
  <c r="AM25" i="5"/>
  <c r="M55" i="5"/>
  <c r="AL21" i="5"/>
  <c r="O42" i="5"/>
  <c r="AL29" i="5"/>
  <c r="O40" i="5"/>
  <c r="C23" i="5"/>
  <c r="B32" i="5"/>
  <c r="F24" i="5"/>
  <c r="AE41" i="5"/>
  <c r="B47" i="5"/>
  <c r="AM42" i="5"/>
  <c r="C19" i="5"/>
  <c r="AL45" i="5"/>
  <c r="B46" i="5"/>
  <c r="C24" i="5"/>
  <c r="AM28" i="5"/>
  <c r="F45" i="5"/>
  <c r="C18" i="5"/>
  <c r="O17" i="5"/>
  <c r="AF28" i="5"/>
  <c r="AD56" i="5"/>
  <c r="C52" i="5"/>
  <c r="G13" i="5"/>
  <c r="D33" i="5"/>
  <c r="L46" i="5"/>
  <c r="AL32" i="5"/>
  <c r="D56" i="5"/>
  <c r="E52" i="5"/>
  <c r="D24" i="5"/>
  <c r="AG25" i="5"/>
  <c r="B20" i="5"/>
  <c r="AG18" i="5"/>
  <c r="K13" i="5"/>
  <c r="E56" i="5"/>
  <c r="AF48" i="5"/>
  <c r="AE16" i="5"/>
  <c r="P23" i="5"/>
  <c r="O27" i="5"/>
  <c r="E23" i="5"/>
  <c r="F14" i="5"/>
  <c r="L14" i="5"/>
  <c r="M52" i="5"/>
  <c r="AC21" i="5"/>
  <c r="AN51" i="5"/>
  <c r="N47" i="5"/>
  <c r="G46" i="5"/>
  <c r="AN14" i="5"/>
  <c r="AQ22" i="5"/>
  <c r="AH22" i="5"/>
  <c r="D37" i="5"/>
  <c r="M23" i="5"/>
  <c r="N16" i="5"/>
  <c r="G42" i="5"/>
  <c r="AH50" i="5"/>
  <c r="AQ48" i="5"/>
  <c r="AF31" i="5"/>
  <c r="P37" i="5"/>
  <c r="AN33" i="5"/>
  <c r="L42" i="5"/>
  <c r="AN37" i="5"/>
  <c r="O11" i="5"/>
  <c r="AL36" i="5"/>
  <c r="E36" i="5"/>
  <c r="B41" i="5"/>
  <c r="AE28" i="5"/>
  <c r="P51" i="5"/>
  <c r="F35" i="5"/>
  <c r="C10" i="5"/>
  <c r="D15" i="5"/>
  <c r="B44" i="5"/>
  <c r="B40" i="5"/>
  <c r="E38" i="5"/>
  <c r="N22" i="5"/>
  <c r="AQ47" i="5"/>
  <c r="N55" i="5"/>
  <c r="N42" i="5"/>
  <c r="AE43" i="5"/>
  <c r="O53" i="5"/>
  <c r="AD33" i="5"/>
  <c r="L16" i="5"/>
  <c r="D40" i="5"/>
  <c r="AC29" i="5"/>
  <c r="AE50" i="5"/>
  <c r="K54" i="5"/>
  <c r="K55" i="5"/>
  <c r="AM56" i="5"/>
  <c r="D48" i="5"/>
  <c r="AF39" i="5"/>
  <c r="M11" i="5"/>
  <c r="AE12" i="5"/>
  <c r="K17" i="5"/>
  <c r="AD28" i="5"/>
  <c r="AG48" i="5"/>
  <c r="AN56" i="5"/>
  <c r="AO15" i="5"/>
  <c r="AM16" i="5"/>
  <c r="E26" i="5"/>
  <c r="D39" i="5"/>
  <c r="AH15" i="5"/>
  <c r="AN34" i="5"/>
  <c r="AH29" i="5"/>
  <c r="F22" i="5"/>
  <c r="G15" i="5"/>
  <c r="E22" i="5"/>
  <c r="AQ32" i="5"/>
  <c r="C51" i="5"/>
  <c r="AN22" i="5"/>
  <c r="AF46" i="5"/>
  <c r="AL41" i="5"/>
  <c r="AD30" i="5"/>
  <c r="D32" i="5"/>
  <c r="F51" i="5"/>
  <c r="E21" i="5"/>
  <c r="D16" i="5"/>
  <c r="AO41" i="5"/>
  <c r="AN12" i="5"/>
  <c r="G39" i="5"/>
  <c r="G14" i="5"/>
  <c r="M33" i="5"/>
  <c r="AL43" i="5"/>
  <c r="C56" i="5"/>
  <c r="M41" i="5"/>
  <c r="B50" i="5"/>
  <c r="B26" i="5"/>
  <c r="B13" i="5"/>
  <c r="AD52" i="5"/>
  <c r="K48" i="5"/>
  <c r="K39" i="5"/>
  <c r="B10" i="5"/>
  <c r="B23" i="5"/>
  <c r="AL16" i="5"/>
  <c r="AN46" i="5"/>
  <c r="AM26" i="5"/>
  <c r="K52" i="5"/>
  <c r="L10" i="5"/>
  <c r="G17" i="5"/>
  <c r="D17" i="5"/>
  <c r="D45" i="5"/>
  <c r="AQ19" i="5"/>
  <c r="O38" i="5"/>
  <c r="AE38" i="5"/>
  <c r="M13" i="5"/>
  <c r="E47" i="5"/>
  <c r="K30" i="5"/>
  <c r="G27" i="5"/>
  <c r="L51" i="5"/>
  <c r="AQ36" i="5"/>
  <c r="AM52" i="5"/>
  <c r="AD43" i="5"/>
  <c r="E25" i="5"/>
  <c r="AH41" i="5"/>
  <c r="AO16" i="5"/>
  <c r="AO55" i="5"/>
  <c r="AC18" i="5"/>
  <c r="L30" i="5"/>
  <c r="D14" i="5"/>
  <c r="AG32" i="5"/>
  <c r="AQ46" i="5"/>
  <c r="L36" i="5"/>
  <c r="G26" i="5"/>
  <c r="AQ40" i="5"/>
  <c r="AH40" i="5"/>
  <c r="D18" i="5"/>
  <c r="AO39" i="5"/>
  <c r="AD11" i="5"/>
  <c r="AG52" i="5"/>
  <c r="B38" i="5"/>
  <c r="F16" i="5"/>
  <c r="AO38" i="5"/>
  <c r="AL39" i="5"/>
  <c r="O14" i="5"/>
  <c r="O33" i="5"/>
  <c r="AC55" i="5"/>
  <c r="E34" i="5"/>
  <c r="AE27" i="5"/>
  <c r="C13" i="5"/>
  <c r="G32" i="5"/>
  <c r="M31" i="5"/>
  <c r="D30" i="5"/>
  <c r="AF14" i="5"/>
  <c r="AC37" i="5"/>
  <c r="AO13" i="5"/>
  <c r="AG11" i="5"/>
  <c r="AN38" i="5"/>
  <c r="F42" i="5"/>
  <c r="M48" i="5"/>
  <c r="AD12" i="5"/>
  <c r="K32" i="5"/>
  <c r="C45" i="5"/>
  <c r="AD48" i="5"/>
  <c r="AN15" i="5"/>
  <c r="AD55" i="5"/>
  <c r="AF40" i="5"/>
  <c r="AC41" i="5"/>
  <c r="P41" i="5"/>
  <c r="E33" i="5"/>
  <c r="AD46" i="5"/>
  <c r="P11" i="5"/>
  <c r="L56" i="5"/>
  <c r="D22" i="5"/>
  <c r="E37" i="5"/>
  <c r="AL52" i="5"/>
  <c r="B54" i="5"/>
  <c r="E43" i="5"/>
  <c r="AQ38" i="5"/>
  <c r="AC40" i="5"/>
  <c r="AO42" i="5"/>
  <c r="AH26" i="5"/>
  <c r="E12" i="5"/>
  <c r="F36" i="5"/>
  <c r="AG35" i="5"/>
  <c r="O29" i="5"/>
  <c r="O22" i="5"/>
  <c r="M12" i="5"/>
  <c r="AL18" i="5"/>
  <c r="AG37" i="5"/>
  <c r="B18" i="5"/>
  <c r="K27" i="5"/>
  <c r="K35" i="5"/>
  <c r="C29" i="5"/>
  <c r="AG43" i="5"/>
  <c r="AG39" i="5"/>
  <c r="P14" i="5"/>
  <c r="D13" i="5"/>
  <c r="AD37" i="5"/>
  <c r="L54" i="5"/>
  <c r="AG13" i="5"/>
  <c r="AO28" i="5"/>
  <c r="F19" i="5"/>
  <c r="AL44" i="5"/>
  <c r="P26" i="5"/>
  <c r="AM44" i="5"/>
  <c r="AH23" i="5"/>
  <c r="E24" i="5"/>
  <c r="L26" i="5"/>
  <c r="C27" i="5"/>
  <c r="G50" i="5"/>
  <c r="AQ51" i="5"/>
  <c r="AF53" i="5"/>
  <c r="AL40" i="5"/>
  <c r="E11" i="5"/>
  <c r="AH19" i="5"/>
  <c r="AE15" i="5"/>
  <c r="AO40" i="5"/>
  <c r="AO43" i="5"/>
  <c r="AG23" i="5"/>
  <c r="D26" i="5"/>
  <c r="G36" i="5"/>
  <c r="C50" i="5"/>
  <c r="AO30" i="5"/>
  <c r="K25" i="5"/>
  <c r="AC32" i="5"/>
  <c r="B30" i="5"/>
  <c r="O51" i="5"/>
  <c r="P28" i="5"/>
  <c r="G29" i="5"/>
  <c r="G11" i="5"/>
  <c r="AL50" i="5"/>
  <c r="D11" i="5"/>
  <c r="N48" i="5"/>
  <c r="AM33" i="5"/>
  <c r="AN30" i="5"/>
  <c r="G31" i="5"/>
  <c r="N27" i="5"/>
  <c r="E13" i="5"/>
  <c r="AM36" i="5"/>
  <c r="AQ27" i="5"/>
  <c r="AQ27" i="6" l="1"/>
  <c r="AM36" i="6"/>
  <c r="W13" i="5"/>
  <c r="AX13" i="5" s="1"/>
  <c r="E13" i="6"/>
  <c r="N27" i="6"/>
  <c r="G31" i="6"/>
  <c r="Y31" i="5"/>
  <c r="AZ31" i="5" s="1"/>
  <c r="AN30" i="6"/>
  <c r="AM33" i="6"/>
  <c r="N48" i="6"/>
  <c r="V11" i="5"/>
  <c r="AW11" i="5" s="1"/>
  <c r="D11" i="6"/>
  <c r="AL49" i="5"/>
  <c r="AL50" i="6"/>
  <c r="AS50" i="5"/>
  <c r="AR50" i="5"/>
  <c r="Y11" i="5"/>
  <c r="AZ11" i="5" s="1"/>
  <c r="G11" i="6"/>
  <c r="Y29" i="5"/>
  <c r="AZ29" i="5" s="1"/>
  <c r="G29" i="6"/>
  <c r="P28" i="6"/>
  <c r="O51" i="6"/>
  <c r="H30" i="5"/>
  <c r="T30" i="5"/>
  <c r="I30" i="5"/>
  <c r="B30" i="6"/>
  <c r="AC32" i="6"/>
  <c r="AI32" i="5"/>
  <c r="AJ32" i="5"/>
  <c r="Q25" i="5"/>
  <c r="R25" i="5"/>
  <c r="K25" i="6"/>
  <c r="AO30" i="6"/>
  <c r="C50" i="6"/>
  <c r="U50" i="5"/>
  <c r="AV50" i="5" s="1"/>
  <c r="C49" i="5"/>
  <c r="G36" i="6"/>
  <c r="Y36" i="5"/>
  <c r="AZ36" i="5" s="1"/>
  <c r="V26" i="5"/>
  <c r="AW26" i="5" s="1"/>
  <c r="D26" i="6"/>
  <c r="AG23" i="6"/>
  <c r="AO43" i="6"/>
  <c r="AO40" i="6"/>
  <c r="AE15" i="6"/>
  <c r="AH19" i="6"/>
  <c r="E11" i="6"/>
  <c r="W11" i="5"/>
  <c r="AX11" i="5" s="1"/>
  <c r="AR40" i="5"/>
  <c r="AS40" i="5"/>
  <c r="AL40" i="6"/>
  <c r="AF53" i="6"/>
  <c r="AQ51" i="6"/>
  <c r="G50" i="6"/>
  <c r="G49" i="5"/>
  <c r="Y50" i="5"/>
  <c r="AZ50" i="5" s="1"/>
  <c r="C27" i="6"/>
  <c r="U27" i="5"/>
  <c r="AV27" i="5" s="1"/>
  <c r="L26" i="6"/>
  <c r="E24" i="6"/>
  <c r="W24" i="5"/>
  <c r="AX24" i="5" s="1"/>
  <c r="AH23" i="6"/>
  <c r="AM44" i="6"/>
  <c r="P26" i="6"/>
  <c r="AS44" i="5"/>
  <c r="AR44" i="5"/>
  <c r="AL44" i="6"/>
  <c r="F19" i="6"/>
  <c r="X19" i="5"/>
  <c r="AY19" i="5" s="1"/>
  <c r="AO28" i="6"/>
  <c r="AG13" i="6"/>
  <c r="L54" i="6"/>
  <c r="AD37" i="6"/>
  <c r="D13" i="6"/>
  <c r="V13" i="5"/>
  <c r="AW13" i="5" s="1"/>
  <c r="P14" i="6"/>
  <c r="AG39" i="6"/>
  <c r="AG43" i="6"/>
  <c r="U29" i="5"/>
  <c r="AV29" i="5" s="1"/>
  <c r="C29" i="6"/>
  <c r="R35" i="5"/>
  <c r="Q35" i="5"/>
  <c r="K35" i="6"/>
  <c r="R27" i="5"/>
  <c r="Q27" i="5"/>
  <c r="K27" i="6"/>
  <c r="H18" i="5"/>
  <c r="T18" i="5"/>
  <c r="I18" i="5"/>
  <c r="B18" i="6"/>
  <c r="AG37" i="6"/>
  <c r="AL18" i="6"/>
  <c r="AR18" i="5"/>
  <c r="AS18" i="5"/>
  <c r="M12" i="6"/>
  <c r="O22" i="6"/>
  <c r="O29" i="6"/>
  <c r="AG35" i="6"/>
  <c r="X36" i="5"/>
  <c r="AY36" i="5" s="1"/>
  <c r="F36" i="6"/>
  <c r="E12" i="6"/>
  <c r="W12" i="5"/>
  <c r="AX12" i="5" s="1"/>
  <c r="AH26" i="6"/>
  <c r="AO42" i="6"/>
  <c r="AI40" i="5"/>
  <c r="AC40" i="6"/>
  <c r="AJ40" i="5"/>
  <c r="AQ38" i="6"/>
  <c r="E43" i="6"/>
  <c r="W43" i="5"/>
  <c r="AX43" i="5" s="1"/>
  <c r="T54" i="5"/>
  <c r="H54" i="5"/>
  <c r="B54" i="6"/>
  <c r="I54" i="5"/>
  <c r="AS52" i="5"/>
  <c r="AL52" i="6"/>
  <c r="AR52" i="5"/>
  <c r="W37" i="5"/>
  <c r="E37" i="6"/>
  <c r="V22" i="5"/>
  <c r="AW22" i="5" s="1"/>
  <c r="D22" i="6"/>
  <c r="L56" i="6"/>
  <c r="P11" i="6"/>
  <c r="AD46" i="6"/>
  <c r="E33" i="6"/>
  <c r="W33" i="5"/>
  <c r="AX33" i="5" s="1"/>
  <c r="P41" i="6"/>
  <c r="AC41" i="6"/>
  <c r="AJ41" i="5"/>
  <c r="AI41" i="5"/>
  <c r="AF40" i="6"/>
  <c r="AD55" i="6"/>
  <c r="AN15" i="6"/>
  <c r="AD48" i="6"/>
  <c r="U45" i="5"/>
  <c r="AV45" i="5" s="1"/>
  <c r="C45" i="6"/>
  <c r="K32" i="6"/>
  <c r="R32" i="5"/>
  <c r="Q32" i="5"/>
  <c r="AD12" i="6"/>
  <c r="M48" i="6"/>
  <c r="F42" i="6"/>
  <c r="X42" i="5"/>
  <c r="AY42" i="5" s="1"/>
  <c r="AN38" i="6"/>
  <c r="AG11" i="6"/>
  <c r="AO13" i="6"/>
  <c r="AC37" i="6"/>
  <c r="AJ37" i="5"/>
  <c r="AI37" i="5"/>
  <c r="AF14" i="6"/>
  <c r="V30" i="5"/>
  <c r="AW30" i="5" s="1"/>
  <c r="D30" i="6"/>
  <c r="M31" i="6"/>
  <c r="Y32" i="5"/>
  <c r="AZ32" i="5" s="1"/>
  <c r="G32" i="6"/>
  <c r="C13" i="6"/>
  <c r="U13" i="5"/>
  <c r="AV13" i="5" s="1"/>
  <c r="AE27" i="6"/>
  <c r="E34" i="6"/>
  <c r="W34" i="5"/>
  <c r="AX34" i="5" s="1"/>
  <c r="AJ55" i="5"/>
  <c r="AC55" i="6"/>
  <c r="AI55" i="5"/>
  <c r="O33" i="6"/>
  <c r="O14" i="6"/>
  <c r="AL39" i="6"/>
  <c r="AR39" i="5"/>
  <c r="AS39" i="5"/>
  <c r="AO38" i="6"/>
  <c r="X16" i="5"/>
  <c r="AY16" i="5" s="1"/>
  <c r="F16" i="6"/>
  <c r="B38" i="6"/>
  <c r="T38" i="5"/>
  <c r="H38" i="5"/>
  <c r="I38" i="5"/>
  <c r="AG52" i="6"/>
  <c r="AD9" i="5"/>
  <c r="AD11" i="6"/>
  <c r="AO39" i="6"/>
  <c r="D18" i="6"/>
  <c r="V18" i="5"/>
  <c r="AW18" i="5" s="1"/>
  <c r="AH40" i="6"/>
  <c r="AQ40" i="6"/>
  <c r="Y26" i="5"/>
  <c r="AZ26" i="5" s="1"/>
  <c r="G26" i="6"/>
  <c r="L36" i="6"/>
  <c r="AQ46" i="6"/>
  <c r="AG32" i="6"/>
  <c r="V14" i="5"/>
  <c r="AW14" i="5" s="1"/>
  <c r="D14" i="6"/>
  <c r="L30" i="6"/>
  <c r="AI18" i="5"/>
  <c r="AJ18" i="5"/>
  <c r="AC18" i="6"/>
  <c r="AO55" i="6"/>
  <c r="AO16" i="6"/>
  <c r="AH41" i="6"/>
  <c r="W25" i="5"/>
  <c r="AX25" i="5" s="1"/>
  <c r="E25" i="6"/>
  <c r="AD43" i="6"/>
  <c r="AM52" i="6"/>
  <c r="AQ36" i="6"/>
  <c r="L51" i="6"/>
  <c r="Y27" i="5"/>
  <c r="AZ27" i="5" s="1"/>
  <c r="G27" i="6"/>
  <c r="R30" i="5"/>
  <c r="K30" i="6"/>
  <c r="Q30" i="5"/>
  <c r="E47" i="6"/>
  <c r="W47" i="5"/>
  <c r="AX47" i="5" s="1"/>
  <c r="M13" i="6"/>
  <c r="AE38" i="6"/>
  <c r="O38" i="6"/>
  <c r="AQ19" i="6"/>
  <c r="D45" i="6"/>
  <c r="V45" i="5"/>
  <c r="D17" i="6"/>
  <c r="V17" i="5"/>
  <c r="AW17" i="5" s="1"/>
  <c r="Y17" i="5"/>
  <c r="AZ17" i="5" s="1"/>
  <c r="G17" i="6"/>
  <c r="L10" i="6"/>
  <c r="L9" i="5"/>
  <c r="R52" i="5"/>
  <c r="K52" i="6"/>
  <c r="Q52" i="5"/>
  <c r="AM26" i="6"/>
  <c r="AN46" i="6"/>
  <c r="AS16" i="5"/>
  <c r="AL16" i="6"/>
  <c r="AR16" i="5"/>
  <c r="H23" i="5"/>
  <c r="I23" i="5"/>
  <c r="T23" i="5"/>
  <c r="B23" i="6"/>
  <c r="I10" i="5"/>
  <c r="H10" i="5"/>
  <c r="T10" i="5"/>
  <c r="B10" i="6"/>
  <c r="B9" i="5"/>
  <c r="R39" i="5"/>
  <c r="K39" i="6"/>
  <c r="Q39" i="5"/>
  <c r="K48" i="6"/>
  <c r="R48" i="5"/>
  <c r="Q48" i="5"/>
  <c r="AD52" i="6"/>
  <c r="T13" i="5"/>
  <c r="AU13" i="5" s="1"/>
  <c r="B13" i="6"/>
  <c r="I13" i="5"/>
  <c r="H13" i="5"/>
  <c r="I26" i="5"/>
  <c r="B26" i="6"/>
  <c r="T26" i="5"/>
  <c r="H26" i="5"/>
  <c r="B49" i="5"/>
  <c r="T50" i="5"/>
  <c r="I50" i="5"/>
  <c r="B50" i="6"/>
  <c r="H50" i="5"/>
  <c r="M41" i="6"/>
  <c r="U56" i="5"/>
  <c r="AV56" i="5" s="1"/>
  <c r="C56" i="6"/>
  <c r="AR43" i="5"/>
  <c r="AL43" i="6"/>
  <c r="AS43" i="5"/>
  <c r="M33" i="6"/>
  <c r="G14" i="6"/>
  <c r="Y14" i="5"/>
  <c r="AZ14" i="5" s="1"/>
  <c r="G39" i="6"/>
  <c r="Y39" i="5"/>
  <c r="AZ39" i="5" s="1"/>
  <c r="AN12" i="6"/>
  <c r="AO41" i="6"/>
  <c r="D16" i="6"/>
  <c r="V16" i="5"/>
  <c r="AW16" i="5" s="1"/>
  <c r="W21" i="5"/>
  <c r="AX21" i="5" s="1"/>
  <c r="E21" i="6"/>
  <c r="X51" i="5"/>
  <c r="AY51" i="5" s="1"/>
  <c r="F51" i="6"/>
  <c r="X51" i="6" s="1"/>
  <c r="D32" i="6"/>
  <c r="V32" i="5"/>
  <c r="AW32" i="5" s="1"/>
  <c r="AD30" i="6"/>
  <c r="AL41" i="6"/>
  <c r="AS41" i="5"/>
  <c r="AR41" i="5"/>
  <c r="AF46" i="6"/>
  <c r="AN22" i="6"/>
  <c r="C51" i="6"/>
  <c r="U51" i="5"/>
  <c r="AV51" i="5" s="1"/>
  <c r="AQ32" i="6"/>
  <c r="E22" i="6"/>
  <c r="W22" i="5"/>
  <c r="AX22" i="5" s="1"/>
  <c r="G15" i="6"/>
  <c r="Y15" i="5"/>
  <c r="AZ15" i="5" s="1"/>
  <c r="F22" i="6"/>
  <c r="X22" i="6" s="1"/>
  <c r="X22" i="5"/>
  <c r="AH29" i="6"/>
  <c r="AN34" i="6"/>
  <c r="AH15" i="6"/>
  <c r="D39" i="6"/>
  <c r="V39" i="5"/>
  <c r="AW39" i="5" s="1"/>
  <c r="E26" i="6"/>
  <c r="W26" i="5"/>
  <c r="AX26" i="5" s="1"/>
  <c r="AM16" i="6"/>
  <c r="AO15" i="6"/>
  <c r="AN56" i="6"/>
  <c r="AG48" i="6"/>
  <c r="AD28" i="6"/>
  <c r="R17" i="5"/>
  <c r="K17" i="6"/>
  <c r="Q17" i="5"/>
  <c r="AE12" i="6"/>
  <c r="M11" i="6"/>
  <c r="AF39" i="6"/>
  <c r="D48" i="6"/>
  <c r="V48" i="6" s="1"/>
  <c r="V48" i="5"/>
  <c r="AW48" i="5" s="1"/>
  <c r="AM56" i="6"/>
  <c r="Q55" i="5"/>
  <c r="K55" i="6"/>
  <c r="R55" i="5"/>
  <c r="R54" i="5"/>
  <c r="K54" i="6"/>
  <c r="Q54" i="5"/>
  <c r="AE50" i="6"/>
  <c r="AE49" i="5"/>
  <c r="AC29" i="6"/>
  <c r="AJ29" i="5"/>
  <c r="AI29" i="5"/>
  <c r="V40" i="5"/>
  <c r="AW40" i="5" s="1"/>
  <c r="D40" i="6"/>
  <c r="L16" i="6"/>
  <c r="AD33" i="6"/>
  <c r="O53" i="6"/>
  <c r="AE43" i="6"/>
  <c r="N42" i="6"/>
  <c r="N55" i="6"/>
  <c r="AQ47" i="6"/>
  <c r="N22" i="6"/>
  <c r="E38" i="6"/>
  <c r="W38" i="5"/>
  <c r="AX38" i="5" s="1"/>
  <c r="H40" i="5"/>
  <c r="B40" i="6"/>
  <c r="I40" i="5"/>
  <c r="T40" i="5"/>
  <c r="AU40" i="5" s="1"/>
  <c r="I44" i="5"/>
  <c r="T44" i="5"/>
  <c r="H44" i="5"/>
  <c r="B44" i="6"/>
  <c r="D15" i="6"/>
  <c r="V15" i="5"/>
  <c r="AW15" i="5" s="1"/>
  <c r="U10" i="5"/>
  <c r="AV10" i="5" s="1"/>
  <c r="C9" i="5"/>
  <c r="C10" i="6"/>
  <c r="U10" i="6" s="1"/>
  <c r="AV10" i="6" s="1"/>
  <c r="F35" i="6"/>
  <c r="X35" i="5"/>
  <c r="AY35" i="5" s="1"/>
  <c r="P51" i="6"/>
  <c r="AE28" i="6"/>
  <c r="I41" i="5"/>
  <c r="H41" i="5"/>
  <c r="T41" i="5"/>
  <c r="AU41" i="5" s="1"/>
  <c r="B41" i="6"/>
  <c r="W36" i="5"/>
  <c r="AX36" i="5" s="1"/>
  <c r="E36" i="6"/>
  <c r="AL36" i="6"/>
  <c r="AR36" i="5"/>
  <c r="AS36" i="5"/>
  <c r="O11" i="6"/>
  <c r="AN37" i="6"/>
  <c r="L42" i="6"/>
  <c r="AN33" i="6"/>
  <c r="P37" i="6"/>
  <c r="AF31" i="6"/>
  <c r="AQ48" i="6"/>
  <c r="AH49" i="5"/>
  <c r="AH50" i="6"/>
  <c r="Y42" i="5"/>
  <c r="AZ42" i="5" s="1"/>
  <c r="G42" i="6"/>
  <c r="N16" i="6"/>
  <c r="M23" i="6"/>
  <c r="V37" i="5"/>
  <c r="AW37" i="5" s="1"/>
  <c r="D37" i="6"/>
  <c r="AH22" i="6"/>
  <c r="AQ22" i="6"/>
  <c r="AN14" i="6"/>
  <c r="Y46" i="5"/>
  <c r="AZ46" i="5" s="1"/>
  <c r="G46" i="6"/>
  <c r="N47" i="6"/>
  <c r="AN51" i="6"/>
  <c r="AI21" i="5"/>
  <c r="AC21" i="6"/>
  <c r="AJ21" i="5"/>
  <c r="M52" i="6"/>
  <c r="L14" i="6"/>
  <c r="F14" i="6"/>
  <c r="X14" i="5"/>
  <c r="AY14" i="5" s="1"/>
  <c r="W23" i="5"/>
  <c r="AX23" i="5" s="1"/>
  <c r="E23" i="6"/>
  <c r="O27" i="6"/>
  <c r="P23" i="6"/>
  <c r="AE16" i="6"/>
  <c r="AF48" i="6"/>
  <c r="E56" i="6"/>
  <c r="W56" i="5"/>
  <c r="AX56" i="5" s="1"/>
  <c r="K13" i="6"/>
  <c r="R13" i="5"/>
  <c r="Q13" i="5"/>
  <c r="AG18" i="6"/>
  <c r="B20" i="6"/>
  <c r="I20" i="5"/>
  <c r="T20" i="5"/>
  <c r="AU20" i="5" s="1"/>
  <c r="H20" i="5"/>
  <c r="AG25" i="6"/>
  <c r="V24" i="5"/>
  <c r="AW24" i="5" s="1"/>
  <c r="D24" i="6"/>
  <c r="E52" i="6"/>
  <c r="W52" i="5"/>
  <c r="AX52" i="5" s="1"/>
  <c r="D56" i="6"/>
  <c r="V56" i="5"/>
  <c r="AW56" i="5" s="1"/>
  <c r="AR32" i="5"/>
  <c r="AL32" i="6"/>
  <c r="AS32" i="5"/>
  <c r="L46" i="6"/>
  <c r="V33" i="5"/>
  <c r="AW33" i="5" s="1"/>
  <c r="D33" i="6"/>
  <c r="V33" i="6" s="1"/>
  <c r="Y13" i="5"/>
  <c r="AZ13" i="5" s="1"/>
  <c r="G13" i="6"/>
  <c r="C52" i="6"/>
  <c r="U52" i="5"/>
  <c r="AD56" i="6"/>
  <c r="AF28" i="6"/>
  <c r="O17" i="6"/>
  <c r="U18" i="5"/>
  <c r="AV18" i="5" s="1"/>
  <c r="C18" i="6"/>
  <c r="X45" i="5"/>
  <c r="AY45" i="5" s="1"/>
  <c r="F45" i="6"/>
  <c r="AM28" i="6"/>
  <c r="C24" i="6"/>
  <c r="U24" i="5"/>
  <c r="AV24" i="5" s="1"/>
  <c r="I46" i="5"/>
  <c r="T46" i="5"/>
  <c r="B46" i="6"/>
  <c r="H46" i="5"/>
  <c r="AS45" i="5"/>
  <c r="AR45" i="5"/>
  <c r="AL45" i="6"/>
  <c r="C19" i="6"/>
  <c r="U19" i="5"/>
  <c r="AV19" i="5" s="1"/>
  <c r="AM42" i="6"/>
  <c r="B47" i="6"/>
  <c r="H47" i="5"/>
  <c r="T47" i="5"/>
  <c r="I47" i="5"/>
  <c r="AE41" i="6"/>
  <c r="F24" i="6"/>
  <c r="X24" i="5"/>
  <c r="AY24" i="5" s="1"/>
  <c r="H32" i="5"/>
  <c r="I32" i="5"/>
  <c r="T32" i="5"/>
  <c r="AU32" i="5" s="1"/>
  <c r="B32" i="6"/>
  <c r="T32" i="6" s="1"/>
  <c r="U23" i="5"/>
  <c r="AV23" i="5" s="1"/>
  <c r="C23" i="6"/>
  <c r="O40" i="6"/>
  <c r="AS29" i="5"/>
  <c r="AR29" i="5"/>
  <c r="AL29" i="6"/>
  <c r="O42" i="6"/>
  <c r="AS21" i="5"/>
  <c r="AR21" i="5"/>
  <c r="AL21" i="6"/>
  <c r="M55" i="6"/>
  <c r="AM25" i="6"/>
  <c r="N9" i="5"/>
  <c r="N10" i="6"/>
  <c r="AH32" i="6"/>
  <c r="U11" i="5"/>
  <c r="AV11" i="5" s="1"/>
  <c r="C11" i="6"/>
  <c r="AQ25" i="6"/>
  <c r="AM24" i="6"/>
  <c r="B31" i="6"/>
  <c r="H31" i="5"/>
  <c r="I31" i="5"/>
  <c r="T31" i="5"/>
  <c r="P55" i="6"/>
  <c r="V42" i="5"/>
  <c r="AW42" i="5" s="1"/>
  <c r="D42" i="6"/>
  <c r="O45" i="6"/>
  <c r="AD50" i="6"/>
  <c r="AD49" i="5"/>
  <c r="H16" i="5"/>
  <c r="T16" i="5"/>
  <c r="B16" i="6"/>
  <c r="I16" i="5"/>
  <c r="V55" i="5"/>
  <c r="AW55" i="5" s="1"/>
  <c r="D55" i="6"/>
  <c r="V55" i="6" s="1"/>
  <c r="AF43" i="6"/>
  <c r="F18" i="6"/>
  <c r="X18" i="5"/>
  <c r="AY18" i="5" s="1"/>
  <c r="E54" i="6"/>
  <c r="W54" i="5"/>
  <c r="AX54" i="5" s="1"/>
  <c r="AC22" i="6"/>
  <c r="AJ22" i="5"/>
  <c r="AI22" i="5"/>
  <c r="K31" i="6"/>
  <c r="R31" i="5"/>
  <c r="Q31" i="5"/>
  <c r="AE36" i="6"/>
  <c r="AF16" i="6"/>
  <c r="M47" i="6"/>
  <c r="AE17" i="6"/>
  <c r="R53" i="5"/>
  <c r="K53" i="6"/>
  <c r="Q53" i="5"/>
  <c r="AN39" i="6"/>
  <c r="V19" i="5"/>
  <c r="AW19" i="5" s="1"/>
  <c r="D19" i="6"/>
  <c r="AO56" i="6"/>
  <c r="K18" i="6"/>
  <c r="Q18" i="5"/>
  <c r="R18" i="5"/>
  <c r="N37" i="6"/>
  <c r="AH46" i="6"/>
  <c r="V46" i="5"/>
  <c r="AW46" i="5" s="1"/>
  <c r="D46" i="6"/>
  <c r="D29" i="6"/>
  <c r="V29" i="5"/>
  <c r="AW29" i="5" s="1"/>
  <c r="W35" i="5"/>
  <c r="AX35" i="5" s="1"/>
  <c r="E35" i="6"/>
  <c r="AO14" i="6"/>
  <c r="N56" i="6"/>
  <c r="W56" i="6" s="1"/>
  <c r="M16" i="6"/>
  <c r="V16" i="6" s="1"/>
  <c r="AN26" i="6"/>
  <c r="AH37" i="6"/>
  <c r="M53" i="6"/>
  <c r="AF25" i="6"/>
  <c r="AJ16" i="5"/>
  <c r="AC16" i="6"/>
  <c r="AI16" i="5"/>
  <c r="Y43" i="5"/>
  <c r="AZ43" i="5" s="1"/>
  <c r="G43" i="6"/>
  <c r="AE56" i="6"/>
  <c r="AO31" i="6"/>
  <c r="AG33" i="6"/>
  <c r="F23" i="6"/>
  <c r="X23" i="5"/>
  <c r="AY23" i="5" s="1"/>
  <c r="AM27" i="6"/>
  <c r="AI14" i="5"/>
  <c r="AC14" i="6"/>
  <c r="AJ14" i="5"/>
  <c r="M14" i="6"/>
  <c r="AI23" i="5"/>
  <c r="AC23" i="6"/>
  <c r="AJ23" i="5"/>
  <c r="AD38" i="6"/>
  <c r="AD15" i="6"/>
  <c r="N44" i="6"/>
  <c r="AQ37" i="6"/>
  <c r="AC27" i="6"/>
  <c r="AI27" i="5"/>
  <c r="AJ27" i="5"/>
  <c r="T12" i="5"/>
  <c r="B12" i="6"/>
  <c r="H12" i="5"/>
  <c r="I12" i="5"/>
  <c r="T48" i="5"/>
  <c r="B48" i="6"/>
  <c r="T48" i="6" s="1"/>
  <c r="H48" i="5"/>
  <c r="I48" i="5"/>
  <c r="T36" i="5"/>
  <c r="H36" i="5"/>
  <c r="B36" i="6"/>
  <c r="I36" i="5"/>
  <c r="N28" i="6"/>
  <c r="X55" i="5"/>
  <c r="AY55" i="5" s="1"/>
  <c r="F55" i="6"/>
  <c r="C15" i="6"/>
  <c r="U15" i="5"/>
  <c r="AV15" i="5" s="1"/>
  <c r="AM51" i="6"/>
  <c r="M30" i="6"/>
  <c r="L33" i="6"/>
  <c r="AJ25" i="5"/>
  <c r="AC25" i="6"/>
  <c r="AI25" i="5"/>
  <c r="L50" i="6"/>
  <c r="L49" i="5"/>
  <c r="F44" i="6"/>
  <c r="X44" i="5"/>
  <c r="AY44" i="5" s="1"/>
  <c r="AN41" i="6"/>
  <c r="M27" i="6"/>
  <c r="M26" i="6"/>
  <c r="O19" i="6"/>
  <c r="G48" i="6"/>
  <c r="Y48" i="5"/>
  <c r="AZ48" i="5" s="1"/>
  <c r="X54" i="5"/>
  <c r="AY54" i="5" s="1"/>
  <c r="F54" i="6"/>
  <c r="L19" i="6"/>
  <c r="M28" i="6"/>
  <c r="C33" i="6"/>
  <c r="U33" i="6" s="1"/>
  <c r="AV33" i="6" s="1"/>
  <c r="U33" i="5"/>
  <c r="AV33" i="5" s="1"/>
  <c r="AR54" i="5"/>
  <c r="AS54" i="5"/>
  <c r="AL54" i="6"/>
  <c r="AU54" i="5"/>
  <c r="AN36" i="6"/>
  <c r="G20" i="6"/>
  <c r="Y20" i="5"/>
  <c r="AZ20" i="5" s="1"/>
  <c r="K24" i="6"/>
  <c r="R24" i="5"/>
  <c r="Q24" i="5"/>
  <c r="G44" i="6"/>
  <c r="Y44" i="5"/>
  <c r="AZ44" i="5" s="1"/>
  <c r="R36" i="5"/>
  <c r="K36" i="6"/>
  <c r="Q36" i="5"/>
  <c r="AG46" i="6"/>
  <c r="AF41" i="6"/>
  <c r="AG30" i="6"/>
  <c r="AF19" i="6"/>
  <c r="I45" i="5"/>
  <c r="H45" i="5"/>
  <c r="T45" i="5"/>
  <c r="B45" i="6"/>
  <c r="AD17" i="6"/>
  <c r="AD47" i="6"/>
  <c r="R26" i="5"/>
  <c r="Q26" i="5"/>
  <c r="K26" i="6"/>
  <c r="X26" i="5"/>
  <c r="AY26" i="5" s="1"/>
  <c r="F26" i="6"/>
  <c r="X52" i="5"/>
  <c r="AY52" i="5" s="1"/>
  <c r="F52" i="6"/>
  <c r="AN32" i="6"/>
  <c r="R56" i="5"/>
  <c r="K56" i="6"/>
  <c r="Q56" i="5"/>
  <c r="AG28" i="6"/>
  <c r="L25" i="6"/>
  <c r="AO24" i="6"/>
  <c r="AG38" i="6"/>
  <c r="N39" i="6"/>
  <c r="AM9" i="5"/>
  <c r="AM11" i="6"/>
  <c r="AD32" i="6"/>
  <c r="N19" i="6"/>
  <c r="C31" i="6"/>
  <c r="U31" i="5"/>
  <c r="AV31" i="5" s="1"/>
  <c r="AO35" i="6"/>
  <c r="L11" i="6"/>
  <c r="N54" i="6"/>
  <c r="C20" i="6"/>
  <c r="U20" i="5"/>
  <c r="AV20" i="5" s="1"/>
  <c r="AO52" i="6"/>
  <c r="M17" i="6"/>
  <c r="I52" i="5"/>
  <c r="H52" i="5"/>
  <c r="T52" i="5"/>
  <c r="AU52" i="5" s="1"/>
  <c r="B52" i="6"/>
  <c r="T52" i="6" s="1"/>
  <c r="M36" i="6"/>
  <c r="M21" i="6"/>
  <c r="AE29" i="6"/>
  <c r="D51" i="6"/>
  <c r="V51" i="5"/>
  <c r="AW51" i="5" s="1"/>
  <c r="AN43" i="6"/>
  <c r="AC33" i="6"/>
  <c r="AJ33" i="5"/>
  <c r="AI33" i="5"/>
  <c r="D12" i="6"/>
  <c r="V12" i="5"/>
  <c r="AW12" i="5" s="1"/>
  <c r="AE32" i="6"/>
  <c r="G38" i="6"/>
  <c r="Y38" i="5"/>
  <c r="AZ38" i="5" s="1"/>
  <c r="M20" i="6"/>
  <c r="AN50" i="6"/>
  <c r="AN49" i="5"/>
  <c r="C44" i="6"/>
  <c r="U44" i="5"/>
  <c r="AV44" i="5" s="1"/>
  <c r="F27" i="6"/>
  <c r="X27" i="6" s="1"/>
  <c r="X27" i="5"/>
  <c r="AY27" i="5" s="1"/>
  <c r="AC24" i="6"/>
  <c r="AI24" i="5"/>
  <c r="AJ24" i="5"/>
  <c r="C48" i="6"/>
  <c r="U48" i="5"/>
  <c r="AV48" i="5" s="1"/>
  <c r="U37" i="5"/>
  <c r="AV37" i="5" s="1"/>
  <c r="C37" i="6"/>
  <c r="AF56" i="6"/>
  <c r="AQ24" i="6"/>
  <c r="AE25" i="6"/>
  <c r="I35" i="5"/>
  <c r="H35" i="5"/>
  <c r="T35" i="5"/>
  <c r="B35" i="6"/>
  <c r="I21" i="5"/>
  <c r="B21" i="6"/>
  <c r="T21" i="6" s="1"/>
  <c r="H21" i="5"/>
  <c r="T21" i="5"/>
  <c r="V35" i="5"/>
  <c r="AW35" i="5" s="1"/>
  <c r="D35" i="6"/>
  <c r="AD21" i="6"/>
  <c r="P18" i="6"/>
  <c r="W48" i="5"/>
  <c r="AX48" i="5" s="1"/>
  <c r="E48" i="6"/>
  <c r="W48" i="6" s="1"/>
  <c r="AH28" i="6"/>
  <c r="F56" i="6"/>
  <c r="X56" i="5"/>
  <c r="AY56" i="5" s="1"/>
  <c r="R28" i="5"/>
  <c r="Q28" i="5"/>
  <c r="K28" i="6"/>
  <c r="AD54" i="6"/>
  <c r="N36" i="6"/>
  <c r="T14" i="5"/>
  <c r="H14" i="5"/>
  <c r="B14" i="6"/>
  <c r="I14" i="5"/>
  <c r="AO27" i="6"/>
  <c r="AL38" i="6"/>
  <c r="AR38" i="5"/>
  <c r="AU38" i="5"/>
  <c r="AS38" i="5"/>
  <c r="AE52" i="6"/>
  <c r="O12" i="6"/>
  <c r="Y56" i="5"/>
  <c r="AZ56" i="5" s="1"/>
  <c r="G56" i="6"/>
  <c r="L55" i="6"/>
  <c r="AO18" i="6"/>
  <c r="AF13" i="6"/>
  <c r="AD40" i="6"/>
  <c r="P15" i="6"/>
  <c r="Y15" i="6" s="1"/>
  <c r="AN29" i="6"/>
  <c r="AQ13" i="6"/>
  <c r="K11" i="6"/>
  <c r="R11" i="5"/>
  <c r="Q11" i="5"/>
  <c r="M35" i="6"/>
  <c r="N29" i="6"/>
  <c r="AN20" i="6"/>
  <c r="X11" i="5"/>
  <c r="AY11" i="5" s="1"/>
  <c r="F11" i="6"/>
  <c r="AI51" i="5"/>
  <c r="AJ51" i="5"/>
  <c r="AC51" i="6"/>
  <c r="AN35" i="6"/>
  <c r="P12" i="6"/>
  <c r="K21" i="6"/>
  <c r="Q21" i="5"/>
  <c r="R21" i="5"/>
  <c r="L34" i="6"/>
  <c r="U39" i="5"/>
  <c r="AV39" i="5" s="1"/>
  <c r="C39" i="6"/>
  <c r="O36" i="6"/>
  <c r="X36" i="6" s="1"/>
  <c r="U41" i="5"/>
  <c r="AV41" i="5" s="1"/>
  <c r="C41" i="6"/>
  <c r="E41" i="6"/>
  <c r="W41" i="5"/>
  <c r="AX41" i="5" s="1"/>
  <c r="AF30" i="6"/>
  <c r="H43" i="5"/>
  <c r="B43" i="6"/>
  <c r="I43" i="5"/>
  <c r="T43" i="5"/>
  <c r="AU43" i="5" s="1"/>
  <c r="K12" i="6"/>
  <c r="R12" i="5"/>
  <c r="Q12" i="5"/>
  <c r="N17" i="6"/>
  <c r="AO33" i="6"/>
  <c r="AL30" i="6"/>
  <c r="AR30" i="5"/>
  <c r="AS30" i="5"/>
  <c r="AU30" i="5"/>
  <c r="F40" i="6"/>
  <c r="X40" i="5"/>
  <c r="AY40" i="5" s="1"/>
  <c r="O32" i="6"/>
  <c r="O21" i="6"/>
  <c r="AH39" i="6"/>
  <c r="P16" i="6"/>
  <c r="V21" i="5"/>
  <c r="AW21" i="5" s="1"/>
  <c r="D21" i="6"/>
  <c r="N18" i="6"/>
  <c r="T27" i="5"/>
  <c r="B27" i="6"/>
  <c r="I27" i="5"/>
  <c r="H27" i="5"/>
  <c r="AD53" i="6"/>
  <c r="AH18" i="6"/>
  <c r="C28" i="6"/>
  <c r="U28" i="5"/>
  <c r="AV28" i="5" s="1"/>
  <c r="AD36" i="6"/>
  <c r="B51" i="6"/>
  <c r="I51" i="5"/>
  <c r="T51" i="5"/>
  <c r="H51" i="5"/>
  <c r="AN19" i="6"/>
  <c r="AO47" i="6"/>
  <c r="C22" i="6"/>
  <c r="U22" i="5"/>
  <c r="AV22" i="5" s="1"/>
  <c r="AF38" i="6"/>
  <c r="AC42" i="6"/>
  <c r="AJ42" i="5"/>
  <c r="AI42" i="5"/>
  <c r="V31" i="5"/>
  <c r="AW31" i="5" s="1"/>
  <c r="D31" i="6"/>
  <c r="V31" i="6" s="1"/>
  <c r="U17" i="5"/>
  <c r="AV17" i="5" s="1"/>
  <c r="C17" i="6"/>
  <c r="C38" i="6"/>
  <c r="U38" i="5"/>
  <c r="AV38" i="5" s="1"/>
  <c r="W44" i="5"/>
  <c r="AX44" i="5" s="1"/>
  <c r="E44" i="6"/>
  <c r="W44" i="6" s="1"/>
  <c r="O41" i="6"/>
  <c r="AM18" i="6"/>
  <c r="AR22" i="5"/>
  <c r="AL22" i="6"/>
  <c r="AS22" i="5"/>
  <c r="AL24" i="6"/>
  <c r="AS24" i="5"/>
  <c r="AR24" i="5"/>
  <c r="AU24" i="5"/>
  <c r="AD34" i="6"/>
  <c r="M40" i="6"/>
  <c r="O20" i="6"/>
  <c r="Y41" i="5"/>
  <c r="AZ41" i="5" s="1"/>
  <c r="G41" i="6"/>
  <c r="O18" i="6"/>
  <c r="L47" i="6"/>
  <c r="D10" i="6"/>
  <c r="V10" i="5"/>
  <c r="AW10" i="5" s="1"/>
  <c r="D9" i="5"/>
  <c r="AF15" i="6"/>
  <c r="I17" i="5"/>
  <c r="B17" i="6"/>
  <c r="H17" i="5"/>
  <c r="T17" i="5"/>
  <c r="AU17" i="5" s="1"/>
  <c r="AL37" i="6"/>
  <c r="AS37" i="5"/>
  <c r="AR37" i="5"/>
  <c r="F49" i="5"/>
  <c r="F50" i="6"/>
  <c r="X50" i="5"/>
  <c r="AY50" i="5" s="1"/>
  <c r="AD23" i="6"/>
  <c r="N31" i="6"/>
  <c r="AE55" i="6"/>
  <c r="T24" i="5"/>
  <c r="I24" i="5"/>
  <c r="B24" i="6"/>
  <c r="H24" i="5"/>
  <c r="O56" i="6"/>
  <c r="AH52" i="6"/>
  <c r="AS13" i="5"/>
  <c r="AL13" i="6"/>
  <c r="AR13" i="5"/>
  <c r="L44" i="6"/>
  <c r="Y52" i="5"/>
  <c r="AZ52" i="5" s="1"/>
  <c r="G52" i="6"/>
  <c r="AD51" i="6"/>
  <c r="AQ56" i="6"/>
  <c r="AH42" i="6"/>
  <c r="N45" i="6"/>
  <c r="AE13" i="6"/>
  <c r="K40" i="6"/>
  <c r="R40" i="5"/>
  <c r="Q40" i="5"/>
  <c r="N13" i="6"/>
  <c r="L43" i="6"/>
  <c r="AN18" i="6"/>
  <c r="AG24" i="6"/>
  <c r="K44" i="6"/>
  <c r="R44" i="5"/>
  <c r="Q44" i="5"/>
  <c r="E9" i="5"/>
  <c r="W9" i="5" s="1"/>
  <c r="W10" i="5"/>
  <c r="AX10" i="5" s="1"/>
  <c r="E10" i="6"/>
  <c r="W10" i="6" s="1"/>
  <c r="AX10" i="6" s="1"/>
  <c r="E32" i="6"/>
  <c r="W32" i="5"/>
  <c r="AX32" i="5" s="1"/>
  <c r="F33" i="6"/>
  <c r="X33" i="5"/>
  <c r="AY33" i="5" s="1"/>
  <c r="F47" i="6"/>
  <c r="X47" i="5"/>
  <c r="AY47" i="5" s="1"/>
  <c r="Q14" i="5"/>
  <c r="R14" i="5"/>
  <c r="K14" i="6"/>
  <c r="D20" i="6"/>
  <c r="V20" i="6" s="1"/>
  <c r="V20" i="5"/>
  <c r="AW20" i="5" s="1"/>
  <c r="O52" i="6"/>
  <c r="AD25" i="6"/>
  <c r="B53" i="6"/>
  <c r="H53" i="5"/>
  <c r="T53" i="5"/>
  <c r="I53" i="5"/>
  <c r="AG19" i="6"/>
  <c r="AH36" i="6"/>
  <c r="AF34" i="6"/>
  <c r="AH44" i="6"/>
  <c r="AE14" i="6"/>
  <c r="L13" i="6"/>
  <c r="O31" i="6"/>
  <c r="AH24" i="6"/>
  <c r="Y34" i="5"/>
  <c r="AZ34" i="5" s="1"/>
  <c r="G34" i="6"/>
  <c r="Q34" i="5"/>
  <c r="R34" i="5"/>
  <c r="K34" i="6"/>
  <c r="AM54" i="6"/>
  <c r="AF55" i="6"/>
  <c r="M19" i="6"/>
  <c r="AN27" i="6"/>
  <c r="O39" i="6"/>
  <c r="AS17" i="5"/>
  <c r="AL17" i="6"/>
  <c r="AR17" i="5"/>
  <c r="AH27" i="6"/>
  <c r="D43" i="6"/>
  <c r="V43" i="5"/>
  <c r="AH14" i="6"/>
  <c r="U36" i="5"/>
  <c r="AV36" i="5" s="1"/>
  <c r="C36" i="6"/>
  <c r="U36" i="6" s="1"/>
  <c r="AO21" i="6"/>
  <c r="AL34" i="6"/>
  <c r="AS34" i="5"/>
  <c r="AR34" i="5"/>
  <c r="G25" i="6"/>
  <c r="Y25" i="5"/>
  <c r="AZ25" i="5" s="1"/>
  <c r="V54" i="5"/>
  <c r="AW54" i="5" s="1"/>
  <c r="D54" i="6"/>
  <c r="AM45" i="6"/>
  <c r="P53" i="6"/>
  <c r="AF47" i="6"/>
  <c r="O26" i="6"/>
  <c r="N52" i="6"/>
  <c r="T19" i="5"/>
  <c r="I19" i="5"/>
  <c r="B19" i="6"/>
  <c r="H19" i="5"/>
  <c r="K10" i="6"/>
  <c r="K9" i="5"/>
  <c r="R10" i="5"/>
  <c r="Q10" i="5"/>
  <c r="AH56" i="6"/>
  <c r="AQ45" i="6"/>
  <c r="AO17" i="6"/>
  <c r="P32" i="6"/>
  <c r="AD18" i="6"/>
  <c r="AJ36" i="5"/>
  <c r="AC36" i="6"/>
  <c r="AI36" i="5"/>
  <c r="AD35" i="6"/>
  <c r="M46" i="6"/>
  <c r="AF42" i="6"/>
  <c r="AE51" i="6"/>
  <c r="AO22" i="6"/>
  <c r="X17" i="5"/>
  <c r="AY17" i="5" s="1"/>
  <c r="F17" i="6"/>
  <c r="X17" i="6" s="1"/>
  <c r="O37" i="6"/>
  <c r="V25" i="5"/>
  <c r="AW25" i="5" s="1"/>
  <c r="D25" i="6"/>
  <c r="AE18" i="6"/>
  <c r="AQ49" i="5"/>
  <c r="AQ50" i="6"/>
  <c r="U53" i="5"/>
  <c r="AV53" i="5" s="1"/>
  <c r="C53" i="6"/>
  <c r="H42" i="5"/>
  <c r="I42" i="5"/>
  <c r="B42" i="6"/>
  <c r="T42" i="5"/>
  <c r="AU42" i="5" s="1"/>
  <c r="AO9" i="5"/>
  <c r="AO11" i="6"/>
  <c r="AN53" i="6"/>
  <c r="P29" i="6"/>
  <c r="W40" i="5"/>
  <c r="AX40" i="5" s="1"/>
  <c r="E40" i="6"/>
  <c r="AH17" i="6"/>
  <c r="AJ54" i="5"/>
  <c r="AC54" i="6"/>
  <c r="AI54" i="5"/>
  <c r="O49" i="5"/>
  <c r="O50" i="6"/>
  <c r="AM46" i="6"/>
  <c r="L27" i="6"/>
  <c r="Y47" i="5"/>
  <c r="AZ47" i="5" s="1"/>
  <c r="G47" i="6"/>
  <c r="W14" i="5"/>
  <c r="AX14" i="5" s="1"/>
  <c r="E14" i="6"/>
  <c r="R22" i="5"/>
  <c r="K22" i="6"/>
  <c r="Q22" i="5"/>
  <c r="P47" i="6"/>
  <c r="N12" i="6"/>
  <c r="L23" i="6"/>
  <c r="P36" i="6"/>
  <c r="Y36" i="6" s="1"/>
  <c r="AM29" i="6"/>
  <c r="AC17" i="6"/>
  <c r="AI17" i="5"/>
  <c r="AJ17" i="5"/>
  <c r="L32" i="6"/>
  <c r="AM20" i="6"/>
  <c r="X34" i="5"/>
  <c r="AY34" i="5" s="1"/>
  <c r="F34" i="6"/>
  <c r="N43" i="6"/>
  <c r="W43" i="6" s="1"/>
  <c r="AG34" i="6"/>
  <c r="AF12" i="6"/>
  <c r="AL48" i="6"/>
  <c r="AR48" i="5"/>
  <c r="AS48" i="5"/>
  <c r="AU48" i="5"/>
  <c r="O16" i="6"/>
  <c r="O25" i="6"/>
  <c r="N21" i="6"/>
  <c r="AF37" i="6"/>
  <c r="L37" i="6"/>
  <c r="AM13" i="6"/>
  <c r="AQ54" i="6"/>
  <c r="AG21" i="6"/>
  <c r="AQ52" i="6"/>
  <c r="P56" i="6"/>
  <c r="AL28" i="6"/>
  <c r="AS28" i="5"/>
  <c r="AR28" i="5"/>
  <c r="T37" i="5"/>
  <c r="AU37" i="5" s="1"/>
  <c r="B37" i="6"/>
  <c r="H37" i="5"/>
  <c r="I37" i="5"/>
  <c r="AO23" i="6"/>
  <c r="AM53" i="6"/>
  <c r="H56" i="5"/>
  <c r="I56" i="5"/>
  <c r="T56" i="5"/>
  <c r="B56" i="6"/>
  <c r="T56" i="6" s="1"/>
  <c r="AE20" i="6"/>
  <c r="R19" i="5"/>
  <c r="Q19" i="5"/>
  <c r="K19" i="6"/>
  <c r="Q38" i="5"/>
  <c r="R38" i="5"/>
  <c r="K38" i="6"/>
  <c r="T38" i="6" s="1"/>
  <c r="G22" i="6"/>
  <c r="Y22" i="5"/>
  <c r="AZ22" i="5" s="1"/>
  <c r="AF26" i="6"/>
  <c r="V44" i="5"/>
  <c r="AW44" i="5" s="1"/>
  <c r="D44" i="6"/>
  <c r="N23" i="6"/>
  <c r="AQ12" i="6"/>
  <c r="I25" i="5"/>
  <c r="H25" i="5"/>
  <c r="B25" i="6"/>
  <c r="T25" i="6" s="1"/>
  <c r="T25" i="5"/>
  <c r="AO26" i="6"/>
  <c r="AG41" i="6"/>
  <c r="AQ30" i="6"/>
  <c r="P38" i="6"/>
  <c r="AD14" i="6"/>
  <c r="W29" i="5"/>
  <c r="AX29" i="5" s="1"/>
  <c r="E29" i="6"/>
  <c r="W29" i="6" s="1"/>
  <c r="L17" i="6"/>
  <c r="R15" i="5"/>
  <c r="Q15" i="5"/>
  <c r="K15" i="6"/>
  <c r="L53" i="6"/>
  <c r="AE37" i="6"/>
  <c r="AM21" i="6"/>
  <c r="Y35" i="5"/>
  <c r="AZ35" i="5" s="1"/>
  <c r="G35" i="6"/>
  <c r="Y35" i="6" s="1"/>
  <c r="AI53" i="5"/>
  <c r="AC53" i="6"/>
  <c r="AJ53" i="5"/>
  <c r="AN42" i="6"/>
  <c r="Y55" i="5"/>
  <c r="AZ55" i="5" s="1"/>
  <c r="G55" i="6"/>
  <c r="AD42" i="6"/>
  <c r="M22" i="6"/>
  <c r="AN28" i="6"/>
  <c r="AD16" i="6"/>
  <c r="Y21" i="5"/>
  <c r="AZ21" i="5" s="1"/>
  <c r="G21" i="6"/>
  <c r="L20" i="6"/>
  <c r="G37" i="6"/>
  <c r="Y37" i="6" s="1"/>
  <c r="Y37" i="5"/>
  <c r="AZ37" i="5" s="1"/>
  <c r="M29" i="6"/>
  <c r="AF32" i="6"/>
  <c r="X41" i="5"/>
  <c r="AY41" i="5" s="1"/>
  <c r="F41" i="6"/>
  <c r="X41" i="6" s="1"/>
  <c r="AY41" i="6" s="1"/>
  <c r="T28" i="5"/>
  <c r="B28" i="6"/>
  <c r="T28" i="6" s="1"/>
  <c r="H28" i="5"/>
  <c r="I28" i="5"/>
  <c r="M18" i="6"/>
  <c r="V18" i="6" s="1"/>
  <c r="AG54" i="6"/>
  <c r="U35" i="5"/>
  <c r="AV35" i="5" s="1"/>
  <c r="C35" i="6"/>
  <c r="P33" i="6"/>
  <c r="AS23" i="5"/>
  <c r="AL23" i="6"/>
  <c r="AR23" i="5"/>
  <c r="AU23" i="5"/>
  <c r="F30" i="6"/>
  <c r="X30" i="5"/>
  <c r="AY30" i="5" s="1"/>
  <c r="AQ41" i="6"/>
  <c r="W53" i="5"/>
  <c r="AX53" i="5" s="1"/>
  <c r="E53" i="6"/>
  <c r="AI47" i="5"/>
  <c r="AJ47" i="5"/>
  <c r="AC47" i="6"/>
  <c r="AG27" i="6"/>
  <c r="D41" i="6"/>
  <c r="V41" i="6" s="1"/>
  <c r="V41" i="5"/>
  <c r="AW41" i="5" s="1"/>
  <c r="AQ21" i="6"/>
  <c r="L18" i="6"/>
  <c r="G53" i="6"/>
  <c r="Y53" i="5"/>
  <c r="AZ53" i="5" s="1"/>
  <c r="AG55" i="6"/>
  <c r="P9" i="5"/>
  <c r="P10" i="6"/>
  <c r="N14" i="6"/>
  <c r="P45" i="6"/>
  <c r="AE44" i="6"/>
  <c r="AE48" i="6"/>
  <c r="AM19" i="6"/>
  <c r="N32" i="6"/>
  <c r="Q33" i="5"/>
  <c r="R33" i="5"/>
  <c r="K33" i="6"/>
  <c r="L22" i="6"/>
  <c r="AS35" i="5"/>
  <c r="AL35" i="6"/>
  <c r="AR35" i="5"/>
  <c r="AU35" i="5"/>
  <c r="AD39" i="6"/>
  <c r="E19" i="6"/>
  <c r="W19" i="6" s="1"/>
  <c r="W19" i="5"/>
  <c r="AX19" i="5" s="1"/>
  <c r="W20" i="5"/>
  <c r="AX20" i="5" s="1"/>
  <c r="E20" i="6"/>
  <c r="AM35" i="6"/>
  <c r="B34" i="6"/>
  <c r="T34" i="6" s="1"/>
  <c r="T34" i="5"/>
  <c r="H34" i="5"/>
  <c r="I34" i="5"/>
  <c r="N15" i="6"/>
  <c r="AN23" i="6"/>
  <c r="AG40" i="6"/>
  <c r="P35" i="6"/>
  <c r="X29" i="5"/>
  <c r="AY29" i="5" s="1"/>
  <c r="F29" i="6"/>
  <c r="X29" i="6" s="1"/>
  <c r="AE11" i="6"/>
  <c r="AE9" i="5"/>
  <c r="AE8" i="5" s="1"/>
  <c r="AD27" i="6"/>
  <c r="L45" i="6"/>
  <c r="U45" i="6" s="1"/>
  <c r="M45" i="6"/>
  <c r="AO51" i="6"/>
  <c r="AQ31" i="6"/>
  <c r="P31" i="6"/>
  <c r="P44" i="6"/>
  <c r="O47" i="6"/>
  <c r="AE24" i="6"/>
  <c r="AH34" i="6"/>
  <c r="C43" i="6"/>
  <c r="U43" i="5"/>
  <c r="AV43" i="5" s="1"/>
  <c r="G16" i="6"/>
  <c r="Y16" i="5"/>
  <c r="AZ16" i="5" s="1"/>
  <c r="AS42" i="5"/>
  <c r="AL42" i="6"/>
  <c r="AR42" i="5"/>
  <c r="AO48" i="6"/>
  <c r="AX48" i="6" s="1"/>
  <c r="AH51" i="6"/>
  <c r="M51" i="6"/>
  <c r="L24" i="6"/>
  <c r="H15" i="5"/>
  <c r="T15" i="5"/>
  <c r="I15" i="5"/>
  <c r="B15" i="6"/>
  <c r="AF33" i="6"/>
  <c r="AM22" i="6"/>
  <c r="AM39" i="6"/>
  <c r="AN21" i="6"/>
  <c r="L35" i="6"/>
  <c r="AJ46" i="5"/>
  <c r="AI46" i="5"/>
  <c r="AC46" i="6"/>
  <c r="AR15" i="5"/>
  <c r="AS15" i="5"/>
  <c r="AL15" i="6"/>
  <c r="AS33" i="5"/>
  <c r="AL33" i="6"/>
  <c r="AR33" i="5"/>
  <c r="AS46" i="5"/>
  <c r="AR46" i="5"/>
  <c r="AL46" i="6"/>
  <c r="AH13" i="6"/>
  <c r="G12" i="6"/>
  <c r="Y12" i="5"/>
  <c r="AZ12" i="5" s="1"/>
  <c r="AN13" i="6"/>
  <c r="F37" i="6"/>
  <c r="X37" i="5"/>
  <c r="AY37" i="5" s="1"/>
  <c r="AN48" i="6"/>
  <c r="AI45" i="5"/>
  <c r="AJ45" i="5"/>
  <c r="AC45" i="6"/>
  <c r="AF36" i="6"/>
  <c r="AH20" i="6"/>
  <c r="AO45" i="6"/>
  <c r="P48" i="6"/>
  <c r="Y48" i="6" s="1"/>
  <c r="Q41" i="5"/>
  <c r="K41" i="6"/>
  <c r="R41" i="5"/>
  <c r="AD31" i="6"/>
  <c r="P40" i="6"/>
  <c r="N41" i="6"/>
  <c r="C16" i="6"/>
  <c r="U16" i="5"/>
  <c r="AV16" i="5" s="1"/>
  <c r="H55" i="5"/>
  <c r="I55" i="5"/>
  <c r="T55" i="5"/>
  <c r="B55" i="6"/>
  <c r="H33" i="5"/>
  <c r="I33" i="5"/>
  <c r="T33" i="5"/>
  <c r="AU33" i="5" s="1"/>
  <c r="B33" i="6"/>
  <c r="H39" i="5"/>
  <c r="T39" i="5"/>
  <c r="B39" i="6"/>
  <c r="T39" i="6" s="1"/>
  <c r="I39" i="5"/>
  <c r="M44" i="6"/>
  <c r="V44" i="6" s="1"/>
  <c r="D49" i="5"/>
  <c r="D8" i="5" s="1"/>
  <c r="D50" i="6"/>
  <c r="V50" i="5"/>
  <c r="AW50" i="5" s="1"/>
  <c r="AQ35" i="6"/>
  <c r="L31" i="6"/>
  <c r="B29" i="6"/>
  <c r="T29" i="5"/>
  <c r="AU29" i="5" s="1"/>
  <c r="H29" i="5"/>
  <c r="I29" i="5"/>
  <c r="N30" i="6"/>
  <c r="AM38" i="6"/>
  <c r="AS38" i="6" s="1"/>
  <c r="L40" i="6"/>
  <c r="AH38" i="6"/>
  <c r="AQ55" i="6"/>
  <c r="AH25" i="6"/>
  <c r="AC52" i="6"/>
  <c r="AI52" i="5"/>
  <c r="AJ52" i="5"/>
  <c r="AE19" i="6"/>
  <c r="AQ34" i="6"/>
  <c r="AO36" i="6"/>
  <c r="AR36" i="6" s="1"/>
  <c r="N33" i="6"/>
  <c r="C47" i="6"/>
  <c r="U47" i="5"/>
  <c r="AV47" i="5" s="1"/>
  <c r="K43" i="6"/>
  <c r="Q43" i="5"/>
  <c r="R43" i="5"/>
  <c r="AQ29" i="6"/>
  <c r="AH53" i="6"/>
  <c r="AQ26" i="6"/>
  <c r="AH43" i="6"/>
  <c r="AN9" i="5"/>
  <c r="AN8" i="5" s="1"/>
  <c r="AN11" i="6"/>
  <c r="I11" i="5"/>
  <c r="B11" i="6"/>
  <c r="I11" i="6" s="1"/>
  <c r="H11" i="5"/>
  <c r="T11" i="5"/>
  <c r="AA11" i="5" s="1"/>
  <c r="X21" i="5"/>
  <c r="AY21" i="5" s="1"/>
  <c r="F21" i="6"/>
  <c r="AG29" i="6"/>
  <c r="AR31" i="5"/>
  <c r="AS31" i="5"/>
  <c r="AL31" i="6"/>
  <c r="AU31" i="5"/>
  <c r="AI38" i="5"/>
  <c r="AC38" i="6"/>
  <c r="AJ38" i="6" s="1"/>
  <c r="AJ38" i="5"/>
  <c r="AE47" i="6"/>
  <c r="M24" i="6"/>
  <c r="AR11" i="5"/>
  <c r="AS11" i="5"/>
  <c r="AL11" i="6"/>
  <c r="AL9" i="5"/>
  <c r="G19" i="6"/>
  <c r="Y19" i="5"/>
  <c r="AZ19" i="5" s="1"/>
  <c r="AE39" i="6"/>
  <c r="AM37" i="6"/>
  <c r="G28" i="6"/>
  <c r="Y28" i="6" s="1"/>
  <c r="Y28" i="5"/>
  <c r="AZ28" i="5" s="1"/>
  <c r="T22" i="5"/>
  <c r="H22" i="5"/>
  <c r="B22" i="6"/>
  <c r="I22" i="5"/>
  <c r="C14" i="6"/>
  <c r="U14" i="5"/>
  <c r="AV14" i="5" s="1"/>
  <c r="AH48" i="6"/>
  <c r="AC49" i="5"/>
  <c r="AJ50" i="5"/>
  <c r="AI50" i="5"/>
  <c r="AC50" i="6"/>
  <c r="AN31" i="6"/>
  <c r="AQ42" i="6"/>
  <c r="AI20" i="5"/>
  <c r="AJ20" i="5"/>
  <c r="AC20" i="6"/>
  <c r="P34" i="6"/>
  <c r="P39" i="6"/>
  <c r="X31" i="5"/>
  <c r="AY31" i="5" s="1"/>
  <c r="F31" i="6"/>
  <c r="X31" i="6" s="1"/>
  <c r="V28" i="5"/>
  <c r="AW28" i="5" s="1"/>
  <c r="D28" i="6"/>
  <c r="AG20" i="6"/>
  <c r="X12" i="5"/>
  <c r="AY12" i="5" s="1"/>
  <c r="F12" i="6"/>
  <c r="X12" i="6" s="1"/>
  <c r="AH54" i="6"/>
  <c r="Q46" i="5"/>
  <c r="R46" i="5"/>
  <c r="K46" i="6"/>
  <c r="AM23" i="6"/>
  <c r="W55" i="5"/>
  <c r="AX55" i="5" s="1"/>
  <c r="E55" i="6"/>
  <c r="W55" i="6" s="1"/>
  <c r="AG45" i="6"/>
  <c r="AC19" i="6"/>
  <c r="AI19" i="5"/>
  <c r="AJ19" i="5"/>
  <c r="U46" i="5"/>
  <c r="AV46" i="5" s="1"/>
  <c r="C46" i="6"/>
  <c r="C26" i="6"/>
  <c r="U26" i="5"/>
  <c r="AV26" i="5" s="1"/>
  <c r="AE26" i="6"/>
  <c r="AH31" i="6"/>
  <c r="AH11" i="6"/>
  <c r="AH9" i="5"/>
  <c r="AH8" i="5" s="1"/>
  <c r="W42" i="5"/>
  <c r="AX42" i="5" s="1"/>
  <c r="E42" i="6"/>
  <c r="AG56" i="6"/>
  <c r="M10" i="6"/>
  <c r="M9" i="5"/>
  <c r="V9" i="5" s="1"/>
  <c r="AW9" i="5" s="1"/>
  <c r="P24" i="6"/>
  <c r="D27" i="6"/>
  <c r="V27" i="5"/>
  <c r="M56" i="6"/>
  <c r="AE22" i="6"/>
  <c r="AQ53" i="6"/>
  <c r="M54" i="6"/>
  <c r="V54" i="6" s="1"/>
  <c r="G30" i="6"/>
  <c r="Y30" i="5"/>
  <c r="AZ30" i="5" s="1"/>
  <c r="AE40" i="6"/>
  <c r="AD45" i="6"/>
  <c r="AM12" i="6"/>
  <c r="AE34" i="6"/>
  <c r="N53" i="6"/>
  <c r="W53" i="6" s="1"/>
  <c r="AF45" i="6"/>
  <c r="AO53" i="6"/>
  <c r="O55" i="6"/>
  <c r="N51" i="6"/>
  <c r="D38" i="6"/>
  <c r="V38" i="5"/>
  <c r="AW38" i="5" s="1"/>
  <c r="G45" i="6"/>
  <c r="Y45" i="6" s="1"/>
  <c r="Y45" i="5"/>
  <c r="AZ45" i="5" s="1"/>
  <c r="K45" i="6"/>
  <c r="R45" i="5"/>
  <c r="Q45" i="5"/>
  <c r="C40" i="6"/>
  <c r="U40" i="6" s="1"/>
  <c r="U40" i="5"/>
  <c r="AV40" i="5" s="1"/>
  <c r="L28" i="6"/>
  <c r="AD29" i="6"/>
  <c r="AF22" i="6"/>
  <c r="W18" i="5"/>
  <c r="AX18" i="5" s="1"/>
  <c r="E18" i="6"/>
  <c r="W18" i="6" s="1"/>
  <c r="AR20" i="5"/>
  <c r="AL20" i="6"/>
  <c r="AS20" i="5"/>
  <c r="L52" i="6"/>
  <c r="AF21" i="6"/>
  <c r="AC26" i="6"/>
  <c r="AI26" i="5"/>
  <c r="AJ26" i="5"/>
  <c r="AG17" i="6"/>
  <c r="N24" i="6"/>
  <c r="E28" i="6"/>
  <c r="W28" i="5"/>
  <c r="AX28" i="5" s="1"/>
  <c r="O44" i="6"/>
  <c r="AQ43" i="6"/>
  <c r="AN55" i="6"/>
  <c r="P22" i="6"/>
  <c r="AQ16" i="6"/>
  <c r="AM17" i="6"/>
  <c r="V23" i="5"/>
  <c r="AW23" i="5" s="1"/>
  <c r="D23" i="6"/>
  <c r="V23" i="6" s="1"/>
  <c r="AW23" i="6" s="1"/>
  <c r="AF27" i="6"/>
  <c r="AF20" i="6"/>
  <c r="P30" i="6"/>
  <c r="AM49" i="5"/>
  <c r="AM8" i="5" s="1"/>
  <c r="AM50" i="6"/>
  <c r="R29" i="5"/>
  <c r="K29" i="6"/>
  <c r="Q29" i="5"/>
  <c r="AM31" i="6"/>
  <c r="AM15" i="6"/>
  <c r="AI31" i="5"/>
  <c r="AJ31" i="5"/>
  <c r="AC31" i="6"/>
  <c r="M32" i="6"/>
  <c r="AG22" i="6"/>
  <c r="AY22" i="5"/>
  <c r="AG47" i="6"/>
  <c r="AO44" i="6"/>
  <c r="F46" i="6"/>
  <c r="X46" i="5"/>
  <c r="AY46" i="5" s="1"/>
  <c r="O23" i="6"/>
  <c r="AL56" i="6"/>
  <c r="AS56" i="5"/>
  <c r="AU56" i="5"/>
  <c r="AR56" i="5"/>
  <c r="AC28" i="6"/>
  <c r="AI28" i="5"/>
  <c r="AJ28" i="5"/>
  <c r="AI44" i="5"/>
  <c r="AJ44" i="5"/>
  <c r="AC44" i="6"/>
  <c r="W27" i="5"/>
  <c r="AX27" i="5" s="1"/>
  <c r="E27" i="6"/>
  <c r="W27" i="6" s="1"/>
  <c r="AN40" i="6"/>
  <c r="P19" i="6"/>
  <c r="AH47" i="6"/>
  <c r="AE23" i="6"/>
  <c r="AE53" i="6"/>
  <c r="L48" i="6"/>
  <c r="AN16" i="6"/>
  <c r="AW16" i="6" s="1"/>
  <c r="E30" i="6"/>
  <c r="W30" i="5"/>
  <c r="AX30" i="5" s="1"/>
  <c r="AE54" i="6"/>
  <c r="L12" i="6"/>
  <c r="F43" i="6"/>
  <c r="X43" i="5"/>
  <c r="AY43" i="5" s="1"/>
  <c r="G24" i="6"/>
  <c r="Y24" i="6" s="1"/>
  <c r="Y24" i="5"/>
  <c r="AZ24" i="5" s="1"/>
  <c r="AF18" i="6"/>
  <c r="AO25" i="6"/>
  <c r="L39" i="6"/>
  <c r="O34" i="6"/>
  <c r="F10" i="6"/>
  <c r="X10" i="5"/>
  <c r="AY10" i="5" s="1"/>
  <c r="F9" i="5"/>
  <c r="X38" i="5"/>
  <c r="AY38" i="5" s="1"/>
  <c r="F38" i="6"/>
  <c r="X38" i="6" s="1"/>
  <c r="AC34" i="6"/>
  <c r="AI34" i="5"/>
  <c r="AJ34" i="5"/>
  <c r="P50" i="6"/>
  <c r="P49" i="5"/>
  <c r="AQ15" i="6"/>
  <c r="AM30" i="6"/>
  <c r="Y40" i="5"/>
  <c r="AZ40" i="5" s="1"/>
  <c r="G40" i="6"/>
  <c r="Y40" i="6" s="1"/>
  <c r="AZ40" i="6" s="1"/>
  <c r="AN45" i="6"/>
  <c r="AW45" i="5"/>
  <c r="AC11" i="6"/>
  <c r="AI11" i="5"/>
  <c r="AJ11" i="5"/>
  <c r="AC9" i="5"/>
  <c r="M42" i="6"/>
  <c r="AO29" i="6"/>
  <c r="L15" i="6"/>
  <c r="AN17" i="6"/>
  <c r="C30" i="6"/>
  <c r="U30" i="5"/>
  <c r="AV30" i="5" s="1"/>
  <c r="AM32" i="6"/>
  <c r="AQ44" i="6"/>
  <c r="AE45" i="6"/>
  <c r="F13" i="6"/>
  <c r="X13" i="5"/>
  <c r="AY13" i="5" s="1"/>
  <c r="BA13" i="5" s="1"/>
  <c r="AO32" i="6"/>
  <c r="AO20" i="6"/>
  <c r="Y23" i="5"/>
  <c r="AZ23" i="5" s="1"/>
  <c r="G23" i="6"/>
  <c r="Y23" i="6" s="1"/>
  <c r="AQ33" i="6"/>
  <c r="P42" i="6"/>
  <c r="Y42" i="6" s="1"/>
  <c r="AZ42" i="6" s="1"/>
  <c r="AH12" i="6"/>
  <c r="AF17" i="6"/>
  <c r="AG15" i="6"/>
  <c r="AG16" i="6"/>
  <c r="AH45" i="6"/>
  <c r="AN24" i="6"/>
  <c r="AS24" i="6" s="1"/>
  <c r="AO12" i="6"/>
  <c r="O43" i="6"/>
  <c r="W39" i="5"/>
  <c r="AX39" i="5" s="1"/>
  <c r="E39" i="6"/>
  <c r="W39" i="6" s="1"/>
  <c r="AX39" i="6" s="1"/>
  <c r="F53" i="6"/>
  <c r="X53" i="5"/>
  <c r="AY53" i="5" s="1"/>
  <c r="M50" i="6"/>
  <c r="M49" i="5"/>
  <c r="AE46" i="6"/>
  <c r="AH33" i="6"/>
  <c r="M15" i="6"/>
  <c r="V15" i="6" s="1"/>
  <c r="AW15" i="6" s="1"/>
  <c r="O30" i="6"/>
  <c r="M34" i="6"/>
  <c r="AQ39" i="6"/>
  <c r="AD44" i="6"/>
  <c r="E16" i="6"/>
  <c r="W16" i="6" s="1"/>
  <c r="W16" i="5"/>
  <c r="AX16" i="5" s="1"/>
  <c r="AJ35" i="5"/>
  <c r="AI35" i="5"/>
  <c r="AC35" i="6"/>
  <c r="O48" i="6"/>
  <c r="AF52" i="6"/>
  <c r="P20" i="6"/>
  <c r="Y20" i="6" s="1"/>
  <c r="L29" i="6"/>
  <c r="R50" i="5"/>
  <c r="K49" i="5"/>
  <c r="K50" i="6"/>
  <c r="Q50" i="5"/>
  <c r="U32" i="5"/>
  <c r="AV32" i="5" s="1"/>
  <c r="C32" i="6"/>
  <c r="C25" i="6"/>
  <c r="U25" i="6" s="1"/>
  <c r="U25" i="5"/>
  <c r="AV25" i="5" s="1"/>
  <c r="AM55" i="6"/>
  <c r="O46" i="6"/>
  <c r="N11" i="6"/>
  <c r="AX37" i="5"/>
  <c r="AO37" i="6"/>
  <c r="AE30" i="6"/>
  <c r="AG14" i="6"/>
  <c r="AM41" i="6"/>
  <c r="U54" i="5"/>
  <c r="AV54" i="5" s="1"/>
  <c r="C54" i="6"/>
  <c r="Y33" i="5"/>
  <c r="AZ33" i="5" s="1"/>
  <c r="G33" i="6"/>
  <c r="AN44" i="6"/>
  <c r="N40" i="6"/>
  <c r="AQ11" i="6"/>
  <c r="AQ9" i="5"/>
  <c r="AQ8" i="5" s="1"/>
  <c r="AD20" i="6"/>
  <c r="O24" i="6"/>
  <c r="P52" i="6"/>
  <c r="W15" i="5"/>
  <c r="AX15" i="5" s="1"/>
  <c r="E15" i="6"/>
  <c r="AE33" i="6"/>
  <c r="AD13" i="6"/>
  <c r="P17" i="6"/>
  <c r="AM34" i="6"/>
  <c r="L38" i="6"/>
  <c r="U38" i="6" s="1"/>
  <c r="AV38" i="6" s="1"/>
  <c r="AJ56" i="5"/>
  <c r="AI56" i="5"/>
  <c r="AC56" i="6"/>
  <c r="AJ56" i="6" s="1"/>
  <c r="N20" i="6"/>
  <c r="AI13" i="5"/>
  <c r="AC13" i="6"/>
  <c r="AJ13" i="5"/>
  <c r="AC39" i="6"/>
  <c r="AJ39" i="5"/>
  <c r="AI39" i="5"/>
  <c r="AL14" i="6"/>
  <c r="AR14" i="5"/>
  <c r="AS14" i="5"/>
  <c r="AO54" i="6"/>
  <c r="AH55" i="6"/>
  <c r="AG51" i="6"/>
  <c r="AF54" i="6"/>
  <c r="AF35" i="6"/>
  <c r="K16" i="6"/>
  <c r="R16" i="5"/>
  <c r="Q16" i="5"/>
  <c r="P46" i="6"/>
  <c r="Y46" i="6" s="1"/>
  <c r="AZ46" i="6" s="1"/>
  <c r="R20" i="5"/>
  <c r="Q20" i="5"/>
  <c r="K20" i="6"/>
  <c r="Q20" i="6" s="1"/>
  <c r="AQ20" i="6"/>
  <c r="AZ20" i="6" s="1"/>
  <c r="M39" i="6"/>
  <c r="AH30" i="6"/>
  <c r="AI48" i="5"/>
  <c r="AJ48" i="5"/>
  <c r="AC48" i="6"/>
  <c r="AR47" i="5"/>
  <c r="AS47" i="5"/>
  <c r="AL47" i="6"/>
  <c r="AU47" i="5"/>
  <c r="W51" i="5"/>
  <c r="AX51" i="5" s="1"/>
  <c r="E51" i="6"/>
  <c r="W51" i="6" s="1"/>
  <c r="X32" i="5"/>
  <c r="AY32" i="5" s="1"/>
  <c r="F32" i="6"/>
  <c r="X32" i="6" s="1"/>
  <c r="AY32" i="6" s="1"/>
  <c r="AF50" i="6"/>
  <c r="AF49" i="5"/>
  <c r="P54" i="6"/>
  <c r="M25" i="6"/>
  <c r="V25" i="6" s="1"/>
  <c r="K23" i="6"/>
  <c r="Q23" i="5"/>
  <c r="R23" i="5"/>
  <c r="L41" i="6"/>
  <c r="R42" i="5"/>
  <c r="Q42" i="5"/>
  <c r="K42" i="6"/>
  <c r="AH16" i="6"/>
  <c r="AG42" i="6"/>
  <c r="E49" i="5"/>
  <c r="W50" i="5"/>
  <c r="AX50" i="5" s="1"/>
  <c r="E50" i="6"/>
  <c r="O9" i="5"/>
  <c r="O8" i="5" s="1"/>
  <c r="O10" i="6"/>
  <c r="W45" i="5"/>
  <c r="AX45" i="5" s="1"/>
  <c r="E45" i="6"/>
  <c r="W45" i="6" s="1"/>
  <c r="AX45" i="6" s="1"/>
  <c r="AQ28" i="6"/>
  <c r="F39" i="6"/>
  <c r="X39" i="6" s="1"/>
  <c r="X39" i="5"/>
  <c r="AY39" i="5" s="1"/>
  <c r="K47" i="6"/>
  <c r="Q47" i="5"/>
  <c r="R47" i="5"/>
  <c r="AG31" i="6"/>
  <c r="AY31" i="6" s="1"/>
  <c r="M37" i="6"/>
  <c r="AM47" i="6"/>
  <c r="AG53" i="6"/>
  <c r="AL55" i="6"/>
  <c r="AS55" i="5"/>
  <c r="AR55" i="5"/>
  <c r="AU55" i="5"/>
  <c r="N35" i="6"/>
  <c r="W35" i="6" s="1"/>
  <c r="AX35" i="6" s="1"/>
  <c r="N26" i="6"/>
  <c r="Y10" i="5"/>
  <c r="AZ10" i="5" s="1"/>
  <c r="G10" i="6"/>
  <c r="Y10" i="6" s="1"/>
  <c r="AZ10" i="6" s="1"/>
  <c r="G9" i="5"/>
  <c r="G8" i="5" s="1"/>
  <c r="D53" i="6"/>
  <c r="V53" i="5"/>
  <c r="AW53" i="5" s="1"/>
  <c r="AE42" i="6"/>
  <c r="P21" i="6"/>
  <c r="F28" i="6"/>
  <c r="X28" i="5"/>
  <c r="AY28" i="5" s="1"/>
  <c r="N50" i="6"/>
  <c r="N49" i="5"/>
  <c r="N8" i="5" s="1"/>
  <c r="N46" i="6"/>
  <c r="U55" i="5"/>
  <c r="AV55" i="5" s="1"/>
  <c r="C55" i="6"/>
  <c r="U55" i="6" s="1"/>
  <c r="AJ12" i="5"/>
  <c r="AC12" i="6"/>
  <c r="AI12" i="5"/>
  <c r="O15" i="6"/>
  <c r="K37" i="6"/>
  <c r="R37" i="5"/>
  <c r="Q37" i="5"/>
  <c r="O13" i="6"/>
  <c r="AN47" i="6"/>
  <c r="AO46" i="6"/>
  <c r="AG49" i="5"/>
  <c r="AG50" i="6"/>
  <c r="F15" i="6"/>
  <c r="X15" i="5"/>
  <c r="AY15" i="5" s="1"/>
  <c r="AD19" i="6"/>
  <c r="AF9" i="5"/>
  <c r="AF11" i="6"/>
  <c r="AM40" i="6"/>
  <c r="AL27" i="6"/>
  <c r="AR27" i="5"/>
  <c r="AS27" i="5"/>
  <c r="AU27" i="5"/>
  <c r="AM43" i="6"/>
  <c r="AS43" i="6" s="1"/>
  <c r="AR51" i="5"/>
  <c r="AL51" i="6"/>
  <c r="AS51" i="5"/>
  <c r="AR53" i="5"/>
  <c r="AS53" i="5"/>
  <c r="AL53" i="6"/>
  <c r="L21" i="6"/>
  <c r="C34" i="6"/>
  <c r="U34" i="5"/>
  <c r="AV34" i="5" s="1"/>
  <c r="AF29" i="6"/>
  <c r="AG12" i="6"/>
  <c r="X25" i="5"/>
  <c r="AY25" i="5" s="1"/>
  <c r="F25" i="6"/>
  <c r="X25" i="6" s="1"/>
  <c r="AY25" i="6" s="1"/>
  <c r="AM48" i="6"/>
  <c r="AE21" i="6"/>
  <c r="AS12" i="5"/>
  <c r="AR12" i="5"/>
  <c r="AL12" i="6"/>
  <c r="AR12" i="6" s="1"/>
  <c r="AU12" i="5"/>
  <c r="AF23" i="6"/>
  <c r="AM14" i="6"/>
  <c r="W31" i="5"/>
  <c r="AX31" i="5" s="1"/>
  <c r="E31" i="6"/>
  <c r="I31" i="6" s="1"/>
  <c r="AQ14" i="6"/>
  <c r="AO34" i="6"/>
  <c r="AF24" i="6"/>
  <c r="AO50" i="6"/>
  <c r="AO49" i="5"/>
  <c r="AS49" i="5" s="1"/>
  <c r="AD26" i="6"/>
  <c r="V34" i="5"/>
  <c r="AW34" i="5" s="1"/>
  <c r="D34" i="6"/>
  <c r="N34" i="6"/>
  <c r="P13" i="6"/>
  <c r="Y13" i="6" s="1"/>
  <c r="AH35" i="6"/>
  <c r="D36" i="6"/>
  <c r="V36" i="5"/>
  <c r="AW36" i="5" s="1"/>
  <c r="AG10" i="6"/>
  <c r="AJ10" i="5"/>
  <c r="AG9" i="5"/>
  <c r="AG8" i="5" s="1"/>
  <c r="AI10" i="5"/>
  <c r="O28" i="6"/>
  <c r="M38" i="6"/>
  <c r="V38" i="6" s="1"/>
  <c r="AW38" i="6" s="1"/>
  <c r="AD41" i="6"/>
  <c r="AJ30" i="5"/>
  <c r="AI30" i="5"/>
  <c r="AC30" i="6"/>
  <c r="AI30" i="6" s="1"/>
  <c r="AG36" i="6"/>
  <c r="G51" i="6"/>
  <c r="Y51" i="6" s="1"/>
  <c r="Y51" i="5"/>
  <c r="AZ51" i="5" s="1"/>
  <c r="M43" i="6"/>
  <c r="AE31" i="6"/>
  <c r="P43" i="6"/>
  <c r="Y43" i="6" s="1"/>
  <c r="AZ43" i="6" s="1"/>
  <c r="AD24" i="6"/>
  <c r="AS26" i="5"/>
  <c r="AL26" i="6"/>
  <c r="AU26" i="5"/>
  <c r="AR26" i="5"/>
  <c r="AC15" i="6"/>
  <c r="AJ15" i="5"/>
  <c r="AI15" i="5"/>
  <c r="AG44" i="6"/>
  <c r="P25" i="6"/>
  <c r="AN52" i="6"/>
  <c r="R51" i="5"/>
  <c r="Q51" i="5"/>
  <c r="K51" i="6"/>
  <c r="Q51" i="6" s="1"/>
  <c r="C12" i="6"/>
  <c r="U12" i="6" s="1"/>
  <c r="AV12" i="6" s="1"/>
  <c r="U12" i="5"/>
  <c r="AV12" i="5" s="1"/>
  <c r="AD22" i="6"/>
  <c r="AR25" i="5"/>
  <c r="AS25" i="5"/>
  <c r="AU25" i="5"/>
  <c r="AL25" i="6"/>
  <c r="AI43" i="5"/>
  <c r="AC43" i="6"/>
  <c r="AJ43" i="5"/>
  <c r="F20" i="6"/>
  <c r="X20" i="5"/>
  <c r="AY20" i="5" s="1"/>
  <c r="U42" i="5"/>
  <c r="AV42" i="5" s="1"/>
  <c r="C42" i="6"/>
  <c r="U42" i="6" s="1"/>
  <c r="AR19" i="5"/>
  <c r="AS19" i="5"/>
  <c r="AL19" i="6"/>
  <c r="AR19" i="6" s="1"/>
  <c r="P27" i="6"/>
  <c r="C21" i="6"/>
  <c r="U21" i="5"/>
  <c r="AV21" i="5" s="1"/>
  <c r="D47" i="6"/>
  <c r="V47" i="5"/>
  <c r="AW47" i="5" s="1"/>
  <c r="N38" i="6"/>
  <c r="N25" i="6"/>
  <c r="W25" i="6" s="1"/>
  <c r="AQ17" i="6"/>
  <c r="AS17" i="6" s="1"/>
  <c r="AG26" i="6"/>
  <c r="AJ26" i="6" s="1"/>
  <c r="Y18" i="5"/>
  <c r="AZ18" i="5" s="1"/>
  <c r="G18" i="6"/>
  <c r="Y18" i="6" s="1"/>
  <c r="F48" i="6"/>
  <c r="X48" i="6" s="1"/>
  <c r="AY48" i="6" s="1"/>
  <c r="X48" i="5"/>
  <c r="AY48" i="5" s="1"/>
  <c r="AO19" i="6"/>
  <c r="G54" i="6"/>
  <c r="Y54" i="5"/>
  <c r="AZ54" i="5" s="1"/>
  <c r="AF51" i="6"/>
  <c r="V52" i="5"/>
  <c r="AW52" i="5" s="1"/>
  <c r="D52" i="6"/>
  <c r="V52" i="6" s="1"/>
  <c r="AQ18" i="6"/>
  <c r="AF44" i="6"/>
  <c r="AN25" i="6"/>
  <c r="O35" i="6"/>
  <c r="AN54" i="6"/>
  <c r="O54" i="6"/>
  <c r="E46" i="6"/>
  <c r="W46" i="6" s="1"/>
  <c r="W46" i="5"/>
  <c r="AX46" i="5" s="1"/>
  <c r="AH21" i="6"/>
  <c r="AQ23" i="6"/>
  <c r="AE35" i="6"/>
  <c r="E17" i="6"/>
  <c r="W17" i="6" s="1"/>
  <c r="AX17" i="6" s="1"/>
  <c r="W17" i="5"/>
  <c r="AX17" i="5" s="1"/>
  <c r="H15" i="6"/>
  <c r="AU34" i="5"/>
  <c r="Z34" i="5"/>
  <c r="AU16" i="5"/>
  <c r="BB16" i="5" s="1"/>
  <c r="AA16" i="5"/>
  <c r="AW43" i="5"/>
  <c r="AA43" i="5"/>
  <c r="AS23" i="6"/>
  <c r="AV52" i="5"/>
  <c r="AA52" i="5"/>
  <c r="Q15" i="6"/>
  <c r="AL9" i="6"/>
  <c r="I24" i="6"/>
  <c r="Y44" i="6"/>
  <c r="AZ44" i="6" s="1"/>
  <c r="L9" i="6"/>
  <c r="Z51" i="5"/>
  <c r="T36" i="6"/>
  <c r="AU36" i="6" s="1"/>
  <c r="AJ15" i="6"/>
  <c r="X19" i="6"/>
  <c r="AY19" i="6" s="1"/>
  <c r="AJ43" i="6"/>
  <c r="AJ55" i="6"/>
  <c r="AX55" i="6"/>
  <c r="R41" i="6"/>
  <c r="AI46" i="6"/>
  <c r="E9" i="6"/>
  <c r="V22" i="6"/>
  <c r="AW22" i="6" s="1"/>
  <c r="Y26" i="6"/>
  <c r="AZ26" i="6" s="1"/>
  <c r="H26" i="6"/>
  <c r="H21" i="6"/>
  <c r="H49" i="5"/>
  <c r="U49" i="5"/>
  <c r="AV49" i="5" s="1"/>
  <c r="I30" i="6"/>
  <c r="T30" i="6"/>
  <c r="AU30" i="6" s="1"/>
  <c r="R14" i="6"/>
  <c r="V12" i="6"/>
  <c r="AW12" i="6" s="1"/>
  <c r="R12" i="6"/>
  <c r="H11" i="6"/>
  <c r="AI37" i="6"/>
  <c r="H23" i="6"/>
  <c r="H50" i="6"/>
  <c r="T51" i="6"/>
  <c r="AU51" i="6" s="1"/>
  <c r="AA33" i="5"/>
  <c r="H54" i="6"/>
  <c r="AI38" i="6"/>
  <c r="AZ24" i="6"/>
  <c r="I23" i="6"/>
  <c r="AA53" i="5"/>
  <c r="M8" i="5"/>
  <c r="AA30" i="5"/>
  <c r="Z38" i="5"/>
  <c r="I20" i="6"/>
  <c r="AS55" i="6"/>
  <c r="AU39" i="5"/>
  <c r="BA39" i="5" s="1"/>
  <c r="AV25" i="6"/>
  <c r="AJ30" i="6"/>
  <c r="AU51" i="5"/>
  <c r="Z13" i="5"/>
  <c r="AR48" i="6"/>
  <c r="Q14" i="6"/>
  <c r="H28" i="6"/>
  <c r="AD49" i="6"/>
  <c r="I41" i="6"/>
  <c r="AR43" i="6"/>
  <c r="Q45" i="6"/>
  <c r="V26" i="6"/>
  <c r="AW27" i="5"/>
  <c r="Z27" i="5"/>
  <c r="H35" i="6"/>
  <c r="U35" i="6"/>
  <c r="AV35" i="6" s="1"/>
  <c r="Z33" i="5"/>
  <c r="H39" i="6"/>
  <c r="R51" i="6"/>
  <c r="H36" i="6"/>
  <c r="AS52" i="6"/>
  <c r="Z30" i="5"/>
  <c r="AA38" i="5"/>
  <c r="AA17" i="5"/>
  <c r="K8" i="5"/>
  <c r="AA34" i="5"/>
  <c r="T15" i="6"/>
  <c r="AI39" i="6"/>
  <c r="AI26" i="6"/>
  <c r="AI41" i="6"/>
  <c r="T24" i="6"/>
  <c r="P9" i="6"/>
  <c r="BA33" i="5"/>
  <c r="R16" i="6"/>
  <c r="H41" i="6"/>
  <c r="Z31" i="5"/>
  <c r="AY38" i="6"/>
  <c r="AI33" i="6"/>
  <c r="AI45" i="6"/>
  <c r="AJ45" i="6"/>
  <c r="AS14" i="6"/>
  <c r="T41" i="6"/>
  <c r="AU41" i="6" s="1"/>
  <c r="Q41" i="6"/>
  <c r="V35" i="6"/>
  <c r="AA47" i="5"/>
  <c r="Z47" i="5"/>
  <c r="AX51" i="6"/>
  <c r="M49" i="6"/>
  <c r="I36" i="6"/>
  <c r="I22" i="6"/>
  <c r="Z17" i="5"/>
  <c r="AS31" i="6"/>
  <c r="AS9" i="5"/>
  <c r="I15" i="6"/>
  <c r="Z20" i="5"/>
  <c r="AI15" i="6"/>
  <c r="R53" i="6"/>
  <c r="U54" i="6"/>
  <c r="AA10" i="5"/>
  <c r="R46" i="6"/>
  <c r="H46" i="6"/>
  <c r="AJ13" i="6"/>
  <c r="AS33" i="6"/>
  <c r="AS15" i="6"/>
  <c r="AR25" i="6"/>
  <c r="AZ18" i="6"/>
  <c r="AS21" i="6"/>
  <c r="Y52" i="6"/>
  <c r="AZ52" i="6" s="1"/>
  <c r="G49" i="6"/>
  <c r="AO9" i="6"/>
  <c r="AR44" i="6"/>
  <c r="Y33" i="6"/>
  <c r="AI54" i="6"/>
  <c r="W38" i="6"/>
  <c r="AX38" i="6" s="1"/>
  <c r="AI14" i="6"/>
  <c r="AG9" i="6"/>
  <c r="AJ17" i="6"/>
  <c r="AS42" i="6"/>
  <c r="AR55" i="6"/>
  <c r="I25" i="6"/>
  <c r="AY36" i="6"/>
  <c r="U32" i="6"/>
  <c r="AV32" i="6" s="1"/>
  <c r="R50" i="6"/>
  <c r="Q29" i="6"/>
  <c r="AS53" i="6"/>
  <c r="AW31" i="6"/>
  <c r="AX53" i="6"/>
  <c r="AZ33" i="6"/>
  <c r="I42" i="6"/>
  <c r="AI9" i="5"/>
  <c r="AZ35" i="6"/>
  <c r="AZ13" i="6"/>
  <c r="AQ49" i="6"/>
  <c r="R24" i="6"/>
  <c r="V34" i="6"/>
  <c r="AW34" i="6" s="1"/>
  <c r="M9" i="6"/>
  <c r="X11" i="6"/>
  <c r="AY11" i="6" s="1"/>
  <c r="AS20" i="6"/>
  <c r="X13" i="6"/>
  <c r="AY13" i="6" s="1"/>
  <c r="AJ19" i="6"/>
  <c r="AJ21" i="6"/>
  <c r="X37" i="6"/>
  <c r="AY37" i="6" s="1"/>
  <c r="AR26" i="6"/>
  <c r="U34" i="6"/>
  <c r="AV34" i="6" s="1"/>
  <c r="U21" i="6"/>
  <c r="AV21" i="6" s="1"/>
  <c r="AS30" i="6"/>
  <c r="Q11" i="6"/>
  <c r="AJ34" i="6"/>
  <c r="AJ51" i="6"/>
  <c r="AC8" i="5"/>
  <c r="C9" i="6"/>
  <c r="U9" i="6" s="1"/>
  <c r="Q39" i="6"/>
  <c r="AZ28" i="6"/>
  <c r="AX18" i="6"/>
  <c r="Q37" i="6"/>
  <c r="G9" i="6"/>
  <c r="W30" i="6"/>
  <c r="AX30" i="6" s="1"/>
  <c r="U48" i="6"/>
  <c r="AV48" i="6" s="1"/>
  <c r="AJ40" i="6"/>
  <c r="V53" i="6"/>
  <c r="AW53" i="6" s="1"/>
  <c r="R19" i="6"/>
  <c r="AJ18" i="6"/>
  <c r="AU28" i="6"/>
  <c r="R15" i="6"/>
  <c r="U47" i="6"/>
  <c r="AV47" i="6" s="1"/>
  <c r="R18" i="6"/>
  <c r="H34" i="6"/>
  <c r="R47" i="6"/>
  <c r="AI52" i="6"/>
  <c r="AR39" i="6"/>
  <c r="Q10" i="6"/>
  <c r="AR38" i="6"/>
  <c r="AS27" i="6"/>
  <c r="R23" i="6"/>
  <c r="H29" i="6"/>
  <c r="Z14" i="5"/>
  <c r="X26" i="6"/>
  <c r="AY26" i="6" s="1"/>
  <c r="AF49" i="6"/>
  <c r="R32" i="6"/>
  <c r="R31" i="6"/>
  <c r="AR45" i="6"/>
  <c r="AJ22" i="6"/>
  <c r="I54" i="6"/>
  <c r="Y25" i="6"/>
  <c r="AZ25" i="6" s="1"/>
  <c r="Q16" i="6"/>
  <c r="AZ48" i="6"/>
  <c r="AR34" i="6"/>
  <c r="AG49" i="6"/>
  <c r="AG8" i="6" s="1"/>
  <c r="Y22" i="6"/>
  <c r="AZ22" i="6" s="1"/>
  <c r="X30" i="6"/>
  <c r="AY30" i="6" s="1"/>
  <c r="U46" i="6"/>
  <c r="AV46" i="6" s="1"/>
  <c r="AW33" i="6"/>
  <c r="AJ54" i="6"/>
  <c r="AY29" i="6"/>
  <c r="AV55" i="6"/>
  <c r="AW55" i="6"/>
  <c r="AS48" i="6"/>
  <c r="R20" i="6"/>
  <c r="Q32" i="6"/>
  <c r="AI27" i="6"/>
  <c r="AX25" i="6"/>
  <c r="I28" i="6"/>
  <c r="X20" i="6"/>
  <c r="AY20" i="6" s="1"/>
  <c r="R45" i="6"/>
  <c r="AO8" i="5"/>
  <c r="X53" i="6"/>
  <c r="AY53" i="6" s="1"/>
  <c r="AS12" i="6"/>
  <c r="Y9" i="5"/>
  <c r="AZ9" i="5" s="1"/>
  <c r="AI50" i="6"/>
  <c r="V43" i="6"/>
  <c r="AW43" i="6" s="1"/>
  <c r="AI25" i="6"/>
  <c r="AI56" i="6"/>
  <c r="T31" i="6"/>
  <c r="BB37" i="5"/>
  <c r="AI24" i="6"/>
  <c r="I44" i="6"/>
  <c r="AN49" i="6"/>
  <c r="R13" i="6"/>
  <c r="AJ33" i="6"/>
  <c r="V51" i="6"/>
  <c r="AW51" i="6" s="1"/>
  <c r="H53" i="6"/>
  <c r="R36" i="6"/>
  <c r="T47" i="6"/>
  <c r="AV42" i="6"/>
  <c r="V17" i="6"/>
  <c r="AW17" i="6" s="1"/>
  <c r="X47" i="6"/>
  <c r="AY47" i="6" s="1"/>
  <c r="AJ42" i="6"/>
  <c r="U24" i="6"/>
  <c r="AV24" i="6" s="1"/>
  <c r="AX9" i="5"/>
  <c r="R44" i="6"/>
  <c r="AR18" i="6"/>
  <c r="U43" i="6"/>
  <c r="AV43" i="6" s="1"/>
  <c r="Q53" i="6"/>
  <c r="H52" i="6"/>
  <c r="Q40" i="6"/>
  <c r="BB13" i="5"/>
  <c r="AR24" i="6"/>
  <c r="AD9" i="6"/>
  <c r="AS32" i="6"/>
  <c r="R56" i="6"/>
  <c r="AQ9" i="6"/>
  <c r="W31" i="6"/>
  <c r="AX31" i="6" s="1"/>
  <c r="I50" i="6"/>
  <c r="AR37" i="6"/>
  <c r="W23" i="6"/>
  <c r="AX23" i="6" s="1"/>
  <c r="H17" i="6"/>
  <c r="T37" i="6"/>
  <c r="AS36" i="6"/>
  <c r="Y56" i="6"/>
  <c r="AZ56" i="6" s="1"/>
  <c r="Q28" i="6"/>
  <c r="V40" i="6"/>
  <c r="AW40" i="6" s="1"/>
  <c r="AM9" i="6"/>
  <c r="AS22" i="6"/>
  <c r="V37" i="6"/>
  <c r="AW37" i="6" s="1"/>
  <c r="Q26" i="6"/>
  <c r="Q27" i="6"/>
  <c r="Q49" i="5"/>
  <c r="AX43" i="6"/>
  <c r="X34" i="6"/>
  <c r="AY34" i="6" s="1"/>
  <c r="AM49" i="6"/>
  <c r="AS19" i="6"/>
  <c r="AI36" i="6"/>
  <c r="I48" i="6"/>
  <c r="H27" i="6"/>
  <c r="AZ37" i="6"/>
  <c r="Q22" i="6"/>
  <c r="C8" i="5"/>
  <c r="AA44" i="5"/>
  <c r="AI23" i="6"/>
  <c r="T40" i="6"/>
  <c r="AU40" i="6" s="1"/>
  <c r="X40" i="6"/>
  <c r="AY40" i="6" s="1"/>
  <c r="H18" i="6"/>
  <c r="Q52" i="6"/>
  <c r="W42" i="6"/>
  <c r="AX42" i="6" s="1"/>
  <c r="Q12" i="6"/>
  <c r="T43" i="6"/>
  <c r="Q54" i="6"/>
  <c r="BB17" i="5"/>
  <c r="U16" i="6"/>
  <c r="AV16" i="6" s="1"/>
  <c r="T55" i="6"/>
  <c r="I45" i="6"/>
  <c r="AE9" i="6"/>
  <c r="R17" i="6"/>
  <c r="R30" i="6"/>
  <c r="X42" i="6"/>
  <c r="AY42" i="6" s="1"/>
  <c r="AR56" i="6"/>
  <c r="U51" i="6"/>
  <c r="U31" i="6"/>
  <c r="AV31" i="6" s="1"/>
  <c r="L8" i="5"/>
  <c r="I49" i="5"/>
  <c r="AS40" i="6"/>
  <c r="AA18" i="5"/>
  <c r="AI17" i="6"/>
  <c r="U29" i="6"/>
  <c r="AV29" i="6" s="1"/>
  <c r="Z40" i="5"/>
  <c r="H44" i="6"/>
  <c r="I52" i="6"/>
  <c r="Q31" i="6"/>
  <c r="Y54" i="6"/>
  <c r="AZ54" i="6" s="1"/>
  <c r="I29" i="6"/>
  <c r="T54" i="6"/>
  <c r="AX19" i="6"/>
  <c r="BA41" i="5"/>
  <c r="H31" i="6"/>
  <c r="Q47" i="6"/>
  <c r="Z35" i="5"/>
  <c r="I34" i="6"/>
  <c r="N49" i="6"/>
  <c r="T16" i="6"/>
  <c r="AU16" i="6" s="1"/>
  <c r="R43" i="6"/>
  <c r="Q36" i="6"/>
  <c r="AI49" i="5"/>
  <c r="AI34" i="6"/>
  <c r="Z42" i="5"/>
  <c r="AR53" i="6"/>
  <c r="AJ35" i="6"/>
  <c r="X46" i="6"/>
  <c r="AY46" i="6" s="1"/>
  <c r="Z37" i="5"/>
  <c r="I17" i="6"/>
  <c r="AI43" i="6"/>
  <c r="T22" i="6"/>
  <c r="AC49" i="6"/>
  <c r="H42" i="6"/>
  <c r="U13" i="6"/>
  <c r="AV13" i="6" s="1"/>
  <c r="AA55" i="5"/>
  <c r="I56" i="6"/>
  <c r="I32" i="6"/>
  <c r="AA28" i="5"/>
  <c r="AA19" i="5"/>
  <c r="R42" i="6"/>
  <c r="U44" i="6"/>
  <c r="AV44" i="6" s="1"/>
  <c r="Q9" i="5"/>
  <c r="AJ52" i="6"/>
  <c r="Z11" i="5"/>
  <c r="I21" i="6"/>
  <c r="AH9" i="6"/>
  <c r="Z22" i="5"/>
  <c r="AJ28" i="6"/>
  <c r="AR27" i="6"/>
  <c r="T11" i="6"/>
  <c r="AI11" i="6"/>
  <c r="E8" i="5"/>
  <c r="H9" i="5"/>
  <c r="H13" i="6"/>
  <c r="H30" i="6"/>
  <c r="Z52" i="5"/>
  <c r="AS37" i="6"/>
  <c r="AA20" i="5"/>
  <c r="Z25" i="5"/>
  <c r="AJ36" i="6"/>
  <c r="R49" i="5"/>
  <c r="AI12" i="6"/>
  <c r="Z15" i="5"/>
  <c r="BB12" i="5"/>
  <c r="AA41" i="5"/>
  <c r="Z23" i="5"/>
  <c r="H10" i="6"/>
  <c r="I18" i="6"/>
  <c r="U56" i="6"/>
  <c r="AV56" i="6" s="1"/>
  <c r="R55" i="6"/>
  <c r="I40" i="6"/>
  <c r="I46" i="6"/>
  <c r="W54" i="6"/>
  <c r="AX54" i="6" s="1"/>
  <c r="AI21" i="6"/>
  <c r="F49" i="6"/>
  <c r="H45" i="6"/>
  <c r="I14" i="6"/>
  <c r="AR35" i="6"/>
  <c r="AR23" i="6"/>
  <c r="R34" i="6"/>
  <c r="AA27" i="5"/>
  <c r="Q44" i="6"/>
  <c r="I12" i="6"/>
  <c r="Z26" i="5"/>
  <c r="AA14" i="5"/>
  <c r="E49" i="6"/>
  <c r="W49" i="6" s="1"/>
  <c r="BB31" i="5"/>
  <c r="AS51" i="6"/>
  <c r="AZ15" i="6"/>
  <c r="V45" i="6"/>
  <c r="AW45" i="6" s="1"/>
  <c r="AW25" i="6"/>
  <c r="AZ36" i="6"/>
  <c r="U14" i="6"/>
  <c r="AV14" i="6" s="1"/>
  <c r="AW48" i="6"/>
  <c r="Y16" i="6"/>
  <c r="AZ16" i="6" s="1"/>
  <c r="V49" i="5"/>
  <c r="AW49" i="5" s="1"/>
  <c r="X21" i="6"/>
  <c r="AY21" i="6" s="1"/>
  <c r="X14" i="6"/>
  <c r="AY14" i="6" s="1"/>
  <c r="AU44" i="5"/>
  <c r="Y11" i="6"/>
  <c r="AZ11" i="6" s="1"/>
  <c r="AR30" i="6"/>
  <c r="Z24" i="5"/>
  <c r="T29" i="6"/>
  <c r="K9" i="6"/>
  <c r="K8" i="6" s="1"/>
  <c r="K49" i="6"/>
  <c r="U52" i="6"/>
  <c r="AV52" i="6" s="1"/>
  <c r="AR42" i="6"/>
  <c r="I16" i="6"/>
  <c r="Q43" i="6"/>
  <c r="AA42" i="5"/>
  <c r="AY17" i="6"/>
  <c r="AW26" i="6"/>
  <c r="AU14" i="5"/>
  <c r="T23" i="6"/>
  <c r="AA37" i="5"/>
  <c r="T17" i="6"/>
  <c r="Q23" i="6"/>
  <c r="I19" i="6"/>
  <c r="F9" i="6"/>
  <c r="W11" i="6"/>
  <c r="AX11" i="6" s="1"/>
  <c r="H48" i="6"/>
  <c r="L49" i="6"/>
  <c r="L8" i="6" s="1"/>
  <c r="R35" i="6"/>
  <c r="I53" i="6"/>
  <c r="Z55" i="5"/>
  <c r="R28" i="6"/>
  <c r="AA29" i="5"/>
  <c r="Q17" i="6"/>
  <c r="Q42" i="6"/>
  <c r="AE49" i="6"/>
  <c r="AE8" i="6" s="1"/>
  <c r="R40" i="6"/>
  <c r="AW35" i="6"/>
  <c r="W15" i="6"/>
  <c r="AX15" i="6" s="1"/>
  <c r="P8" i="5"/>
  <c r="AI51" i="6"/>
  <c r="AW52" i="6"/>
  <c r="V28" i="6"/>
  <c r="AW28" i="6" s="1"/>
  <c r="Q21" i="6"/>
  <c r="AI55" i="6"/>
  <c r="B8" i="5"/>
  <c r="T8" i="5" s="1"/>
  <c r="I13" i="6"/>
  <c r="R38" i="6"/>
  <c r="BA25" i="5"/>
  <c r="AJ12" i="6"/>
  <c r="Z41" i="5"/>
  <c r="AA23" i="5"/>
  <c r="AR50" i="6"/>
  <c r="T10" i="6"/>
  <c r="AU10" i="6" s="1"/>
  <c r="H40" i="6"/>
  <c r="Q25" i="6"/>
  <c r="H47" i="6"/>
  <c r="X50" i="6"/>
  <c r="AY50" i="6" s="1"/>
  <c r="U9" i="5"/>
  <c r="AV9" i="5" s="1"/>
  <c r="H24" i="6"/>
  <c r="H14" i="6"/>
  <c r="AA54" i="5"/>
  <c r="H25" i="6"/>
  <c r="AJ24" i="6"/>
  <c r="AR32" i="6"/>
  <c r="R27" i="6"/>
  <c r="AV54" i="6"/>
  <c r="AJ44" i="6"/>
  <c r="R52" i="6"/>
  <c r="H12" i="6"/>
  <c r="AJ23" i="6"/>
  <c r="AH49" i="6"/>
  <c r="AH8" i="6" s="1"/>
  <c r="P49" i="6"/>
  <c r="Y49" i="6" s="1"/>
  <c r="AR51" i="6"/>
  <c r="AS26" i="6"/>
  <c r="AY51" i="6"/>
  <c r="AV40" i="6"/>
  <c r="AW44" i="6"/>
  <c r="AV36" i="6"/>
  <c r="Y12" i="6"/>
  <c r="AZ12" i="6" s="1"/>
  <c r="X44" i="6"/>
  <c r="AY44" i="6" s="1"/>
  <c r="V47" i="6"/>
  <c r="AW47" i="6" s="1"/>
  <c r="V36" i="6"/>
  <c r="AW36" i="6" s="1"/>
  <c r="V27" i="6"/>
  <c r="AW27" i="6" s="1"/>
  <c r="X33" i="6"/>
  <c r="AY33" i="6" s="1"/>
  <c r="Y55" i="6"/>
  <c r="AZ55" i="6" s="1"/>
  <c r="X52" i="6"/>
  <c r="AY52" i="6" s="1"/>
  <c r="Y41" i="6"/>
  <c r="AZ41" i="6" s="1"/>
  <c r="V30" i="6"/>
  <c r="AW30" i="6" s="1"/>
  <c r="AV51" i="6"/>
  <c r="W32" i="6"/>
  <c r="AX32" i="6" s="1"/>
  <c r="B49" i="6"/>
  <c r="I51" i="6"/>
  <c r="AI42" i="6"/>
  <c r="AA40" i="5"/>
  <c r="AS44" i="6"/>
  <c r="W21" i="6"/>
  <c r="AX21" i="6" s="1"/>
  <c r="I37" i="6"/>
  <c r="AA56" i="5"/>
  <c r="I39" i="6"/>
  <c r="AA48" i="5"/>
  <c r="H51" i="6"/>
  <c r="R48" i="6"/>
  <c r="Z56" i="5"/>
  <c r="Z32" i="5"/>
  <c r="AA24" i="5"/>
  <c r="N9" i="6"/>
  <c r="N8" i="6" s="1"/>
  <c r="AN9" i="6"/>
  <c r="AN8" i="6" s="1"/>
  <c r="Z21" i="5"/>
  <c r="Z16" i="5"/>
  <c r="H22" i="6"/>
  <c r="AA50" i="5"/>
  <c r="Z43" i="5"/>
  <c r="AA46" i="5"/>
  <c r="Q35" i="6"/>
  <c r="D9" i="6"/>
  <c r="V9" i="6" s="1"/>
  <c r="AW9" i="6" s="1"/>
  <c r="H33" i="6"/>
  <c r="H32" i="6"/>
  <c r="D49" i="6"/>
  <c r="V49" i="6" s="1"/>
  <c r="AW49" i="6" s="1"/>
  <c r="Z45" i="5"/>
  <c r="Z29" i="5"/>
  <c r="AS13" i="6"/>
  <c r="R21" i="6"/>
  <c r="Q38" i="6"/>
  <c r="AA12" i="5"/>
  <c r="B9" i="6"/>
  <c r="AA13" i="5"/>
  <c r="AW18" i="6"/>
  <c r="Z54" i="5"/>
  <c r="AA31" i="5"/>
  <c r="AV45" i="6"/>
  <c r="U30" i="6"/>
  <c r="AV30" i="6" s="1"/>
  <c r="W8" i="5"/>
  <c r="BA12" i="5"/>
  <c r="BA31" i="5"/>
  <c r="P8" i="6"/>
  <c r="AU24" i="6"/>
  <c r="T49" i="6"/>
  <c r="AU54" i="6"/>
  <c r="Y9" i="6"/>
  <c r="AZ9" i="6" s="1"/>
  <c r="G8" i="6"/>
  <c r="AU17" i="6"/>
  <c r="BB30" i="5"/>
  <c r="BA30" i="5"/>
  <c r="BB55" i="5"/>
  <c r="BA55" i="5"/>
  <c r="AU47" i="6"/>
  <c r="AU21" i="6"/>
  <c r="BA54" i="5"/>
  <c r="BB54" i="5"/>
  <c r="AU11" i="6"/>
  <c r="Y8" i="5"/>
  <c r="AZ8" i="5" s="1"/>
  <c r="BA48" i="5"/>
  <c r="BB48" i="5"/>
  <c r="AU38" i="6"/>
  <c r="AU37" i="6"/>
  <c r="V8" i="5"/>
  <c r="AW8" i="5" s="1"/>
  <c r="AU22" i="6"/>
  <c r="Z48" i="6"/>
  <c r="AA48" i="6"/>
  <c r="AU56" i="6"/>
  <c r="Q8" i="5"/>
  <c r="R8" i="5"/>
  <c r="BB23" i="5"/>
  <c r="BA23" i="5"/>
  <c r="B8" i="6"/>
  <c r="AU55" i="6"/>
  <c r="AU23" i="6"/>
  <c r="BA27" i="5"/>
  <c r="BB27" i="5"/>
  <c r="M8" i="6"/>
  <c r="AQ8" i="6"/>
  <c r="BB56" i="5"/>
  <c r="BA56" i="5"/>
  <c r="BB24" i="5"/>
  <c r="BA24" i="5"/>
  <c r="BA35" i="5"/>
  <c r="BB35" i="5"/>
  <c r="BB26" i="5"/>
  <c r="BA26" i="5"/>
  <c r="AU29" i="6"/>
  <c r="AU52" i="6"/>
  <c r="BA47" i="5"/>
  <c r="BB47" i="5"/>
  <c r="AU39" i="6"/>
  <c r="BB42" i="5"/>
  <c r="BA42" i="5"/>
  <c r="BA14" i="5"/>
  <c r="BB14" i="5"/>
  <c r="F8" i="6"/>
  <c r="AU43" i="6"/>
  <c r="AU32" i="6"/>
  <c r="BA29" i="5"/>
  <c r="BB29" i="5"/>
  <c r="Z30" i="6"/>
  <c r="BA20" i="5"/>
  <c r="BB20" i="5"/>
  <c r="BB51" i="5"/>
  <c r="BA51" i="5"/>
  <c r="Z25" i="6"/>
  <c r="AU31" i="6"/>
  <c r="BB25" i="5"/>
  <c r="BF8" i="1"/>
  <c r="BA43" i="5" l="1"/>
  <c r="BB43" i="5"/>
  <c r="BA32" i="5"/>
  <c r="BB32" i="5"/>
  <c r="BB40" i="5"/>
  <c r="BA40" i="5"/>
  <c r="BB52" i="5"/>
  <c r="BA52" i="5"/>
  <c r="AL49" i="6"/>
  <c r="AR47" i="6"/>
  <c r="AR54" i="6"/>
  <c r="AI35" i="6"/>
  <c r="AZ23" i="6"/>
  <c r="X9" i="5"/>
  <c r="AY9" i="5" s="1"/>
  <c r="F8" i="5"/>
  <c r="R29" i="6"/>
  <c r="AW54" i="6"/>
  <c r="AJ20" i="6"/>
  <c r="AI20" i="6"/>
  <c r="AR31" i="6"/>
  <c r="AS11" i="6"/>
  <c r="AJ46" i="6"/>
  <c r="AU34" i="6"/>
  <c r="AX29" i="6"/>
  <c r="AU25" i="6"/>
  <c r="BA25" i="6" s="1"/>
  <c r="AF9" i="6"/>
  <c r="AF8" i="6" s="1"/>
  <c r="AI8" i="6" s="1"/>
  <c r="Y47" i="6"/>
  <c r="AZ47" i="6" s="1"/>
  <c r="U53" i="6"/>
  <c r="AV53" i="6" s="1"/>
  <c r="AI18" i="6"/>
  <c r="H19" i="6"/>
  <c r="T19" i="6"/>
  <c r="AU53" i="5"/>
  <c r="Z53" i="5"/>
  <c r="O49" i="6"/>
  <c r="AS56" i="6"/>
  <c r="U22" i="6"/>
  <c r="AA51" i="5"/>
  <c r="I43" i="6"/>
  <c r="H43" i="6"/>
  <c r="W41" i="6"/>
  <c r="AX41" i="6" s="1"/>
  <c r="U39" i="6"/>
  <c r="T14" i="6"/>
  <c r="U37" i="6"/>
  <c r="AV37" i="6" s="1"/>
  <c r="AY27" i="6"/>
  <c r="AU45" i="5"/>
  <c r="AA45" i="5"/>
  <c r="W28" i="6"/>
  <c r="AX28" i="6" s="1"/>
  <c r="AU36" i="5"/>
  <c r="AA36" i="5"/>
  <c r="Z36" i="5"/>
  <c r="Z48" i="5"/>
  <c r="Z12" i="5"/>
  <c r="AI16" i="6"/>
  <c r="AJ16" i="6"/>
  <c r="V29" i="6"/>
  <c r="AI22" i="6"/>
  <c r="X18" i="6"/>
  <c r="AY18" i="6" s="1"/>
  <c r="AJ49" i="5"/>
  <c r="U11" i="6"/>
  <c r="AV11" i="6" s="1"/>
  <c r="AU46" i="5"/>
  <c r="Z46" i="5"/>
  <c r="AS28" i="6"/>
  <c r="U18" i="6"/>
  <c r="AV18" i="6" s="1"/>
  <c r="V24" i="6"/>
  <c r="AR33" i="6"/>
  <c r="X35" i="6"/>
  <c r="AY35" i="6" s="1"/>
  <c r="Z44" i="5"/>
  <c r="AI29" i="6"/>
  <c r="R54" i="6"/>
  <c r="W26" i="6"/>
  <c r="AX26" i="6" s="1"/>
  <c r="Y39" i="6"/>
  <c r="AZ39" i="6" s="1"/>
  <c r="H56" i="6"/>
  <c r="T50" i="6"/>
  <c r="I10" i="6"/>
  <c r="V14" i="6"/>
  <c r="AW14" i="6" s="1"/>
  <c r="AS39" i="6"/>
  <c r="AJ27" i="6"/>
  <c r="Q56" i="6"/>
  <c r="Y49" i="5"/>
  <c r="AZ49" i="5" s="1"/>
  <c r="AR40" i="6"/>
  <c r="AI32" i="6"/>
  <c r="AJ32" i="6"/>
  <c r="V11" i="6"/>
  <c r="AW11" i="6" s="1"/>
  <c r="W13" i="6"/>
  <c r="AX13" i="6" s="1"/>
  <c r="D8" i="6"/>
  <c r="H9" i="6"/>
  <c r="U8" i="5"/>
  <c r="BB25" i="6"/>
  <c r="AV9" i="6"/>
  <c r="R25" i="6"/>
  <c r="AS25" i="6"/>
  <c r="AI10" i="6"/>
  <c r="AJ10" i="6"/>
  <c r="AJ9" i="5"/>
  <c r="AF8" i="5"/>
  <c r="AX8" i="5" s="1"/>
  <c r="X15" i="6"/>
  <c r="AY15" i="6" s="1"/>
  <c r="W50" i="6"/>
  <c r="AX50" i="6" s="1"/>
  <c r="O9" i="6"/>
  <c r="W49" i="5"/>
  <c r="AX49" i="5" s="1"/>
  <c r="AI13" i="6"/>
  <c r="Q50" i="6"/>
  <c r="AI44" i="6"/>
  <c r="AR17" i="6"/>
  <c r="AR20" i="6"/>
  <c r="I26" i="6"/>
  <c r="U26" i="6"/>
  <c r="AV26" i="6" s="1"/>
  <c r="AJ50" i="6"/>
  <c r="Y19" i="6"/>
  <c r="AZ19" i="6" s="1"/>
  <c r="I33" i="6"/>
  <c r="T33" i="6"/>
  <c r="H55" i="6"/>
  <c r="I55" i="6"/>
  <c r="BA37" i="5"/>
  <c r="AR15" i="6"/>
  <c r="AO49" i="6"/>
  <c r="R10" i="6"/>
  <c r="AJ53" i="6"/>
  <c r="AI53" i="6"/>
  <c r="AR21" i="6"/>
  <c r="H37" i="6"/>
  <c r="AR28" i="6"/>
  <c r="AS54" i="6"/>
  <c r="T42" i="6"/>
  <c r="AZ45" i="6"/>
  <c r="R9" i="5"/>
  <c r="R39" i="6"/>
  <c r="Y34" i="6"/>
  <c r="AZ34" i="6" s="1"/>
  <c r="AS18" i="6"/>
  <c r="U28" i="6"/>
  <c r="U41" i="6"/>
  <c r="X56" i="6"/>
  <c r="AY56" i="6" s="1"/>
  <c r="AU21" i="5"/>
  <c r="BA21" i="5" s="1"/>
  <c r="AA21" i="5"/>
  <c r="T35" i="6"/>
  <c r="I35" i="6"/>
  <c r="AJ29" i="6"/>
  <c r="AR52" i="6"/>
  <c r="AJ41" i="6"/>
  <c r="AW41" i="6"/>
  <c r="U15" i="6"/>
  <c r="AJ14" i="6"/>
  <c r="X23" i="6"/>
  <c r="AY23" i="6" s="1"/>
  <c r="V46" i="6"/>
  <c r="AW46" i="6" s="1"/>
  <c r="V19" i="6"/>
  <c r="T53" i="6"/>
  <c r="H16" i="6"/>
  <c r="V56" i="6"/>
  <c r="AA26" i="5"/>
  <c r="AU10" i="5"/>
  <c r="Z10" i="5"/>
  <c r="AS16" i="6"/>
  <c r="AR16" i="6"/>
  <c r="W47" i="6"/>
  <c r="AX47" i="6" s="1"/>
  <c r="Y27" i="6"/>
  <c r="AZ27" i="6" s="1"/>
  <c r="AD8" i="5"/>
  <c r="W33" i="6"/>
  <c r="AX33" i="6" s="1"/>
  <c r="T18" i="6"/>
  <c r="V13" i="6"/>
  <c r="AW13" i="6" s="1"/>
  <c r="Y50" i="6"/>
  <c r="AZ50" i="6" s="1"/>
  <c r="U50" i="6"/>
  <c r="AV50" i="6" s="1"/>
  <c r="Z47" i="6"/>
  <c r="AR49" i="6"/>
  <c r="BA53" i="5"/>
  <c r="AS47" i="6"/>
  <c r="C49" i="6"/>
  <c r="U49" i="6" s="1"/>
  <c r="AV49" i="6" s="1"/>
  <c r="BB53" i="5"/>
  <c r="AJ11" i="6"/>
  <c r="AC9" i="6"/>
  <c r="AC8" i="6" s="1"/>
  <c r="X10" i="6"/>
  <c r="AY10" i="6" s="1"/>
  <c r="X43" i="6"/>
  <c r="AY43" i="6" s="1"/>
  <c r="AJ31" i="6"/>
  <c r="AI31" i="6"/>
  <c r="AS50" i="6"/>
  <c r="AI19" i="6"/>
  <c r="AU11" i="5"/>
  <c r="V50" i="6"/>
  <c r="AW50" i="6" s="1"/>
  <c r="AU15" i="5"/>
  <c r="AA15" i="5"/>
  <c r="W20" i="6"/>
  <c r="AX20" i="6" s="1"/>
  <c r="AJ39" i="6"/>
  <c r="AR29" i="6"/>
  <c r="W14" i="6"/>
  <c r="AX14" i="6" s="1"/>
  <c r="W40" i="6"/>
  <c r="AR11" i="6"/>
  <c r="AU19" i="5"/>
  <c r="Z19" i="5"/>
  <c r="Y53" i="6"/>
  <c r="AZ53" i="6" s="1"/>
  <c r="AW20" i="6"/>
  <c r="AR13" i="6"/>
  <c r="V10" i="6"/>
  <c r="AW19" i="6"/>
  <c r="T27" i="6"/>
  <c r="I27" i="6"/>
  <c r="Q34" i="6"/>
  <c r="AX27" i="6"/>
  <c r="AA35" i="5"/>
  <c r="V21" i="6"/>
  <c r="R26" i="6"/>
  <c r="BB33" i="5"/>
  <c r="X54" i="6"/>
  <c r="Q19" i="6"/>
  <c r="X55" i="6"/>
  <c r="AA32" i="5"/>
  <c r="X24" i="6"/>
  <c r="AY24" i="6" s="1"/>
  <c r="U19" i="6"/>
  <c r="AV19" i="6" s="1"/>
  <c r="X45" i="6"/>
  <c r="AY45" i="6" s="1"/>
  <c r="H20" i="6"/>
  <c r="T20" i="6"/>
  <c r="Q13" i="6"/>
  <c r="BB41" i="5"/>
  <c r="T44" i="6"/>
  <c r="AI28" i="6"/>
  <c r="V39" i="6"/>
  <c r="AW39" i="6" s="1"/>
  <c r="V32" i="6"/>
  <c r="AW32" i="6" s="1"/>
  <c r="Z50" i="5"/>
  <c r="T26" i="6"/>
  <c r="T13" i="6"/>
  <c r="Y17" i="6"/>
  <c r="AZ17" i="6" s="1"/>
  <c r="AX16" i="6"/>
  <c r="H38" i="6"/>
  <c r="I38" i="6"/>
  <c r="Q33" i="6"/>
  <c r="W12" i="6"/>
  <c r="AX12" i="6" s="1"/>
  <c r="AY39" i="6"/>
  <c r="AJ37" i="6"/>
  <c r="U27" i="6"/>
  <c r="AV27" i="6" s="1"/>
  <c r="AZ51" i="6"/>
  <c r="Y31" i="6"/>
  <c r="AZ31" i="6" s="1"/>
  <c r="AZ49" i="6"/>
  <c r="AX49" i="6"/>
  <c r="AO8" i="6"/>
  <c r="Z15" i="6"/>
  <c r="AI49" i="6"/>
  <c r="AR9" i="6"/>
  <c r="AX46" i="6"/>
  <c r="X28" i="6"/>
  <c r="AY28" i="6" s="1"/>
  <c r="AI48" i="6"/>
  <c r="AJ48" i="6"/>
  <c r="AR14" i="6"/>
  <c r="AS34" i="6"/>
  <c r="BB38" i="5"/>
  <c r="Y30" i="6"/>
  <c r="AZ30" i="6" s="1"/>
  <c r="AY12" i="6"/>
  <c r="AU22" i="5"/>
  <c r="AA22" i="5"/>
  <c r="AL8" i="5"/>
  <c r="AR9" i="5"/>
  <c r="Q24" i="6"/>
  <c r="AA39" i="5"/>
  <c r="Z39" i="5"/>
  <c r="AR46" i="6"/>
  <c r="AS46" i="6"/>
  <c r="AI47" i="6"/>
  <c r="AJ47" i="6"/>
  <c r="R33" i="6"/>
  <c r="AU28" i="5"/>
  <c r="Z28" i="5"/>
  <c r="Y21" i="6"/>
  <c r="AZ21" i="6" s="1"/>
  <c r="R22" i="6"/>
  <c r="AA25" i="5"/>
  <c r="R37" i="6"/>
  <c r="X49" i="5"/>
  <c r="AY49" i="5" s="1"/>
  <c r="BA17" i="5"/>
  <c r="AR22" i="6"/>
  <c r="AX44" i="6"/>
  <c r="U17" i="6"/>
  <c r="AV17" i="6" s="1"/>
  <c r="AS35" i="6"/>
  <c r="BA38" i="5"/>
  <c r="Y38" i="6"/>
  <c r="AZ38" i="6" s="1"/>
  <c r="U20" i="6"/>
  <c r="AV20" i="6" s="1"/>
  <c r="T45" i="6"/>
  <c r="AJ25" i="6"/>
  <c r="AU48" i="6"/>
  <c r="BB48" i="6" s="1"/>
  <c r="T12" i="6"/>
  <c r="AX56" i="6"/>
  <c r="Q18" i="6"/>
  <c r="V42" i="6"/>
  <c r="AW42" i="6" s="1"/>
  <c r="AS29" i="6"/>
  <c r="U23" i="6"/>
  <c r="I47" i="6"/>
  <c r="AS45" i="6"/>
  <c r="T46" i="6"/>
  <c r="Q46" i="6"/>
  <c r="W52" i="6"/>
  <c r="R11" i="6"/>
  <c r="W36" i="6"/>
  <c r="AX36" i="6" s="1"/>
  <c r="BA36" i="6" s="1"/>
  <c r="Q55" i="6"/>
  <c r="AY22" i="6"/>
  <c r="W22" i="6"/>
  <c r="AX22" i="6" s="1"/>
  <c r="AR41" i="6"/>
  <c r="AS41" i="6"/>
  <c r="T49" i="5"/>
  <c r="Q48" i="6"/>
  <c r="I9" i="5"/>
  <c r="T9" i="5"/>
  <c r="Q30" i="6"/>
  <c r="X16" i="6"/>
  <c r="W34" i="6"/>
  <c r="Y32" i="6"/>
  <c r="AZ32" i="6" s="1"/>
  <c r="AI40" i="6"/>
  <c r="W37" i="6"/>
  <c r="AX37" i="6" s="1"/>
  <c r="AU18" i="5"/>
  <c r="Z18" i="5"/>
  <c r="Y14" i="6"/>
  <c r="AZ14" i="6" s="1"/>
  <c r="W24" i="6"/>
  <c r="AX24" i="6" s="1"/>
  <c r="Y29" i="6"/>
  <c r="AZ29" i="6" s="1"/>
  <c r="AU50" i="5"/>
  <c r="AR49" i="5"/>
  <c r="AA25" i="6"/>
  <c r="AS49" i="6"/>
  <c r="C8" i="6"/>
  <c r="U8" i="6" s="1"/>
  <c r="R9" i="6"/>
  <c r="I9" i="6"/>
  <c r="Z9" i="5"/>
  <c r="Z22" i="6"/>
  <c r="Z37" i="6"/>
  <c r="AA27" i="6"/>
  <c r="Z28" i="6"/>
  <c r="Z21" i="6"/>
  <c r="Z36" i="6"/>
  <c r="W9" i="6"/>
  <c r="AX9" i="6" s="1"/>
  <c r="AA54" i="6"/>
  <c r="AA51" i="6"/>
  <c r="AS9" i="6"/>
  <c r="AU15" i="6"/>
  <c r="AD8" i="6"/>
  <c r="AA31" i="6"/>
  <c r="Q9" i="6"/>
  <c r="AJ49" i="6"/>
  <c r="AA37" i="6"/>
  <c r="AA38" i="6"/>
  <c r="AA47" i="6"/>
  <c r="BB39" i="5"/>
  <c r="AJ9" i="6"/>
  <c r="AA36" i="6"/>
  <c r="E8" i="6"/>
  <c r="Z51" i="6"/>
  <c r="I49" i="6"/>
  <c r="AL8" i="6"/>
  <c r="AA11" i="6"/>
  <c r="BA30" i="6"/>
  <c r="AM8" i="6"/>
  <c r="BA16" i="5"/>
  <c r="BA34" i="5"/>
  <c r="BB34" i="5"/>
  <c r="AA32" i="6"/>
  <c r="AA43" i="6"/>
  <c r="BB36" i="6"/>
  <c r="AA30" i="6"/>
  <c r="Z32" i="6"/>
  <c r="BB43" i="6"/>
  <c r="Z43" i="6"/>
  <c r="Z31" i="6"/>
  <c r="AA49" i="5"/>
  <c r="AA12" i="6"/>
  <c r="T9" i="6"/>
  <c r="AA53" i="6"/>
  <c r="AA34" i="6"/>
  <c r="Z38" i="6"/>
  <c r="AA26" i="6"/>
  <c r="AA17" i="6"/>
  <c r="H49" i="6"/>
  <c r="Q49" i="6"/>
  <c r="BB30" i="6"/>
  <c r="BB44" i="5"/>
  <c r="BA44" i="5"/>
  <c r="AA52" i="6"/>
  <c r="H8" i="5"/>
  <c r="Z11" i="6"/>
  <c r="W8" i="6"/>
  <c r="AA55" i="6"/>
  <c r="AA14" i="6"/>
  <c r="Y8" i="6"/>
  <c r="AZ8" i="6" s="1"/>
  <c r="BB31" i="6"/>
  <c r="BA31" i="6"/>
  <c r="AU8" i="5"/>
  <c r="BB37" i="6"/>
  <c r="BA37" i="6"/>
  <c r="V8" i="6"/>
  <c r="AW8" i="6" s="1"/>
  <c r="BB11" i="6"/>
  <c r="BA11" i="6"/>
  <c r="BA51" i="6"/>
  <c r="BB51" i="6"/>
  <c r="BB32" i="6"/>
  <c r="BA32" i="6"/>
  <c r="AR8" i="6"/>
  <c r="T8" i="6"/>
  <c r="AU8" i="6" s="1"/>
  <c r="I8" i="6"/>
  <c r="H8" i="6"/>
  <c r="BB38" i="6"/>
  <c r="BA38" i="6"/>
  <c r="BB47" i="6"/>
  <c r="BA47" i="6"/>
  <c r="BA17" i="6"/>
  <c r="BB17" i="6"/>
  <c r="AU49" i="6"/>
  <c r="BA43" i="6"/>
  <c r="BF15" i="4"/>
  <c r="BF14" i="4"/>
  <c r="BB50" i="5" l="1"/>
  <c r="BA50" i="5"/>
  <c r="AU9" i="5"/>
  <c r="AA9" i="5"/>
  <c r="AV23" i="6"/>
  <c r="AA23" i="6"/>
  <c r="Z23" i="6"/>
  <c r="AU45" i="6"/>
  <c r="Z45" i="6"/>
  <c r="AA45" i="6"/>
  <c r="Z13" i="6"/>
  <c r="AA13" i="6"/>
  <c r="AU13" i="6"/>
  <c r="AA21" i="6"/>
  <c r="AW21" i="6"/>
  <c r="BA19" i="5"/>
  <c r="BB19" i="5"/>
  <c r="BA15" i="5"/>
  <c r="BB15" i="5"/>
  <c r="AA15" i="6"/>
  <c r="AV15" i="6"/>
  <c r="O8" i="6"/>
  <c r="X9" i="6"/>
  <c r="AV8" i="5"/>
  <c r="AU14" i="6"/>
  <c r="Z14" i="6"/>
  <c r="R49" i="6"/>
  <c r="X49" i="6"/>
  <c r="AX8" i="6"/>
  <c r="AA9" i="6"/>
  <c r="BB18" i="5"/>
  <c r="BA18" i="5"/>
  <c r="AX34" i="6"/>
  <c r="BA34" i="6" s="1"/>
  <c r="Z34" i="6"/>
  <c r="AU46" i="6"/>
  <c r="Z46" i="6"/>
  <c r="AA46" i="6"/>
  <c r="AU12" i="6"/>
  <c r="Z12" i="6"/>
  <c r="AR8" i="5"/>
  <c r="AS8" i="5"/>
  <c r="Z26" i="6"/>
  <c r="AU26" i="6"/>
  <c r="AU20" i="6"/>
  <c r="BB20" i="6" s="1"/>
  <c r="Z20" i="6"/>
  <c r="AA20" i="6"/>
  <c r="Z54" i="6"/>
  <c r="AY54" i="6"/>
  <c r="AU27" i="6"/>
  <c r="Z27" i="6"/>
  <c r="AI8" i="5"/>
  <c r="AJ8" i="5"/>
  <c r="AW56" i="6"/>
  <c r="AA56" i="6"/>
  <c r="Z56" i="6"/>
  <c r="BA48" i="6"/>
  <c r="AU50" i="6"/>
  <c r="BB50" i="6" s="1"/>
  <c r="AA50" i="6"/>
  <c r="Z50" i="6"/>
  <c r="BA45" i="5"/>
  <c r="BB45" i="5"/>
  <c r="AV39" i="6"/>
  <c r="Z39" i="6"/>
  <c r="AA39" i="6"/>
  <c r="AJ8" i="6"/>
  <c r="AV8" i="6"/>
  <c r="AY16" i="6"/>
  <c r="BA16" i="6" s="1"/>
  <c r="Z16" i="6"/>
  <c r="AA16" i="6"/>
  <c r="Z17" i="6"/>
  <c r="BB16" i="6"/>
  <c r="AU44" i="6"/>
  <c r="AA44" i="6"/>
  <c r="Z44" i="6"/>
  <c r="AX40" i="6"/>
  <c r="Z40" i="6"/>
  <c r="AA40" i="6"/>
  <c r="BA20" i="6"/>
  <c r="BB11" i="5"/>
  <c r="BA11" i="5"/>
  <c r="AI9" i="6"/>
  <c r="AA35" i="6"/>
  <c r="Z35" i="6"/>
  <c r="AU35" i="6"/>
  <c r="AV41" i="6"/>
  <c r="Z41" i="6"/>
  <c r="AA41" i="6"/>
  <c r="AU42" i="6"/>
  <c r="AA42" i="6"/>
  <c r="Z42" i="6"/>
  <c r="AW24" i="6"/>
  <c r="Z24" i="6"/>
  <c r="AA24" i="6"/>
  <c r="BB46" i="5"/>
  <c r="BA46" i="5"/>
  <c r="BB36" i="5"/>
  <c r="BA36" i="5"/>
  <c r="AV22" i="6"/>
  <c r="AA22" i="6"/>
  <c r="BB21" i="5"/>
  <c r="AS8" i="6"/>
  <c r="AU49" i="5"/>
  <c r="Z49" i="5"/>
  <c r="AX52" i="6"/>
  <c r="Z52" i="6"/>
  <c r="BA28" i="5"/>
  <c r="BB28" i="5"/>
  <c r="BB22" i="5"/>
  <c r="BA22" i="5"/>
  <c r="AY55" i="6"/>
  <c r="Z55" i="6"/>
  <c r="AW10" i="6"/>
  <c r="AA10" i="6"/>
  <c r="Z10" i="6"/>
  <c r="AA18" i="6"/>
  <c r="AU18" i="6"/>
  <c r="Z18" i="6"/>
  <c r="BB10" i="5"/>
  <c r="BA10" i="5"/>
  <c r="AU53" i="6"/>
  <c r="Z53" i="6"/>
  <c r="AV28" i="6"/>
  <c r="AA28" i="6"/>
  <c r="AU33" i="6"/>
  <c r="AA33" i="6"/>
  <c r="Z33" i="6"/>
  <c r="AA29" i="6"/>
  <c r="AW29" i="6"/>
  <c r="Z29" i="6"/>
  <c r="Z19" i="6"/>
  <c r="AA19" i="6"/>
  <c r="AU19" i="6"/>
  <c r="BB34" i="6"/>
  <c r="X8" i="5"/>
  <c r="I8" i="5"/>
  <c r="AU9" i="6"/>
  <c r="BF45" i="4"/>
  <c r="BF36" i="4"/>
  <c r="BF12" i="4"/>
  <c r="BF30" i="4"/>
  <c r="BF28" i="4"/>
  <c r="BF22" i="4"/>
  <c r="BF44" i="4"/>
  <c r="BF48" i="4"/>
  <c r="BF54" i="4"/>
  <c r="BF13" i="4"/>
  <c r="BF34" i="4"/>
  <c r="BF56" i="4"/>
  <c r="BF16" i="4"/>
  <c r="BF23" i="4"/>
  <c r="BF31" i="4"/>
  <c r="BF19" i="4"/>
  <c r="BF37" i="4"/>
  <c r="BF47" i="4"/>
  <c r="BF35" i="4"/>
  <c r="BF53" i="4"/>
  <c r="BF21" i="4"/>
  <c r="BF50" i="4"/>
  <c r="BF33" i="4"/>
  <c r="BF46" i="4"/>
  <c r="BF52" i="4"/>
  <c r="BF11" i="4"/>
  <c r="BF24" i="4"/>
  <c r="BF39" i="4"/>
  <c r="BF18" i="4"/>
  <c r="BF27" i="4"/>
  <c r="BF43" i="4"/>
  <c r="BF32" i="4"/>
  <c r="BF40" i="4"/>
  <c r="BF10" i="4"/>
  <c r="BF42" i="4"/>
  <c r="BF29" i="4"/>
  <c r="BF51" i="4"/>
  <c r="BF55" i="4"/>
  <c r="BF20" i="4"/>
  <c r="BF38" i="4"/>
  <c r="BF17" i="4"/>
  <c r="BF26" i="4"/>
  <c r="BF41" i="4"/>
  <c r="BF25" i="4"/>
  <c r="AY8" i="5" l="1"/>
  <c r="Z8" i="5"/>
  <c r="AA8" i="5"/>
  <c r="BB28" i="6"/>
  <c r="BA28" i="6"/>
  <c r="BA55" i="6"/>
  <c r="BB55" i="6"/>
  <c r="BB49" i="5"/>
  <c r="BA49" i="5"/>
  <c r="BB22" i="6"/>
  <c r="BA22" i="6"/>
  <c r="BA26" i="6"/>
  <c r="BB26" i="6"/>
  <c r="BB46" i="6"/>
  <c r="BA46" i="6"/>
  <c r="AY9" i="6"/>
  <c r="BB9" i="6" s="1"/>
  <c r="Z9" i="6"/>
  <c r="BA50" i="6"/>
  <c r="BB45" i="6"/>
  <c r="BA45" i="6"/>
  <c r="BA41" i="6"/>
  <c r="BB41" i="6"/>
  <c r="BB39" i="6"/>
  <c r="BA39" i="6"/>
  <c r="BA12" i="6"/>
  <c r="BB12" i="6"/>
  <c r="X8" i="6"/>
  <c r="Q8" i="6"/>
  <c r="R8" i="6"/>
  <c r="BA21" i="6"/>
  <c r="BB21" i="6"/>
  <c r="BB9" i="5"/>
  <c r="BA9" i="5"/>
  <c r="BA19" i="6"/>
  <c r="BB19" i="6"/>
  <c r="BB29" i="6"/>
  <c r="BA29" i="6"/>
  <c r="BA33" i="6"/>
  <c r="BB33" i="6"/>
  <c r="BB53" i="6"/>
  <c r="BA53" i="6"/>
  <c r="BA18" i="6"/>
  <c r="BB18" i="6"/>
  <c r="BB10" i="6"/>
  <c r="BA10" i="6"/>
  <c r="BB52" i="6"/>
  <c r="BA52" i="6"/>
  <c r="BB42" i="6"/>
  <c r="BA42" i="6"/>
  <c r="BA35" i="6"/>
  <c r="BB35" i="6"/>
  <c r="BA44" i="6"/>
  <c r="BB44" i="6"/>
  <c r="BB56" i="6"/>
  <c r="BA56" i="6"/>
  <c r="BA27" i="6"/>
  <c r="BB27" i="6"/>
  <c r="BB14" i="6"/>
  <c r="BA14" i="6"/>
  <c r="BA15" i="6"/>
  <c r="BB15" i="6"/>
  <c r="BB24" i="6"/>
  <c r="BA24" i="6"/>
  <c r="BB40" i="6"/>
  <c r="BA40" i="6"/>
  <c r="BA54" i="6"/>
  <c r="BB54" i="6"/>
  <c r="AY49" i="6"/>
  <c r="Z49" i="6"/>
  <c r="AA49" i="6"/>
  <c r="BA13" i="6"/>
  <c r="BB13" i="6"/>
  <c r="BA23" i="6"/>
  <c r="BB23" i="6"/>
  <c r="BF49" i="4"/>
  <c r="BF9" i="4"/>
  <c r="AY8" i="6" l="1"/>
  <c r="AA8" i="6"/>
  <c r="Z8" i="6"/>
  <c r="BA9" i="6"/>
  <c r="BA49" i="6"/>
  <c r="BB49" i="6"/>
  <c r="BB8" i="5"/>
  <c r="BA8" i="5"/>
  <c r="BF8" i="4"/>
  <c r="BA8" i="6" l="1"/>
  <c r="BB8" i="6"/>
</calcChain>
</file>

<file path=xl/sharedStrings.xml><?xml version="1.0" encoding="utf-8"?>
<sst xmlns="http://schemas.openxmlformats.org/spreadsheetml/2006/main" count="8561" uniqueCount="219">
  <si>
    <r>
      <t>FIRE STATISTICS TABLE 1121: Staff joining fire authorities (headcount</t>
    </r>
    <r>
      <rPr>
        <b/>
        <vertAlign val="superscript"/>
        <sz val="11"/>
        <color rgb="FFFFFFFF"/>
        <rFont val="Arial Black"/>
        <family val="2"/>
      </rPr>
      <t>1</t>
    </r>
    <r>
      <rPr>
        <b/>
        <sz val="11"/>
        <color rgb="FFFFFFFF"/>
        <rFont val="Arial Black"/>
        <family val="2"/>
      </rPr>
      <t>), by fire and rescue authority, ethnicity and role in 2016/17</t>
    </r>
  </si>
  <si>
    <t>Wholetime</t>
  </si>
  <si>
    <t>Total Firefighters</t>
  </si>
  <si>
    <t>Fire Control</t>
  </si>
  <si>
    <t>Support Staff</t>
  </si>
  <si>
    <t>Total Staff</t>
  </si>
  <si>
    <t>FRA</t>
  </si>
  <si>
    <t>White</t>
  </si>
  <si>
    <t>Mixed</t>
  </si>
  <si>
    <t>Asian or Asian British</t>
  </si>
  <si>
    <t>Black or Black British</t>
  </si>
  <si>
    <t>Chinese or Other Ethnicity</t>
  </si>
  <si>
    <t>Ethnic origin Not Stated</t>
  </si>
  <si>
    <t>% from an ethnic minority</t>
  </si>
  <si>
    <t>% not stated</t>
  </si>
  <si>
    <t>England</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</si>
  <si>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</si>
  <si>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</si>
  <si>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</si>
  <si>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</si>
  <si>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</si>
  <si>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</si>
  <si>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</si>
  <si>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</si>
  <si>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</si>
  <si>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</si>
  <si>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</si>
  <si>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</si>
  <si>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</si>
  <si>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</si>
  <si>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</si>
  <si>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</si>
  <si>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</si>
  <si>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Hampshire</t>
  </si>
  <si>
    <t>Hereford and Worcester</t>
  </si>
  <si>
    <t>Hertfordshire</t>
  </si>
  <si>
    <t>Humberside</t>
  </si>
  <si>
    <t>Isle Of Wight</t>
  </si>
  <si>
    <t>Kent</t>
  </si>
  <si>
    <t>Lancashire</t>
  </si>
  <si>
    <t>Leicestershire</t>
  </si>
  <si>
    <t>Lincolnshire</t>
  </si>
  <si>
    <t>Norfolk</t>
  </si>
  <si>
    <t>North West Fire Control</t>
  </si>
  <si>
    <t>North Yorkshire</t>
  </si>
  <si>
    <t>Northamptonshire</t>
  </si>
  <si>
    <t>Northumberland</t>
  </si>
  <si>
    <t>Nottinghamshire</t>
  </si>
  <si>
    <t>Oxfordshire</t>
  </si>
  <si>
    <t>Shropshire</t>
  </si>
  <si>
    <t>Staffordshire</t>
  </si>
  <si>
    <t>Suffolk</t>
  </si>
  <si>
    <t>Surrey</t>
  </si>
  <si>
    <t>Warwickshire</t>
  </si>
  <si>
    <t>West Sussex</t>
  </si>
  <si>
    <t>Isles of Scilly</t>
  </si>
  <si>
    <t>Metropolitan fire and rescue authorities</t>
  </si>
  <si>
    <t>Greater Manchester</t>
  </si>
  <si>
    <t>Merseyside</t>
  </si>
  <si>
    <t>South Yorkshire</t>
  </si>
  <si>
    <t>Tyne and Wear</t>
  </si>
  <si>
    <t>West Midlands</t>
  </si>
  <si>
    <t>West Yorkshire</t>
  </si>
  <si>
    <t>Greater London</t>
  </si>
  <si>
    <t>1 The total number of employees</t>
  </si>
  <si>
    <t>Notes</t>
  </si>
  <si>
    <t>The figures for 2016/17 were collected on a voluntary basis. Those eight FRSs with 0 new staff could be due to 0 new staff being recruited or due to the data being unavailable.</t>
  </si>
  <si>
    <t>The full set of fire statistics releases, tables and guidance can be found on our landing page, here-</t>
  </si>
  <si>
    <t>https://www.gov.uk/government/collections/fire-statistics</t>
  </si>
  <si>
    <t>The statistics in this table are Official Statistics.</t>
  </si>
  <si>
    <t>Source: Home Office Operational Statistics Data Collection, figures supplied by Fire Authorities.</t>
  </si>
  <si>
    <t>Updated alongside Fire and rescue workforce and pensions statistics</t>
  </si>
  <si>
    <t>Contact: FireStatistics@homeoffice.gsi.gov.uk</t>
  </si>
  <si>
    <t>Next Update: Autumn 2018</t>
  </si>
  <si>
    <t>-</t>
  </si>
  <si>
    <r>
      <t xml:space="preserve">Retained Duty System </t>
    </r>
    <r>
      <rPr>
        <vertAlign val="superscript"/>
        <sz val="11"/>
        <color theme="1"/>
        <rFont val="Calibri"/>
        <family val="2"/>
        <scheme val="minor"/>
      </rPr>
      <t>2</t>
    </r>
  </si>
  <si>
    <t>2 Also known as "On-call firefighters"</t>
  </si>
  <si>
    <r>
      <t>FIRE STATISTICS TABLE 1121: Staff joining fire authorities (headcount</t>
    </r>
    <r>
      <rPr>
        <b/>
        <vertAlign val="superscript"/>
        <sz val="11"/>
        <color rgb="FFFFFFFF"/>
        <rFont val="Arial Black"/>
        <family val="2"/>
      </rPr>
      <t>1</t>
    </r>
    <r>
      <rPr>
        <b/>
        <sz val="11"/>
        <color rgb="FFFFFFFF"/>
        <rFont val="Arial Black"/>
        <family val="2"/>
      </rPr>
      <t>), by fire and rescue authority, ethnicity and role in 2017/18</t>
    </r>
  </si>
  <si>
    <t xml:space="preserve">White British or Irish </t>
  </si>
  <si>
    <t>Any other white background</t>
  </si>
  <si>
    <t>Chinese</t>
  </si>
  <si>
    <t>Any other Minority Ethnic Background</t>
  </si>
  <si>
    <t>Ethnic origin
Not Stated</t>
  </si>
  <si>
    <t>On call</t>
  </si>
  <si>
    <t>Retained Duty System 2</t>
  </si>
  <si>
    <t>FIRE STATISTICS TABLE 1121: Staff joining fire authorities (headcount1), by fire and rescue authority, ethnicity and role in 2017/18</t>
  </si>
  <si>
    <r>
      <t>FIRE STATISTICS TABLE 1121: Staff joining fire authorities (headcount</t>
    </r>
    <r>
      <rPr>
        <b/>
        <vertAlign val="superscript"/>
        <sz val="11"/>
        <color rgb="FFFFFFFF"/>
        <rFont val="Arial Black"/>
        <family val="2"/>
      </rPr>
      <t>1</t>
    </r>
    <r>
      <rPr>
        <b/>
        <sz val="11"/>
        <color rgb="FFFFFFFF"/>
        <rFont val="Arial Black"/>
        <family val="2"/>
      </rPr>
      <t>), by fire and rescue authority, ethnicity and role</t>
    </r>
  </si>
  <si>
    <t>Select a year from the drop-down list in the orange box below:</t>
  </si>
  <si>
    <t>2017-18</t>
  </si>
  <si>
    <t>2016-17</t>
  </si>
  <si>
    <t>2 Also known as "Retained Duty System firefighters"</t>
  </si>
  <si>
    <t>Wholetime firefighters</t>
  </si>
  <si>
    <t>Fire Control Staff</t>
  </si>
  <si>
    <t>Contact: FireStatistics@homeoffice.gov.uk</t>
  </si>
  <si>
    <t>Source: Home Office Operational Statistics Data Collection, figures supplied by fire and rescue authorities.</t>
  </si>
  <si>
    <t>Pink cells</t>
  </si>
  <si>
    <t>are the ones picked up in the macro</t>
  </si>
  <si>
    <t>red font</t>
  </si>
  <si>
    <t>are the cells you need to check are still correct</t>
  </si>
  <si>
    <t>Link_Start</t>
  </si>
  <si>
    <t>Year</t>
  </si>
  <si>
    <t>Return_Name</t>
  </si>
  <si>
    <t>FRS_Loop</t>
  </si>
  <si>
    <t>Link_End</t>
  </si>
  <si>
    <t>\\Poise.Homeoffice.Local\Home\RQG\Users\BeevorE\My Documents\003 Fire Operational Statistics\</t>
  </si>
  <si>
    <t>2018_19</t>
  </si>
  <si>
    <t>\data supplied\HR\HR_</t>
  </si>
  <si>
    <t>Sheet_Name_HR6</t>
  </si>
  <si>
    <t>Cell_Loop_HR6</t>
  </si>
  <si>
    <t>Cell_Loop_Desc_HR6</t>
  </si>
  <si>
    <t>Cell_Loop_Desc2_HR6</t>
  </si>
  <si>
    <t>HR6</t>
  </si>
  <si>
    <t>On-call firefighters</t>
  </si>
  <si>
    <t>Support staff</t>
  </si>
  <si>
    <t>Fire control</t>
  </si>
  <si>
    <t>Cell_Loop2_HR6</t>
  </si>
  <si>
    <t>Cell_Loop2_Desc_HR6</t>
  </si>
  <si>
    <t>Cell_Loop2_Desc2_HR6</t>
  </si>
  <si>
    <t>Any other white</t>
  </si>
  <si>
    <t>Asian</t>
  </si>
  <si>
    <t>Black</t>
  </si>
  <si>
    <t>Any other ethnic minority</t>
  </si>
  <si>
    <t>Not stated</t>
  </si>
  <si>
    <t>Cell_Loop3_HR6</t>
  </si>
  <si>
    <t>Cell_Loop3_Desc_HR6</t>
  </si>
  <si>
    <t>Cell_Loop3_Desc2_HR6</t>
  </si>
  <si>
    <t>Cell_Loop4_HR6</t>
  </si>
  <si>
    <t>Cell_Loop4_Desc_HR6</t>
  </si>
  <si>
    <t>Cell_Loop4_Desc2_HR6</t>
  </si>
  <si>
    <t>Cell_Loop5_HR6</t>
  </si>
  <si>
    <t>Cell_Loop5_Desc_HR6</t>
  </si>
  <si>
    <t>Cell_Loop5_Desc2_HR6</t>
  </si>
  <si>
    <t>Cell_Loop6_HR6</t>
  </si>
  <si>
    <t>Cell_Loop6_Desc_HR6</t>
  </si>
  <si>
    <t>Cell_Loop6_Desc2_HR6</t>
  </si>
  <si>
    <t>Cell_Loop7_HR6</t>
  </si>
  <si>
    <t>Cell_Loop7_Desc_HR6</t>
  </si>
  <si>
    <t>Cell_Loop7_Desc2_HR6</t>
  </si>
  <si>
    <t>Cell_Loop8_HR6</t>
  </si>
  <si>
    <t>Cell_Loop8_Desc_HR6</t>
  </si>
  <si>
    <t>Cell_Loop8_Desc2_HR6</t>
  </si>
  <si>
    <t>B20</t>
  </si>
  <si>
    <t>B21</t>
  </si>
  <si>
    <t>B22</t>
  </si>
  <si>
    <t>B23</t>
  </si>
  <si>
    <t>C20</t>
  </si>
  <si>
    <t>C21</t>
  </si>
  <si>
    <t>C22</t>
  </si>
  <si>
    <t>C23</t>
  </si>
  <si>
    <t>D20</t>
  </si>
  <si>
    <t>D21</t>
  </si>
  <si>
    <t>D22</t>
  </si>
  <si>
    <t>D23</t>
  </si>
  <si>
    <t>E20</t>
  </si>
  <si>
    <t>E21</t>
  </si>
  <si>
    <t>E22</t>
  </si>
  <si>
    <t>E23</t>
  </si>
  <si>
    <t>F20</t>
  </si>
  <si>
    <t>F21</t>
  </si>
  <si>
    <t>F22</t>
  </si>
  <si>
    <t>F23</t>
  </si>
  <si>
    <t>G20</t>
  </si>
  <si>
    <t>G21</t>
  </si>
  <si>
    <t>G22</t>
  </si>
  <si>
    <t>G23</t>
  </si>
  <si>
    <t>H20</t>
  </si>
  <si>
    <t>H21</t>
  </si>
  <si>
    <t>H22</t>
  </si>
  <si>
    <t>H23</t>
  </si>
  <si>
    <t>I20</t>
  </si>
  <si>
    <t>I21</t>
  </si>
  <si>
    <t>I22</t>
  </si>
  <si>
    <t>I23</t>
  </si>
  <si>
    <t>FRS_name</t>
  </si>
  <si>
    <t>FRS_type</t>
  </si>
  <si>
    <t>FRS_code</t>
  </si>
  <si>
    <t>Role</t>
  </si>
  <si>
    <t>Ethnicity</t>
  </si>
  <si>
    <t>Count</t>
  </si>
  <si>
    <t>FIRE STATISTICS TABLE 1121: Staff joining fire authorities (headcount1), by fire and rescue authority, ethnicity and role in 2018/19</t>
  </si>
  <si>
    <t>Not Stated</t>
  </si>
  <si>
    <t>2018-19</t>
  </si>
  <si>
    <t>No</t>
  </si>
  <si>
    <t>Yes</t>
  </si>
  <si>
    <t>Checklist</t>
  </si>
  <si>
    <t>Checker</t>
  </si>
  <si>
    <t>Error?</t>
  </si>
  <si>
    <t>Eliot</t>
  </si>
  <si>
    <t>Comments</t>
  </si>
  <si>
    <t>Victoria</t>
  </si>
  <si>
    <t>Deborah</t>
  </si>
  <si>
    <t>drop down menu works</t>
  </si>
  <si>
    <t>Molly</t>
  </si>
  <si>
    <t>spot check some figures from the raw sheet</t>
  </si>
  <si>
    <t>Colleen</t>
  </si>
  <si>
    <t>Total firefighters is sum of on call and wholetime</t>
  </si>
  <si>
    <t>Total staff is sum of total firefighters, fire control and support staff</t>
  </si>
  <si>
    <t>Mets = Sum of Mets</t>
  </si>
  <si>
    <t>Paul</t>
  </si>
  <si>
    <t>Non Mets = Sum of Non Mets</t>
  </si>
  <si>
    <t>Total = Mets + Non Mets</t>
  </si>
  <si>
    <t>London is one of the biggest</t>
  </si>
  <si>
    <t>Isles of Scilly and Isle of Wight one of smallest</t>
  </si>
  <si>
    <t>Newest year has been included</t>
  </si>
  <si>
    <t>Footnotes are relevant</t>
  </si>
  <si>
    <t>Notes are correct</t>
  </si>
  <si>
    <t>Links work</t>
  </si>
  <si>
    <t>Last updated date is correct</t>
  </si>
  <si>
    <t>Next update date is planned next release period</t>
  </si>
  <si>
    <t>Checks left to do or resolve</t>
  </si>
  <si>
    <t>Checks for 1121</t>
  </si>
  <si>
    <t>Check totals match 1120 (except for dorset and wiltshire for whole time due to having one member of staff identifying as 'other' gender and isle of scilly for on call and support staff, hoping to get updated figures which will match)</t>
  </si>
  <si>
    <t>spot check some of the formula for the % ethnic minority and % not stated in the raw sheet</t>
  </si>
  <si>
    <t>Last Updated: 31 October 2019</t>
  </si>
  <si>
    <t>Next Update: Autumn 2020</t>
  </si>
  <si>
    <t>no</t>
  </si>
  <si>
    <t>yes</t>
  </si>
  <si>
    <t xml:space="preserve">autumn 2020 link doesn’t work </t>
  </si>
  <si>
    <r>
      <t>On call firefighters</t>
    </r>
    <r>
      <rPr>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</si>
</sst>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i/>
      <sz val="11"/>
      <color theme="1"/>
      <name val="Calibri"/>
      <family val="2"/>
      <scheme val="minor"/>
    </font>
    <font>
      <b/>
      <i/>
      <sz val="11"/>
      <color theme="1"/>
      <name val="Calibri"/>
      <family val="2"/>
      <scheme val="minor"/>
    </font>
    <font>
      <b/>
      <sz val="11"/>
      <color rgb="FF000000"/>
      <name val="Calibri"/>
      <family val="2"/>
    </font>
    <font>
      <u/>
      <sz val="11"/>
      <color rgb="FF0563C1"/>
      <name val="Calibri"/>
      <family val="2"/>
    </font>
    <font>
      <vertAlign val="superscript"/>
      <sz val="11"/>
      <color theme="1"/>
      <name val="Calibri"/>
      <family val="2"/>
      <scheme val="minor"/>
    </font>
    <font>
      <b/>
      <sz val="11"/>
      <name val="Arial Black"/>
      <family val="2"/>
    </font>
    <font>
      <sz val="11"/>
      <color rgb="FFFF0000"/>
      <name val="Calibri"/>
      <family val="2"/>
      <scheme val="minor"/>
    </font>
    <font>
      <sz val="10"/>
      <name val="MS Sans Serif"/>
    </font>
    <font>
      <sz val="10"/>
      <color rgb="FFFF0000"/>
      <name val="Calibri"/>
      <family val="2"/>
      <scheme val="minor"/>
    </font>
    <font>
      <sz val="11"/>
      <color theme="0"/>
      <name val="Arial Black"/>
      <family val="2"/>
    </font>
    <font>
      <sz val="11"/>
      <color theme="8" tint="0.59999389629810485"/>
      <name val="Calibri"/>
      <family val="2"/>
      <scheme val="minor"/>
    </font>
  </fonts>
  <fills count="12">
    <fill>
      <patternFill patternType="none"/>
    </fill>
    <fill>
      <patternFill patternType="gray125"/>
    </fill>
    <fill>
      <patternFill patternType="solid">
        <fgColor rgb="FFFF0000"/>
        <bgColor rgb="FFFF0000"/>
      </patternFill>
    </fill>
    <fill>
      <patternFill patternType="solid">
        <fgColor theme="0"/>
        <bgColor indexed="64"/>
      </patternFill>
    </fill>
    <fill>
      <patternFill patternType="solid">
        <fgColor theme="0"/>
        <bgColor rgb="FFFFFFFF"/>
      </patternFill>
    </fill>
    <fill>
      <patternFill patternType="solid">
        <fgColor theme="0"/>
        <bgColor rgb="FFFF0000"/>
      </patternFill>
    </fill>
    <fill>
      <patternFill patternType="solid">
        <fgColor rgb="FFFFC000"/>
        <bgColor rgb="FFFFFFFF"/>
      </patternFill>
    </fill>
    <fill>
      <patternFill patternType="solid">
        <fgColor rgb="FFFFC000"/>
        <bgColor rgb="FFFF0000"/>
      </patternFill>
    </fill>
    <fill>
      <patternFill patternType="solid">
        <fgColor rgb="FFFFC000"/>
        <bgColor indexed="64"/>
      </patternFill>
    </fill>
    <fill>
      <patternFill patternType="solid">
        <fgColor rgb="FFFFCCFF"/>
        <bgColor indexed="64"/>
      </patternFill>
    </fill>
    <fill>
      <patternFill patternType="solid">
        <fgColor rgb="FF99CCFF"/>
        <bgColor indexed="64"/>
      </patternFill>
    </fill>
    <fill>
      <patternFill patternType="solid">
        <fgColor rgb="FFFF0000"/>
        <bgColor indexed="64"/>
      </patternFill>
    </fill>
  </fills>
  <borders count="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2" fillId="0" borderId="0"/>
  </cellStyleXfs>
  <cellXfs count="123">
    <xf numFmtId="0" fontId="0" fillId="0" borderId="0" xfId="0"/>
    <xf numFmtId="0" fontId="0" fillId="3" borderId="0" xfId="0" applyFill="1" applyAlignment="1">
      <alignment wrapText="1"/>
    </xf>
    <xf numFmtId="0" fontId="0" fillId="4" borderId="0" xfId="0" applyFill="1" applyBorder="1"/>
    <xf numFmtId="0" fontId="0" fillId="3" borderId="0" xfId="0" applyFill="1" applyBorder="1"/>
    <xf numFmtId="0" fontId="0" fillId="4" borderId="0" xfId="0" applyFill="1"/>
    <xf numFmtId="0" fontId="0" fillId="4" borderId="0" xfId="0" applyFill="1" applyBorder="1" applyAlignment="1">
      <alignment horizontal="center" vertical="center" wrapText="1"/>
    </xf>
    <xf numFmtId="0" fontId="0" fillId="4" borderId="0" xfId="0" applyFill="1" applyBorder="1" applyAlignment="1">
      <alignment horizontal="center"/>
    </xf>
    <xf numFmtId="0" fontId="2" fillId="4" borderId="0" xfId="0" applyFont="1" applyFill="1" applyBorder="1" applyAlignment="1">
      <alignment horizontal="center" vertical="center" wrapText="1"/>
    </xf>
    <xf numFmtId="0" fontId="0" fillId="3" borderId="0" xfId="0" applyFill="1"/>
    <xf numFmtId="0" fontId="0" fillId="4" borderId="1" xfId="0" applyFill="1" applyBorder="1" applyAlignment="1">
      <alignment horizontal="left" vertical="center" wrapText="1"/>
    </xf>
    <xf numFmtId="0" fontId="0" fillId="4" borderId="2" xfId="0" applyFill="1" applyBorder="1" applyAlignment="1">
      <alignment horizontal="center" vertical="center" wrapText="1"/>
    </xf>
    <xf numFmtId="0" fontId="5" fillId="4" borderId="2"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4" borderId="0" xfId="0" applyFill="1" applyAlignment="1">
      <alignment horizontal="right" vertical="center" wrapText="1"/>
    </xf>
    <xf numFmtId="0" fontId="2" fillId="4" borderId="3" xfId="0" applyFont="1" applyFill="1" applyBorder="1"/>
    <xf numFmtId="3" fontId="2" fillId="3" borderId="3" xfId="0" applyNumberFormat="1" applyFont="1" applyFill="1" applyBorder="1" applyAlignment="1">
      <alignment horizontal="right"/>
    </xf>
    <xf numFmtId="9" fontId="2" fillId="3" borderId="3" xfId="1" applyFont="1" applyFill="1" applyBorder="1" applyAlignment="1">
      <alignment horizontal="right"/>
    </xf>
    <xf numFmtId="164" fontId="0" fillId="3" borderId="0" xfId="0" applyNumberFormat="1" applyFill="1"/>
    <xf numFmtId="1" fontId="0" fillId="3" borderId="0" xfId="0" applyNumberFormat="1" applyFill="1"/>
    <xf numFmtId="0" fontId="2" fillId="4" borderId="0" xfId="0" applyFont="1" applyFill="1" applyBorder="1"/>
    <xf numFmtId="3" fontId="2" fillId="3" borderId="0" xfId="0" applyNumberFormat="1" applyFont="1" applyFill="1" applyBorder="1" applyAlignment="1">
      <alignment horizontal="right"/>
    </xf>
    <xf numFmtId="9" fontId="2" fillId="3" borderId="0" xfId="1" applyFont="1" applyFill="1" applyBorder="1" applyAlignment="1">
      <alignment horizontal="right"/>
    </xf>
    <xf numFmtId="3" fontId="0" fillId="3" borderId="0" xfId="0" applyNumberFormat="1" applyFont="1" applyFill="1" applyBorder="1" applyAlignment="1">
      <alignment horizontal="right"/>
    </xf>
    <xf numFmtId="9" fontId="1" fillId="3" borderId="0" xfId="1" applyFont="1" applyFill="1" applyBorder="1" applyAlignment="1">
      <alignment horizontal="right"/>
    </xf>
    <xf numFmtId="3" fontId="0" fillId="4" borderId="0" xfId="0" applyNumberFormat="1" applyFill="1" applyBorder="1"/>
    <xf numFmtId="0" fontId="0" fillId="4" borderId="1" xfId="0" applyFill="1" applyBorder="1"/>
    <xf numFmtId="3" fontId="0" fillId="3" borderId="1" xfId="0" applyNumberFormat="1" applyFont="1" applyFill="1" applyBorder="1" applyAlignment="1">
      <alignment horizontal="right"/>
    </xf>
    <xf numFmtId="9" fontId="1" fillId="3" borderId="1" xfId="1" applyFont="1" applyFill="1" applyBorder="1" applyAlignment="1">
      <alignment horizontal="right"/>
    </xf>
    <xf numFmtId="3" fontId="2" fillId="3" borderId="1" xfId="0" applyNumberFormat="1" applyFont="1" applyFill="1" applyBorder="1" applyAlignment="1">
      <alignment horizontal="right"/>
    </xf>
    <xf numFmtId="9" fontId="2" fillId="3" borderId="1" xfId="1" applyFont="1" applyFill="1" applyBorder="1" applyAlignment="1">
      <alignment horizontal="right"/>
    </xf>
    <xf numFmtId="0" fontId="0" fillId="4" borderId="0" xfId="0" applyFill="1" applyAlignment="1">
      <alignment horizontal="left" wrapText="1"/>
    </xf>
    <xf numFmtId="0" fontId="7" fillId="4" borderId="0" xfId="0" applyFont="1" applyFill="1"/>
    <xf numFmtId="0" fontId="0" fillId="4" borderId="0" xfId="0" applyFill="1" applyAlignment="1">
      <alignment wrapText="1"/>
    </xf>
    <xf numFmtId="0" fontId="8" fillId="4" borderId="0" xfId="2" applyFont="1" applyFill="1"/>
    <xf numFmtId="0" fontId="0" fillId="4" borderId="0" xfId="0" applyFill="1" applyAlignment="1">
      <alignment horizontal="right"/>
    </xf>
    <xf numFmtId="0" fontId="8" fillId="4" borderId="0" xfId="2" applyFill="1" applyAlignment="1">
      <alignment horizontal="right"/>
    </xf>
    <xf numFmtId="0" fontId="0" fillId="4" borderId="0" xfId="0" applyFill="1" applyAlignment="1">
      <alignment horizontal="left" wrapText="1"/>
    </xf>
    <xf numFmtId="0" fontId="0" fillId="4" borderId="0" xfId="0" applyFill="1" applyBorder="1" applyAlignment="1">
      <alignment horizontal="center"/>
    </xf>
    <xf numFmtId="0" fontId="0" fillId="4" borderId="0" xfId="0" applyFill="1" applyBorder="1" applyAlignment="1">
      <alignment horizontal="center" vertical="center" wrapText="1"/>
    </xf>
    <xf numFmtId="0" fontId="0" fillId="4" borderId="1" xfId="0" applyFill="1" applyBorder="1" applyAlignment="1">
      <alignment horizontal="center" vertical="center" wrapText="1"/>
    </xf>
    <xf numFmtId="3" fontId="0" fillId="4" borderId="0" xfId="0" applyNumberFormat="1" applyFill="1"/>
    <xf numFmtId="0" fontId="2" fillId="4" borderId="0" xfId="0" applyFont="1" applyFill="1"/>
    <xf numFmtId="0" fontId="3" fillId="5" borderId="0" xfId="0" applyFont="1" applyFill="1" applyAlignment="1">
      <alignment horizontal="left" wrapText="1"/>
    </xf>
    <xf numFmtId="0" fontId="5" fillId="4" borderId="3" xfId="0" applyFont="1" applyFill="1" applyBorder="1" applyAlignment="1">
      <alignment horizontal="center" vertical="center" wrapText="1"/>
    </xf>
    <xf numFmtId="9" fontId="5" fillId="3" borderId="0" xfId="1" applyFont="1" applyFill="1" applyBorder="1" applyAlignment="1">
      <alignment horizontal="right"/>
    </xf>
    <xf numFmtId="0" fontId="0" fillId="4" borderId="3" xfId="0" applyFill="1" applyBorder="1"/>
    <xf numFmtId="0" fontId="0" fillId="4" borderId="0" xfId="0" applyFill="1" applyBorder="1" applyAlignment="1">
      <alignment horizontal="left" wrapText="1"/>
    </xf>
    <xf numFmtId="0" fontId="7" fillId="4" borderId="0" xfId="0" applyFont="1" applyFill="1" applyBorder="1"/>
    <xf numFmtId="0" fontId="0" fillId="4" borderId="0" xfId="0" applyFill="1" applyBorder="1" applyAlignment="1">
      <alignment wrapText="1"/>
    </xf>
    <xf numFmtId="0" fontId="8" fillId="4" borderId="0" xfId="2" applyFont="1" applyFill="1" applyBorder="1"/>
    <xf numFmtId="0" fontId="0" fillId="4" borderId="0" xfId="0" applyFill="1" applyBorder="1" applyAlignment="1">
      <alignment horizontal="right"/>
    </xf>
    <xf numFmtId="1" fontId="11" fillId="3" borderId="0" xfId="0" applyNumberFormat="1" applyFont="1" applyFill="1"/>
    <xf numFmtId="0" fontId="0" fillId="8" borderId="0" xfId="0" applyFill="1" applyBorder="1"/>
    <xf numFmtId="3" fontId="0" fillId="8" borderId="0" xfId="0" applyNumberFormat="1" applyFont="1" applyFill="1" applyBorder="1" applyAlignment="1">
      <alignment horizontal="right"/>
    </xf>
    <xf numFmtId="9" fontId="1" fillId="8" borderId="0" xfId="1" applyFont="1" applyFill="1" applyBorder="1" applyAlignment="1">
      <alignment horizontal="right"/>
    </xf>
    <xf numFmtId="3" fontId="2" fillId="8" borderId="3" xfId="0" applyNumberFormat="1" applyFont="1" applyFill="1" applyBorder="1" applyAlignment="1">
      <alignment horizontal="right"/>
    </xf>
    <xf numFmtId="9" fontId="2" fillId="8" borderId="0" xfId="1" applyFont="1" applyFill="1" applyBorder="1" applyAlignment="1">
      <alignment horizontal="right"/>
    </xf>
    <xf numFmtId="164" fontId="0" fillId="8" borderId="0" xfId="0" applyNumberFormat="1" applyFill="1"/>
    <xf numFmtId="1" fontId="0" fillId="8" borderId="0" xfId="0" applyNumberFormat="1" applyFill="1"/>
    <xf numFmtId="1" fontId="11" fillId="8" borderId="0" xfId="0" applyNumberFormat="1" applyFont="1" applyFill="1"/>
    <xf numFmtId="0" fontId="0" fillId="8" borderId="0" xfId="0" applyFill="1"/>
    <xf numFmtId="0" fontId="0" fillId="3" borderId="0" xfId="0" applyFill="1" applyBorder="1"/>
    <xf numFmtId="164" fontId="0" fillId="3" borderId="0" xfId="0" applyNumberFormat="1" applyFill="1"/>
    <xf numFmtId="3" fontId="2" fillId="3" borderId="0" xfId="0" applyNumberFormat="1" applyFont="1" applyFill="1" applyBorder="1" applyAlignment="1">
      <alignment horizontal="right"/>
    </xf>
    <xf numFmtId="9" fontId="2" fillId="3" borderId="0" xfId="1" applyFont="1" applyFill="1" applyBorder="1" applyAlignment="1">
      <alignment horizontal="right"/>
    </xf>
    <xf numFmtId="3" fontId="0" fillId="3" borderId="0" xfId="0" applyNumberFormat="1" applyFont="1" applyFill="1" applyBorder="1" applyAlignment="1">
      <alignment horizontal="right"/>
    </xf>
    <xf numFmtId="9" fontId="1" fillId="3" borderId="0" xfId="1" applyFont="1" applyFill="1" applyBorder="1" applyAlignment="1">
      <alignment horizontal="right"/>
    </xf>
    <xf numFmtId="3" fontId="0" fillId="3" borderId="0" xfId="0" applyNumberFormat="1" applyFont="1" applyFill="1" applyBorder="1" applyAlignment="1">
      <alignment horizontal="right"/>
    </xf>
    <xf numFmtId="3" fontId="2" fillId="3" borderId="3" xfId="0" applyNumberFormat="1" applyFont="1" applyFill="1" applyBorder="1" applyAlignment="1">
      <alignment horizontal="right"/>
    </xf>
    <xf numFmtId="3" fontId="2" fillId="3" borderId="0" xfId="0" applyNumberFormat="1" applyFont="1" applyFill="1" applyBorder="1" applyAlignment="1">
      <alignment horizontal="right"/>
    </xf>
    <xf numFmtId="3" fontId="0" fillId="3" borderId="0" xfId="0" applyNumberFormat="1" applyFont="1" applyFill="1" applyBorder="1" applyAlignment="1">
      <alignment horizontal="right"/>
    </xf>
    <xf numFmtId="0" fontId="8" fillId="4" borderId="0" xfId="2" applyFill="1"/>
    <xf numFmtId="0" fontId="12" fillId="9" borderId="0" xfId="3" applyFill="1"/>
    <xf numFmtId="0" fontId="12" fillId="0" borderId="0" xfId="3"/>
    <xf numFmtId="0" fontId="11" fillId="0" borderId="0" xfId="3" applyFont="1"/>
    <xf numFmtId="0" fontId="12" fillId="10" borderId="0" xfId="3" applyFill="1"/>
    <xf numFmtId="0" fontId="2" fillId="10" borderId="0" xfId="3" applyFont="1" applyFill="1"/>
    <xf numFmtId="0" fontId="0" fillId="0" borderId="0" xfId="0" applyFill="1"/>
    <xf numFmtId="0" fontId="12" fillId="0" borderId="0" xfId="3" applyFill="1"/>
    <xf numFmtId="0" fontId="2" fillId="0" borderId="0" xfId="3" applyFont="1" applyFill="1"/>
    <xf numFmtId="0" fontId="11" fillId="9" borderId="0" xfId="3" quotePrefix="1" applyFont="1" applyFill="1"/>
    <xf numFmtId="0" fontId="11" fillId="9" borderId="0" xfId="3" applyFont="1" applyFill="1"/>
    <xf numFmtId="0" fontId="11" fillId="0" borderId="0" xfId="0" applyFont="1" applyFill="1"/>
    <xf numFmtId="0" fontId="12" fillId="9" borderId="0" xfId="3" applyFont="1" applyFill="1"/>
    <xf numFmtId="0" fontId="11" fillId="0" borderId="0" xfId="0" applyFont="1"/>
    <xf numFmtId="0" fontId="11" fillId="0" borderId="0" xfId="3" applyFont="1" applyFill="1"/>
    <xf numFmtId="0" fontId="13" fillId="0" borderId="0" xfId="3" applyFont="1" applyFill="1"/>
    <xf numFmtId="0" fontId="13" fillId="0" borderId="0" xfId="3" applyFont="1"/>
    <xf numFmtId="0" fontId="0" fillId="10" borderId="0" xfId="0" applyFill="1"/>
    <xf numFmtId="0" fontId="11" fillId="9" borderId="0" xfId="0" applyFont="1" applyFill="1"/>
    <xf numFmtId="0" fontId="0" fillId="3" borderId="1" xfId="0" applyFill="1" applyBorder="1"/>
    <xf numFmtId="0" fontId="0" fillId="3" borderId="1" xfId="0" applyFill="1" applyBorder="1" applyAlignment="1">
      <alignment wrapText="1"/>
    </xf>
    <xf numFmtId="3" fontId="0" fillId="3" borderId="0" xfId="0" applyNumberFormat="1" applyFill="1"/>
    <xf numFmtId="3" fontId="5" fillId="3" borderId="0" xfId="1" applyNumberFormat="1" applyFont="1" applyFill="1" applyBorder="1" applyAlignment="1">
      <alignment horizontal="right"/>
    </xf>
    <xf numFmtId="3" fontId="0" fillId="0" borderId="0" xfId="0" applyNumberFormat="1" applyFont="1" applyFill="1" applyBorder="1" applyAlignment="1">
      <alignment horizontal="right"/>
    </xf>
    <xf numFmtId="0" fontId="15" fillId="0" borderId="0" xfId="0" applyFont="1"/>
    <xf numFmtId="0" fontId="2" fillId="0" borderId="0" xfId="0" applyFont="1"/>
    <xf numFmtId="0" fontId="0" fillId="0" borderId="0" xfId="0" applyAlignment="1">
      <alignment wrapText="1"/>
    </xf>
    <xf numFmtId="0" fontId="2" fillId="0" borderId="0" xfId="0" applyFont="1" applyAlignment="1">
      <alignment horizontal="center"/>
    </xf>
    <xf numFmtId="9" fontId="6" fillId="3" borderId="0" xfId="1" applyFont="1" applyFill="1" applyBorder="1" applyAlignment="1">
      <alignment horizontal="right"/>
    </xf>
    <xf numFmtId="165" fontId="6" fillId="3" borderId="0" xfId="1" applyNumberFormat="1" applyFont="1" applyFill="1" applyBorder="1" applyAlignment="1">
      <alignment horizontal="right"/>
    </xf>
    <xf numFmtId="9" fontId="6" fillId="3" borderId="1" xfId="1" applyFont="1" applyFill="1" applyBorder="1" applyAlignment="1">
      <alignment horizontal="right"/>
    </xf>
    <xf numFmtId="9" fontId="5" fillId="3" borderId="1" xfId="1" applyFont="1" applyFill="1" applyBorder="1" applyAlignment="1">
      <alignment horizontal="right"/>
    </xf>
    <xf numFmtId="3" fontId="0" fillId="0" borderId="1" xfId="0" applyNumberFormat="1" applyFont="1" applyFill="1" applyBorder="1" applyAlignment="1">
      <alignment horizontal="right"/>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3" fillId="2" borderId="0" xfId="0" applyFont="1" applyFill="1" applyAlignment="1">
      <alignment horizontal="left" wrapText="1"/>
    </xf>
    <xf numFmtId="0" fontId="0" fillId="4" borderId="0" xfId="0" applyFill="1" applyBorder="1" applyAlignment="1">
      <alignment horizontal="center"/>
    </xf>
    <xf numFmtId="0" fontId="0" fillId="4" borderId="0"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4" fillId="11" borderId="0" xfId="0" applyFont="1" applyFill="1" applyAlignment="1">
      <alignment horizontal="left"/>
    </xf>
    <xf numFmtId="0" fontId="0" fillId="3" borderId="0" xfId="0" applyFill="1" applyAlignment="1">
      <alignment horizontal="center"/>
    </xf>
    <xf numFmtId="0" fontId="10" fillId="7" borderId="0" xfId="0" applyFont="1" applyFill="1" applyAlignment="1">
      <alignment horizontal="center" wrapText="1"/>
    </xf>
    <xf numFmtId="0" fontId="8" fillId="3" borderId="0" xfId="2" applyFill="1" applyAlignment="1">
      <alignment horizontal="right" wrapText="1"/>
    </xf>
    <xf numFmtId="0" fontId="8" fillId="3" borderId="0" xfId="2" applyFill="1" applyAlignment="1">
      <alignment horizontal="right"/>
    </xf>
    <xf numFmtId="0" fontId="0" fillId="4" borderId="0" xfId="0" applyFill="1" applyBorder="1" applyAlignment="1">
      <alignment horizontal="left" wrapText="1"/>
    </xf>
    <xf numFmtId="0" fontId="0" fillId="4" borderId="0" xfId="0" applyFill="1" applyBorder="1" applyAlignment="1">
      <alignment horizontal="left"/>
    </xf>
    <xf numFmtId="0" fontId="0" fillId="4" borderId="0" xfId="0" applyFill="1" applyBorder="1" applyAlignment="1">
      <alignment horizontal="left" vertical="top" wrapText="1"/>
    </xf>
    <xf numFmtId="0" fontId="2" fillId="6" borderId="0" xfId="0" applyFont="1" applyFill="1" applyBorder="1" applyAlignment="1">
      <alignment horizontal="center"/>
    </xf>
  </cellXfs>
  <cellStyles count="4">
    <cellStyle name="Hyperlink" xfId="2" xr:uid="{00000000-0005-0000-0000-000000000000}"/>
    <cellStyle name="Normal" xfId="0" builtinId="0"/>
    <cellStyle name="Normal 3" xfId="3" xr:uid="{45A087D3-AEEE-436D-982B-DC9C05F6BAC4}"/>
    <cellStyle name="Percent" xfId="1" builtinId="5"/>
  </cellStyles>
  <dxfs count="15">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 textlink="">
      <xdr:nvSpPr>
        <xdr:cNvPr id="2" name="Star: 5 Points 1">
          <a:extLst>
            <a:ext uri="{FF2B5EF4-FFF2-40B4-BE49-F238E27FC236}">
              <a16:creationId xmlns:a16="http://schemas.microsoft.com/office/drawing/2014/main" id="{BDC0D684-ED7A-4FEF-85C5-75573D668480}"/>
            </a:ext>
          </a:extLst>
        </xdr:cNvPr>
        <xdr:cNvSpPr/>
      </xdr:nvSpPr>
      <xdr:spPr>
        <a:xfrm>
          <a:off x="291737" y="2277564"/>
          <a:ext cx="3752306" cy="63398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0.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L70"/>
  <sheetViews>
    <sheetView topLeftCell="AJ1" workbookViewId="0">
      <pane ySplit="8" topLeftCell="A51" activePane="bottomLeft" state="frozen"/>
      <selection activeCell="A4" sqref="A4:L4"/>
      <selection pane="bottomLeft" activeCell="A4" sqref="A4:L4"/>
    </sheetView>
  </sheetViews>
  <sheetFormatPr defaultColWidth="9.1796875" defaultRowHeight="14.5" x14ac:dyDescent="0.35"/>
  <cols>
    <col min="1" max="1" width="50.7265625" style="4" customWidth="1"/>
    <col min="2" max="9" width="8.7265625" style="4" customWidth="1"/>
    <col min="10" max="10" width="2.7265625" style="4" customWidth="1"/>
    <col min="11" max="18" width="8.7265625" style="4" customWidth="1"/>
    <col min="19" max="19" width="2.7265625" style="4" customWidth="1"/>
    <col min="20" max="27" width="8.7265625" style="4" customWidth="1"/>
    <col min="28" max="28" width="2.7265625" style="4" customWidth="1"/>
    <col min="29" max="36" width="8.7265625" style="4" customWidth="1"/>
    <col min="37" max="37" width="2.7265625" style="4" customWidth="1"/>
    <col min="38" max="45" width="8.7265625" style="4" customWidth="1"/>
    <col min="46" max="46" width="2.7265625" style="4" customWidth="1"/>
    <col min="47" max="54" width="8.7265625" style="4" customWidth="1"/>
    <col min="55" max="16384" width="9.1796875" style="4"/>
  </cols>
  <sheetData>
    <row r="1" spans="1:64" s="1" customFormat="1" ht="23.25" customHeight="1" x14ac:dyDescent="0.5">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row>
    <row r="2" spans="1:64" s="1" customFormat="1" ht="23.25" customHeight="1" x14ac:dyDescent="0.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64" s="1" customFormat="1" ht="23.25" customHeight="1" x14ac:dyDescent="0.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64" s="1" customFormat="1" ht="23.25" customHeight="1" x14ac:dyDescent="0.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64" s="3" customFormat="1" x14ac:dyDescent="0.35">
      <c r="A5" s="2"/>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row>
    <row r="6" spans="1:64" s="8" customFormat="1" ht="15.75" customHeight="1" thickBot="1" x14ac:dyDescent="0.4">
      <c r="A6" s="4"/>
      <c r="B6" s="111" t="s">
        <v>1</v>
      </c>
      <c r="C6" s="111"/>
      <c r="D6" s="111"/>
      <c r="E6" s="111"/>
      <c r="F6" s="111"/>
      <c r="G6" s="111"/>
      <c r="H6" s="111"/>
      <c r="I6" s="5"/>
      <c r="J6" s="6"/>
      <c r="K6" s="113" t="s">
        <v>75</v>
      </c>
      <c r="L6" s="113"/>
      <c r="M6" s="113"/>
      <c r="N6" s="113"/>
      <c r="O6" s="113"/>
      <c r="P6" s="113"/>
      <c r="Q6" s="113"/>
      <c r="R6" s="113"/>
      <c r="S6" s="6"/>
      <c r="T6" s="112" t="s">
        <v>2</v>
      </c>
      <c r="U6" s="112"/>
      <c r="V6" s="112"/>
      <c r="W6" s="112"/>
      <c r="X6" s="112"/>
      <c r="Y6" s="112"/>
      <c r="Z6" s="112"/>
      <c r="AA6" s="7"/>
      <c r="AB6" s="6"/>
      <c r="AC6" s="113" t="s">
        <v>3</v>
      </c>
      <c r="AD6" s="113"/>
      <c r="AE6" s="113"/>
      <c r="AF6" s="113"/>
      <c r="AG6" s="113"/>
      <c r="AH6" s="113"/>
      <c r="AI6" s="113"/>
      <c r="AJ6" s="5"/>
      <c r="AK6" s="6"/>
      <c r="AL6" s="113" t="s">
        <v>4</v>
      </c>
      <c r="AM6" s="113"/>
      <c r="AN6" s="113"/>
      <c r="AO6" s="113"/>
      <c r="AP6" s="113"/>
      <c r="AQ6" s="113"/>
      <c r="AR6" s="113"/>
      <c r="AS6" s="5"/>
      <c r="AT6" s="6"/>
      <c r="AU6" s="112" t="s">
        <v>5</v>
      </c>
      <c r="AV6" s="112"/>
      <c r="AW6" s="112"/>
      <c r="AX6" s="112"/>
      <c r="AY6" s="112"/>
      <c r="AZ6" s="112"/>
      <c r="BA6" s="112"/>
      <c r="BB6" s="112"/>
    </row>
    <row r="7" spans="1:64" s="15" customFormat="1" ht="58.5" thickBot="1" x14ac:dyDescent="0.4">
      <c r="A7" s="9" t="s">
        <v>6</v>
      </c>
      <c r="B7" s="10" t="s">
        <v>7</v>
      </c>
      <c r="C7" s="10" t="s">
        <v>8</v>
      </c>
      <c r="D7" s="10" t="s">
        <v>9</v>
      </c>
      <c r="E7" s="10" t="s">
        <v>10</v>
      </c>
      <c r="F7" s="10" t="s">
        <v>11</v>
      </c>
      <c r="G7" s="10" t="s">
        <v>12</v>
      </c>
      <c r="H7" s="11" t="s">
        <v>13</v>
      </c>
      <c r="I7" s="11" t="s">
        <v>14</v>
      </c>
      <c r="J7" s="12"/>
      <c r="K7" s="10" t="s">
        <v>7</v>
      </c>
      <c r="L7" s="10" t="s">
        <v>8</v>
      </c>
      <c r="M7" s="10" t="s">
        <v>9</v>
      </c>
      <c r="N7" s="10" t="s">
        <v>10</v>
      </c>
      <c r="O7" s="10" t="s">
        <v>11</v>
      </c>
      <c r="P7" s="10" t="s">
        <v>12</v>
      </c>
      <c r="Q7" s="11" t="s">
        <v>13</v>
      </c>
      <c r="R7" s="11" t="s">
        <v>14</v>
      </c>
      <c r="S7" s="12"/>
      <c r="T7" s="13" t="s">
        <v>7</v>
      </c>
      <c r="U7" s="13" t="s">
        <v>8</v>
      </c>
      <c r="V7" s="13" t="s">
        <v>9</v>
      </c>
      <c r="W7" s="13" t="s">
        <v>10</v>
      </c>
      <c r="X7" s="13" t="s">
        <v>11</v>
      </c>
      <c r="Y7" s="13" t="s">
        <v>12</v>
      </c>
      <c r="Z7" s="14" t="s">
        <v>13</v>
      </c>
      <c r="AA7" s="14" t="s">
        <v>14</v>
      </c>
      <c r="AB7" s="12"/>
      <c r="AC7" s="10" t="s">
        <v>7</v>
      </c>
      <c r="AD7" s="10" t="s">
        <v>8</v>
      </c>
      <c r="AE7" s="10" t="s">
        <v>9</v>
      </c>
      <c r="AF7" s="10" t="s">
        <v>10</v>
      </c>
      <c r="AG7" s="10" t="s">
        <v>11</v>
      </c>
      <c r="AH7" s="10" t="s">
        <v>12</v>
      </c>
      <c r="AI7" s="11" t="s">
        <v>13</v>
      </c>
      <c r="AJ7" s="11" t="s">
        <v>14</v>
      </c>
      <c r="AK7" s="12"/>
      <c r="AL7" s="10" t="s">
        <v>7</v>
      </c>
      <c r="AM7" s="10" t="s">
        <v>8</v>
      </c>
      <c r="AN7" s="10" t="s">
        <v>9</v>
      </c>
      <c r="AO7" s="10" t="s">
        <v>10</v>
      </c>
      <c r="AP7" s="10" t="s">
        <v>11</v>
      </c>
      <c r="AQ7" s="10" t="s">
        <v>12</v>
      </c>
      <c r="AR7" s="11" t="s">
        <v>13</v>
      </c>
      <c r="AS7" s="11" t="s">
        <v>14</v>
      </c>
      <c r="AT7" s="12"/>
      <c r="AU7" s="13" t="s">
        <v>7</v>
      </c>
      <c r="AV7" s="13" t="s">
        <v>8</v>
      </c>
      <c r="AW7" s="13" t="s">
        <v>9</v>
      </c>
      <c r="AX7" s="13" t="s">
        <v>10</v>
      </c>
      <c r="AY7" s="13" t="s">
        <v>11</v>
      </c>
      <c r="AZ7" s="13" t="s">
        <v>12</v>
      </c>
      <c r="BA7" s="14" t="s">
        <v>13</v>
      </c>
      <c r="BB7" s="14" t="s">
        <v>14</v>
      </c>
    </row>
    <row r="8" spans="1:64" s="8" customFormat="1" ht="15" customHeight="1" thickBot="1" x14ac:dyDescent="0.4">
      <c r="A8" s="16" t="s">
        <v>15</v>
      </c>
      <c r="B8" s="17">
        <f>B9+B49</f>
        <v>345</v>
      </c>
      <c r="C8" s="70">
        <f t="shared" ref="C8:G8" si="0">C9+C49</f>
        <v>17</v>
      </c>
      <c r="D8" s="70">
        <f t="shared" si="0"/>
        <v>2</v>
      </c>
      <c r="E8" s="70">
        <f t="shared" si="0"/>
        <v>11</v>
      </c>
      <c r="F8" s="70">
        <f t="shared" si="0"/>
        <v>2</v>
      </c>
      <c r="G8" s="70">
        <f t="shared" si="0"/>
        <v>99</v>
      </c>
      <c r="H8" s="18">
        <v>8.5106382978723402E-2</v>
      </c>
      <c r="I8" s="18">
        <v>0.20338983050847459</v>
      </c>
      <c r="J8" s="17"/>
      <c r="K8" s="70">
        <f t="shared" ref="K8" si="1">K9+K49</f>
        <v>706</v>
      </c>
      <c r="L8" s="70">
        <f t="shared" ref="L8" si="2">L9+L49</f>
        <v>7</v>
      </c>
      <c r="M8" s="70">
        <f t="shared" ref="M8" si="3">M9+M49</f>
        <v>2</v>
      </c>
      <c r="N8" s="70">
        <f t="shared" ref="N8" si="4">N9+N49</f>
        <v>9</v>
      </c>
      <c r="O8" s="70">
        <f t="shared" ref="O8" si="5">O9+O49</f>
        <v>6</v>
      </c>
      <c r="P8" s="70">
        <f t="shared" ref="P8" si="6">P9+P49</f>
        <v>278</v>
      </c>
      <c r="Q8" s="18">
        <v>3.292181069958848E-2</v>
      </c>
      <c r="R8" s="18">
        <v>0.2767857142857143</v>
      </c>
      <c r="S8" s="17"/>
      <c r="T8" s="70">
        <f t="shared" ref="T8" si="7">T9+T49</f>
        <v>1051</v>
      </c>
      <c r="U8" s="70">
        <f t="shared" ref="U8" si="8">U9+U49</f>
        <v>24</v>
      </c>
      <c r="V8" s="70">
        <f t="shared" ref="V8" si="9">V9+V49</f>
        <v>4</v>
      </c>
      <c r="W8" s="70">
        <f t="shared" ref="W8" si="10">W9+W49</f>
        <v>20</v>
      </c>
      <c r="X8" s="70">
        <f t="shared" ref="X8" si="11">X9+X49</f>
        <v>8</v>
      </c>
      <c r="Y8" s="70">
        <f t="shared" ref="Y8" si="12">Y9+Y49</f>
        <v>377</v>
      </c>
      <c r="Z8" s="18">
        <v>5.0678733031674202E-2</v>
      </c>
      <c r="AA8" s="18">
        <v>0.2533783783783784</v>
      </c>
      <c r="AB8" s="17"/>
      <c r="AC8" s="70">
        <f t="shared" ref="AC8" si="13">AC9+AC49</f>
        <v>46</v>
      </c>
      <c r="AD8" s="70">
        <f t="shared" ref="AD8" si="14">AD9+AD49</f>
        <v>1</v>
      </c>
      <c r="AE8" s="70">
        <f t="shared" ref="AE8" si="15">AE9+AE49</f>
        <v>0</v>
      </c>
      <c r="AF8" s="70">
        <f t="shared" ref="AF8" si="16">AF9+AF49</f>
        <v>2</v>
      </c>
      <c r="AG8" s="70">
        <f t="shared" ref="AG8" si="17">AG9+AG49</f>
        <v>1</v>
      </c>
      <c r="AH8" s="70">
        <f t="shared" ref="AH8" si="18">AH9+AH49</f>
        <v>11</v>
      </c>
      <c r="AI8" s="18">
        <v>8.1632653061224483E-2</v>
      </c>
      <c r="AJ8" s="18">
        <v>0.19672131147540983</v>
      </c>
      <c r="AK8" s="17"/>
      <c r="AL8" s="70">
        <f t="shared" ref="AL8" si="19">AL9+AL49</f>
        <v>546</v>
      </c>
      <c r="AM8" s="70">
        <f t="shared" ref="AM8" si="20">AM9+AM49</f>
        <v>8</v>
      </c>
      <c r="AN8" s="70">
        <f t="shared" ref="AN8" si="21">AN9+AN49</f>
        <v>13</v>
      </c>
      <c r="AO8" s="70">
        <f t="shared" ref="AO8" si="22">AO9+AO49</f>
        <v>13</v>
      </c>
      <c r="AP8" s="70">
        <f t="shared" ref="AP8" si="23">AP9+AP49</f>
        <v>14</v>
      </c>
      <c r="AQ8" s="70">
        <f t="shared" ref="AQ8" si="24">AQ9+AQ49</f>
        <v>123</v>
      </c>
      <c r="AR8" s="18">
        <v>8.2630691399662726E-2</v>
      </c>
      <c r="AS8" s="18">
        <v>0.17524339360222532</v>
      </c>
      <c r="AT8" s="17"/>
      <c r="AU8" s="17">
        <f>AL8+AC8+T8</f>
        <v>1643</v>
      </c>
      <c r="AV8" s="17">
        <f t="shared" ref="AV8:AZ8" si="25">AM8+AD8+U8</f>
        <v>33</v>
      </c>
      <c r="AW8" s="17">
        <f t="shared" si="25"/>
        <v>17</v>
      </c>
      <c r="AX8" s="17">
        <f t="shared" si="25"/>
        <v>35</v>
      </c>
      <c r="AY8" s="17">
        <f t="shared" si="25"/>
        <v>23</v>
      </c>
      <c r="AZ8" s="17">
        <f t="shared" si="25"/>
        <v>511</v>
      </c>
      <c r="BA8" s="18">
        <v>6.2392673153978249E-2</v>
      </c>
      <c r="BB8" s="18">
        <v>0.22699115044247786</v>
      </c>
      <c r="BC8" s="19"/>
      <c r="BD8" s="20">
        <f>SUM(AU8:AZ8)</f>
        <v>2262</v>
      </c>
      <c r="BE8" s="20">
        <v>2262</v>
      </c>
      <c r="BF8" s="53">
        <f>BD8-BE8</f>
        <v>0</v>
      </c>
      <c r="BG8" s="19"/>
      <c r="BH8" s="19"/>
      <c r="BI8" s="19"/>
      <c r="BJ8" s="19"/>
      <c r="BK8" s="19"/>
      <c r="BL8" s="20"/>
    </row>
    <row r="9" spans="1:64" s="8" customFormat="1" ht="15" customHeight="1" thickBot="1" x14ac:dyDescent="0.4">
      <c r="A9" s="21" t="s">
        <v>16</v>
      </c>
      <c r="B9" s="22">
        <f>SUM(B10:B48)</f>
        <v>226</v>
      </c>
      <c r="C9" s="71">
        <f t="shared" ref="C9:G9" si="26">SUM(C10:C48)</f>
        <v>1</v>
      </c>
      <c r="D9" s="71">
        <f t="shared" si="26"/>
        <v>1</v>
      </c>
      <c r="E9" s="71">
        <f t="shared" si="26"/>
        <v>4</v>
      </c>
      <c r="F9" s="71">
        <f t="shared" si="26"/>
        <v>0</v>
      </c>
      <c r="G9" s="71">
        <f t="shared" si="26"/>
        <v>85</v>
      </c>
      <c r="H9" s="23">
        <v>2.5974025974025976E-2</v>
      </c>
      <c r="I9" s="23">
        <v>0.26198083067092653</v>
      </c>
      <c r="J9" s="22"/>
      <c r="K9" s="71">
        <f t="shared" ref="K9" si="27">SUM(K10:K48)</f>
        <v>691</v>
      </c>
      <c r="L9" s="71">
        <f t="shared" ref="L9" si="28">SUM(L10:L48)</f>
        <v>7</v>
      </c>
      <c r="M9" s="71">
        <f t="shared" ref="M9" si="29">SUM(M10:M48)</f>
        <v>1</v>
      </c>
      <c r="N9" s="71">
        <f t="shared" ref="N9" si="30">SUM(N10:N48)</f>
        <v>9</v>
      </c>
      <c r="O9" s="71">
        <f t="shared" ref="O9" si="31">SUM(O10:O48)</f>
        <v>6</v>
      </c>
      <c r="P9" s="71">
        <f t="shared" ref="P9" si="32">SUM(P10:P48)</f>
        <v>278</v>
      </c>
      <c r="Q9" s="23">
        <v>3.2258064516129031E-2</v>
      </c>
      <c r="R9" s="23">
        <v>0.28125</v>
      </c>
      <c r="S9" s="22"/>
      <c r="T9" s="71">
        <f t="shared" ref="T9" si="33">SUM(T10:T48)</f>
        <v>917</v>
      </c>
      <c r="U9" s="71">
        <f t="shared" ref="U9" si="34">SUM(U10:U48)</f>
        <v>8</v>
      </c>
      <c r="V9" s="71">
        <f t="shared" ref="V9" si="35">SUM(V10:V48)</f>
        <v>2</v>
      </c>
      <c r="W9" s="71">
        <f t="shared" ref="W9" si="36">SUM(W10:W48)</f>
        <v>13</v>
      </c>
      <c r="X9" s="71">
        <f t="shared" ref="X9" si="37">SUM(X10:X48)</f>
        <v>6</v>
      </c>
      <c r="Y9" s="71">
        <f t="shared" ref="Y9" si="38">SUM(Y10:Y48)</f>
        <v>363</v>
      </c>
      <c r="Z9" s="23">
        <v>3.0720338983050849E-2</v>
      </c>
      <c r="AA9" s="23">
        <v>0.27662835249042145</v>
      </c>
      <c r="AB9" s="22"/>
      <c r="AC9" s="71">
        <f t="shared" ref="AC9" si="39">SUM(AC10:AC48)</f>
        <v>25</v>
      </c>
      <c r="AD9" s="71">
        <f t="shared" ref="AD9" si="40">SUM(AD10:AD48)</f>
        <v>0</v>
      </c>
      <c r="AE9" s="71">
        <f t="shared" ref="AE9" si="41">SUM(AE10:AE48)</f>
        <v>0</v>
      </c>
      <c r="AF9" s="71">
        <f t="shared" ref="AF9" si="42">SUM(AF10:AF48)</f>
        <v>0</v>
      </c>
      <c r="AG9" s="71">
        <f t="shared" ref="AG9" si="43">SUM(AG10:AG48)</f>
        <v>1</v>
      </c>
      <c r="AH9" s="71">
        <f t="shared" ref="AH9" si="44">SUM(AH10:AH48)</f>
        <v>10</v>
      </c>
      <c r="AI9" s="23">
        <v>0.04</v>
      </c>
      <c r="AJ9" s="23">
        <v>0.30555555555555558</v>
      </c>
      <c r="AK9" s="22"/>
      <c r="AL9" s="71">
        <f t="shared" ref="AL9" si="45">SUM(AL10:AL48)</f>
        <v>391</v>
      </c>
      <c r="AM9" s="71">
        <f t="shared" ref="AM9" si="46">SUM(AM10:AM48)</f>
        <v>2</v>
      </c>
      <c r="AN9" s="71">
        <f t="shared" ref="AN9" si="47">SUM(AN10:AN48)</f>
        <v>6</v>
      </c>
      <c r="AO9" s="71">
        <f t="shared" ref="AO9" si="48">SUM(AO10:AO48)</f>
        <v>2</v>
      </c>
      <c r="AP9" s="71">
        <f t="shared" ref="AP9" si="49">SUM(AP10:AP48)</f>
        <v>11</v>
      </c>
      <c r="AQ9" s="71">
        <f t="shared" ref="AQ9" si="50">SUM(AQ10:AQ48)</f>
        <v>108</v>
      </c>
      <c r="AR9" s="23">
        <v>5.3527980535279802E-2</v>
      </c>
      <c r="AS9" s="23">
        <v>0.21264367816091953</v>
      </c>
      <c r="AT9" s="22"/>
      <c r="AU9" s="17">
        <f t="shared" ref="AU9:AU56" si="51">AL9+AC9+T9</f>
        <v>1333</v>
      </c>
      <c r="AV9" s="17">
        <f t="shared" ref="AV9:AV56" si="52">AM9+AD9+U9</f>
        <v>10</v>
      </c>
      <c r="AW9" s="17">
        <f t="shared" ref="AW9:AW56" si="53">AN9+AE9+V9</f>
        <v>8</v>
      </c>
      <c r="AX9" s="17">
        <f t="shared" ref="AX9:AX56" si="54">AO9+AF9+W9</f>
        <v>15</v>
      </c>
      <c r="AY9" s="17">
        <f t="shared" ref="AY9:AY56" si="55">AP9+AG9+X9</f>
        <v>18</v>
      </c>
      <c r="AZ9" s="17">
        <f t="shared" ref="AZ9:AZ56" si="56">AQ9+AH9+Y9</f>
        <v>481</v>
      </c>
      <c r="BA9" s="23">
        <v>3.7681159420289857E-2</v>
      </c>
      <c r="BB9" s="23">
        <v>0.25925925925925924</v>
      </c>
      <c r="BC9" s="19"/>
      <c r="BD9" s="20">
        <f t="shared" ref="BD9:BD56" si="57">SUM(AU9:AZ9)</f>
        <v>1865</v>
      </c>
      <c r="BE9" s="20">
        <v>1865</v>
      </c>
      <c r="BF9" s="53">
        <f t="shared" ref="BF9:BF56" si="58">BD9-BE9</f>
        <v>0</v>
      </c>
      <c r="BG9" s="19"/>
      <c r="BH9" s="19"/>
      <c r="BI9" s="19"/>
      <c r="BJ9" s="19"/>
      <c r="BK9" s="19"/>
    </row>
    <row r="10" spans="1:64" s="8" customFormat="1" ht="15" customHeight="1" thickBot="1" x14ac:dyDescent="0.4">
      <c r="A10" s="2" t="s">
        <v>17</v>
      </c>
      <c r="B10" s="24">
        <v>0</v>
      </c>
      <c r="C10" s="24">
        <v>0</v>
      </c>
      <c r="D10" s="24">
        <v>0</v>
      </c>
      <c r="E10" s="24">
        <v>0</v>
      </c>
      <c r="F10" s="24">
        <v>0</v>
      </c>
      <c r="G10" s="24">
        <v>0</v>
      </c>
      <c r="H10" s="25" t="s">
        <v>74</v>
      </c>
      <c r="I10" s="25" t="s">
        <v>74</v>
      </c>
      <c r="J10" s="24"/>
      <c r="K10" s="24">
        <v>0</v>
      </c>
      <c r="L10" s="24">
        <v>0</v>
      </c>
      <c r="M10" s="24">
        <v>0</v>
      </c>
      <c r="N10" s="24">
        <v>0</v>
      </c>
      <c r="O10" s="24">
        <v>0</v>
      </c>
      <c r="P10" s="24">
        <v>0</v>
      </c>
      <c r="Q10" s="25" t="s">
        <v>74</v>
      </c>
      <c r="R10" s="25" t="s">
        <v>74</v>
      </c>
      <c r="S10" s="24"/>
      <c r="T10" s="17">
        <f t="shared" ref="T10:T56" si="59">B10+K10</f>
        <v>0</v>
      </c>
      <c r="U10" s="17">
        <f t="shared" ref="U10:U56" si="60">C10+L10</f>
        <v>0</v>
      </c>
      <c r="V10" s="17">
        <f t="shared" ref="V10:V56" si="61">D10+M10</f>
        <v>0</v>
      </c>
      <c r="W10" s="17">
        <f t="shared" ref="W10:W56" si="62">E10+N10</f>
        <v>0</v>
      </c>
      <c r="X10" s="17">
        <f t="shared" ref="X10:X56" si="63">F10+O10</f>
        <v>0</v>
      </c>
      <c r="Y10" s="17">
        <f t="shared" ref="Y10:Y56" si="64">G10+P10</f>
        <v>0</v>
      </c>
      <c r="Z10" s="23" t="s">
        <v>74</v>
      </c>
      <c r="AA10" s="23" t="s">
        <v>74</v>
      </c>
      <c r="AB10" s="24"/>
      <c r="AC10" s="24">
        <v>0</v>
      </c>
      <c r="AD10" s="24">
        <v>0</v>
      </c>
      <c r="AE10" s="24">
        <v>0</v>
      </c>
      <c r="AF10" s="24">
        <v>0</v>
      </c>
      <c r="AG10" s="24">
        <v>0</v>
      </c>
      <c r="AH10" s="24">
        <v>0</v>
      </c>
      <c r="AI10" s="25" t="s">
        <v>74</v>
      </c>
      <c r="AJ10" s="25" t="s">
        <v>74</v>
      </c>
      <c r="AK10" s="24"/>
      <c r="AL10" s="24">
        <v>0</v>
      </c>
      <c r="AM10" s="24">
        <v>0</v>
      </c>
      <c r="AN10" s="24">
        <v>0</v>
      </c>
      <c r="AO10" s="24">
        <v>0</v>
      </c>
      <c r="AP10" s="24">
        <v>0</v>
      </c>
      <c r="AQ10" s="24">
        <v>0</v>
      </c>
      <c r="AR10" s="25" t="s">
        <v>74</v>
      </c>
      <c r="AS10" s="25" t="s">
        <v>74</v>
      </c>
      <c r="AT10" s="24"/>
      <c r="AU10" s="17">
        <f t="shared" si="51"/>
        <v>0</v>
      </c>
      <c r="AV10" s="17">
        <f t="shared" si="52"/>
        <v>0</v>
      </c>
      <c r="AW10" s="17">
        <f t="shared" si="53"/>
        <v>0</v>
      </c>
      <c r="AX10" s="17">
        <f t="shared" si="54"/>
        <v>0</v>
      </c>
      <c r="AY10" s="17">
        <f t="shared" si="55"/>
        <v>0</v>
      </c>
      <c r="AZ10" s="17">
        <f t="shared" si="56"/>
        <v>0</v>
      </c>
      <c r="BA10" s="23" t="s">
        <v>74</v>
      </c>
      <c r="BB10" s="23" t="s">
        <v>74</v>
      </c>
      <c r="BC10" s="19"/>
      <c r="BD10" s="20">
        <f t="shared" si="57"/>
        <v>0</v>
      </c>
      <c r="BE10" s="20">
        <v>0</v>
      </c>
      <c r="BF10" s="53">
        <f t="shared" si="58"/>
        <v>0</v>
      </c>
      <c r="BG10" s="19"/>
      <c r="BH10" s="19"/>
      <c r="BI10" s="19"/>
      <c r="BJ10" s="19"/>
      <c r="BK10" s="19"/>
    </row>
    <row r="11" spans="1:64" s="8" customFormat="1" ht="15" customHeight="1" thickBot="1" x14ac:dyDescent="0.4">
      <c r="A11" s="2" t="s">
        <v>18</v>
      </c>
      <c r="B11" s="24">
        <v>18</v>
      </c>
      <c r="C11" s="24">
        <v>1</v>
      </c>
      <c r="D11" s="24">
        <v>0</v>
      </c>
      <c r="E11" s="24">
        <v>4</v>
      </c>
      <c r="F11" s="24">
        <v>0</v>
      </c>
      <c r="G11" s="24">
        <v>0</v>
      </c>
      <c r="H11" s="25">
        <v>0.21739130434782608</v>
      </c>
      <c r="I11" s="25">
        <v>0</v>
      </c>
      <c r="J11" s="24"/>
      <c r="K11" s="24">
        <v>18</v>
      </c>
      <c r="L11" s="24">
        <v>0</v>
      </c>
      <c r="M11" s="24">
        <v>0</v>
      </c>
      <c r="N11" s="24">
        <v>4</v>
      </c>
      <c r="O11" s="24">
        <v>0</v>
      </c>
      <c r="P11" s="24">
        <v>0</v>
      </c>
      <c r="Q11" s="25">
        <v>0.18181818181818182</v>
      </c>
      <c r="R11" s="25">
        <v>0</v>
      </c>
      <c r="S11" s="24"/>
      <c r="T11" s="17">
        <f t="shared" si="59"/>
        <v>36</v>
      </c>
      <c r="U11" s="17">
        <f t="shared" si="60"/>
        <v>1</v>
      </c>
      <c r="V11" s="17">
        <f t="shared" si="61"/>
        <v>0</v>
      </c>
      <c r="W11" s="17">
        <f t="shared" si="62"/>
        <v>8</v>
      </c>
      <c r="X11" s="17">
        <f t="shared" si="63"/>
        <v>0</v>
      </c>
      <c r="Y11" s="17">
        <f t="shared" si="64"/>
        <v>0</v>
      </c>
      <c r="Z11" s="23">
        <v>0.2</v>
      </c>
      <c r="AA11" s="23">
        <v>0</v>
      </c>
      <c r="AB11" s="24"/>
      <c r="AC11" s="24">
        <v>0</v>
      </c>
      <c r="AD11" s="24">
        <v>0</v>
      </c>
      <c r="AE11" s="24">
        <v>0</v>
      </c>
      <c r="AF11" s="24">
        <v>0</v>
      </c>
      <c r="AG11" s="24">
        <v>0</v>
      </c>
      <c r="AH11" s="24">
        <v>0</v>
      </c>
      <c r="AI11" s="25" t="s">
        <v>74</v>
      </c>
      <c r="AJ11" s="25" t="s">
        <v>74</v>
      </c>
      <c r="AK11" s="24"/>
      <c r="AL11" s="24">
        <v>10</v>
      </c>
      <c r="AM11" s="24">
        <v>0</v>
      </c>
      <c r="AN11" s="24">
        <v>1</v>
      </c>
      <c r="AO11" s="24">
        <v>1</v>
      </c>
      <c r="AP11" s="24">
        <v>0</v>
      </c>
      <c r="AQ11" s="24">
        <v>0</v>
      </c>
      <c r="AR11" s="25">
        <v>0.16666666666666666</v>
      </c>
      <c r="AS11" s="25">
        <v>0</v>
      </c>
      <c r="AT11" s="24"/>
      <c r="AU11" s="17">
        <f t="shared" si="51"/>
        <v>46</v>
      </c>
      <c r="AV11" s="17">
        <f t="shared" si="52"/>
        <v>1</v>
      </c>
      <c r="AW11" s="17">
        <f t="shared" si="53"/>
        <v>1</v>
      </c>
      <c r="AX11" s="17">
        <f t="shared" si="54"/>
        <v>9</v>
      </c>
      <c r="AY11" s="17">
        <f t="shared" si="55"/>
        <v>0</v>
      </c>
      <c r="AZ11" s="17">
        <f t="shared" si="56"/>
        <v>0</v>
      </c>
      <c r="BA11" s="23">
        <v>0.19298245614035087</v>
      </c>
      <c r="BB11" s="23">
        <v>0</v>
      </c>
      <c r="BC11" s="19"/>
      <c r="BD11" s="20">
        <f t="shared" si="57"/>
        <v>57</v>
      </c>
      <c r="BE11" s="20">
        <v>57</v>
      </c>
      <c r="BF11" s="53">
        <f t="shared" si="58"/>
        <v>0</v>
      </c>
      <c r="BG11" s="19"/>
      <c r="BH11" s="19"/>
      <c r="BI11" s="19"/>
      <c r="BJ11" s="19"/>
      <c r="BK11" s="19"/>
    </row>
    <row r="12" spans="1:64" s="8" customFormat="1" ht="15" customHeight="1" thickBot="1" x14ac:dyDescent="0.4">
      <c r="A12" s="2" t="s">
        <v>19</v>
      </c>
      <c r="B12" s="24">
        <v>7</v>
      </c>
      <c r="C12" s="24">
        <v>0</v>
      </c>
      <c r="D12" s="24">
        <v>0</v>
      </c>
      <c r="E12" s="24">
        <v>0</v>
      </c>
      <c r="F12" s="24">
        <v>0</v>
      </c>
      <c r="G12" s="24">
        <v>0</v>
      </c>
      <c r="H12" s="25">
        <v>0</v>
      </c>
      <c r="I12" s="25">
        <v>0</v>
      </c>
      <c r="J12" s="24"/>
      <c r="K12" s="24">
        <v>8</v>
      </c>
      <c r="L12" s="24">
        <v>0</v>
      </c>
      <c r="M12" s="24">
        <v>0</v>
      </c>
      <c r="N12" s="24">
        <v>0</v>
      </c>
      <c r="O12" s="24">
        <v>0</v>
      </c>
      <c r="P12" s="24">
        <v>0</v>
      </c>
      <c r="Q12" s="25">
        <v>0</v>
      </c>
      <c r="R12" s="25">
        <v>0</v>
      </c>
      <c r="S12" s="24"/>
      <c r="T12" s="17">
        <f t="shared" si="59"/>
        <v>15</v>
      </c>
      <c r="U12" s="17">
        <f t="shared" si="60"/>
        <v>0</v>
      </c>
      <c r="V12" s="17">
        <f t="shared" si="61"/>
        <v>0</v>
      </c>
      <c r="W12" s="17">
        <f t="shared" si="62"/>
        <v>0</v>
      </c>
      <c r="X12" s="17">
        <f t="shared" si="63"/>
        <v>0</v>
      </c>
      <c r="Y12" s="17">
        <f t="shared" si="64"/>
        <v>0</v>
      </c>
      <c r="Z12" s="23">
        <v>0</v>
      </c>
      <c r="AA12" s="23">
        <v>0</v>
      </c>
      <c r="AB12" s="24"/>
      <c r="AC12" s="24">
        <v>3</v>
      </c>
      <c r="AD12" s="24">
        <v>0</v>
      </c>
      <c r="AE12" s="24">
        <v>0</v>
      </c>
      <c r="AF12" s="24">
        <v>0</v>
      </c>
      <c r="AG12" s="24">
        <v>0</v>
      </c>
      <c r="AH12" s="24">
        <v>0</v>
      </c>
      <c r="AI12" s="25">
        <v>0</v>
      </c>
      <c r="AJ12" s="25">
        <v>0</v>
      </c>
      <c r="AK12" s="24"/>
      <c r="AL12" s="24">
        <v>19</v>
      </c>
      <c r="AM12" s="24">
        <v>0</v>
      </c>
      <c r="AN12" s="24">
        <v>1</v>
      </c>
      <c r="AO12" s="24">
        <v>1</v>
      </c>
      <c r="AP12" s="24">
        <v>0</v>
      </c>
      <c r="AQ12" s="24">
        <v>1</v>
      </c>
      <c r="AR12" s="25">
        <v>9.5238095238095233E-2</v>
      </c>
      <c r="AS12" s="25">
        <v>4.5454545454545456E-2</v>
      </c>
      <c r="AT12" s="24"/>
      <c r="AU12" s="17">
        <f t="shared" si="51"/>
        <v>37</v>
      </c>
      <c r="AV12" s="17">
        <f t="shared" si="52"/>
        <v>0</v>
      </c>
      <c r="AW12" s="17">
        <f t="shared" si="53"/>
        <v>1</v>
      </c>
      <c r="AX12" s="17">
        <f t="shared" si="54"/>
        <v>1</v>
      </c>
      <c r="AY12" s="17">
        <f t="shared" si="55"/>
        <v>0</v>
      </c>
      <c r="AZ12" s="17">
        <f t="shared" si="56"/>
        <v>1</v>
      </c>
      <c r="BA12" s="23">
        <v>5.128205128205128E-2</v>
      </c>
      <c r="BB12" s="23">
        <v>2.5000000000000001E-2</v>
      </c>
      <c r="BC12" s="19"/>
      <c r="BD12" s="20">
        <f t="shared" si="57"/>
        <v>40</v>
      </c>
      <c r="BE12" s="20">
        <v>40</v>
      </c>
      <c r="BF12" s="53">
        <f t="shared" si="58"/>
        <v>0</v>
      </c>
      <c r="BG12" s="19"/>
      <c r="BH12" s="19"/>
      <c r="BI12" s="19"/>
      <c r="BJ12" s="19"/>
      <c r="BK12" s="19"/>
    </row>
    <row r="13" spans="1:64" s="8" customFormat="1" ht="15" customHeight="1" thickBot="1" x14ac:dyDescent="0.4">
      <c r="A13" s="2" t="s">
        <v>20</v>
      </c>
      <c r="B13" s="24">
        <v>11</v>
      </c>
      <c r="C13" s="24">
        <v>0</v>
      </c>
      <c r="D13" s="24">
        <v>0</v>
      </c>
      <c r="E13" s="24">
        <v>0</v>
      </c>
      <c r="F13" s="24">
        <v>0</v>
      </c>
      <c r="G13" s="24">
        <v>0</v>
      </c>
      <c r="H13" s="25">
        <v>0</v>
      </c>
      <c r="I13" s="25">
        <v>0</v>
      </c>
      <c r="J13" s="24"/>
      <c r="K13" s="24">
        <v>20</v>
      </c>
      <c r="L13" s="24">
        <v>0</v>
      </c>
      <c r="M13" s="24">
        <v>1</v>
      </c>
      <c r="N13" s="24">
        <v>0</v>
      </c>
      <c r="O13" s="24">
        <v>0</v>
      </c>
      <c r="P13" s="24">
        <v>0</v>
      </c>
      <c r="Q13" s="25">
        <v>4.7619047619047616E-2</v>
      </c>
      <c r="R13" s="25">
        <v>0</v>
      </c>
      <c r="S13" s="24"/>
      <c r="T13" s="17">
        <f t="shared" si="59"/>
        <v>31</v>
      </c>
      <c r="U13" s="17">
        <f t="shared" si="60"/>
        <v>0</v>
      </c>
      <c r="V13" s="17">
        <f t="shared" si="61"/>
        <v>1</v>
      </c>
      <c r="W13" s="17">
        <f t="shared" si="62"/>
        <v>0</v>
      </c>
      <c r="X13" s="17">
        <f t="shared" si="63"/>
        <v>0</v>
      </c>
      <c r="Y13" s="17">
        <f t="shared" si="64"/>
        <v>0</v>
      </c>
      <c r="Z13" s="23">
        <v>3.125E-2</v>
      </c>
      <c r="AA13" s="23">
        <v>0</v>
      </c>
      <c r="AB13" s="24"/>
      <c r="AC13" s="24">
        <v>0</v>
      </c>
      <c r="AD13" s="24">
        <v>0</v>
      </c>
      <c r="AE13" s="24">
        <v>0</v>
      </c>
      <c r="AF13" s="24">
        <v>0</v>
      </c>
      <c r="AG13" s="24">
        <v>0</v>
      </c>
      <c r="AH13" s="24">
        <v>0</v>
      </c>
      <c r="AI13" s="25" t="s">
        <v>74</v>
      </c>
      <c r="AJ13" s="25" t="s">
        <v>74</v>
      </c>
      <c r="AK13" s="24"/>
      <c r="AL13" s="24">
        <v>8</v>
      </c>
      <c r="AM13" s="24">
        <v>0</v>
      </c>
      <c r="AN13" s="24">
        <v>0</v>
      </c>
      <c r="AO13" s="24">
        <v>0</v>
      </c>
      <c r="AP13" s="24">
        <v>0</v>
      </c>
      <c r="AQ13" s="24">
        <v>1</v>
      </c>
      <c r="AR13" s="25">
        <v>0</v>
      </c>
      <c r="AS13" s="25">
        <v>0.1111111111111111</v>
      </c>
      <c r="AT13" s="24"/>
      <c r="AU13" s="17">
        <f t="shared" si="51"/>
        <v>39</v>
      </c>
      <c r="AV13" s="17">
        <f t="shared" si="52"/>
        <v>0</v>
      </c>
      <c r="AW13" s="17">
        <f t="shared" si="53"/>
        <v>1</v>
      </c>
      <c r="AX13" s="17">
        <f t="shared" si="54"/>
        <v>0</v>
      </c>
      <c r="AY13" s="17">
        <f t="shared" si="55"/>
        <v>0</v>
      </c>
      <c r="AZ13" s="17">
        <f t="shared" si="56"/>
        <v>1</v>
      </c>
      <c r="BA13" s="23">
        <v>2.5000000000000001E-2</v>
      </c>
      <c r="BB13" s="23">
        <v>2.4390243902439025E-2</v>
      </c>
      <c r="BC13" s="19"/>
      <c r="BD13" s="20">
        <f t="shared" si="57"/>
        <v>41</v>
      </c>
      <c r="BE13" s="20">
        <v>41</v>
      </c>
      <c r="BF13" s="53">
        <f t="shared" si="58"/>
        <v>0</v>
      </c>
      <c r="BG13" s="19"/>
      <c r="BH13" s="19"/>
      <c r="BI13" s="19"/>
      <c r="BJ13" s="19"/>
      <c r="BK13" s="19"/>
    </row>
    <row r="14" spans="1:64" s="8" customFormat="1" ht="15" customHeight="1" thickBot="1" x14ac:dyDescent="0.4">
      <c r="A14" s="2" t="s">
        <v>21</v>
      </c>
      <c r="B14" s="24">
        <v>0</v>
      </c>
      <c r="C14" s="24">
        <v>0</v>
      </c>
      <c r="D14" s="24">
        <v>0</v>
      </c>
      <c r="E14" s="24">
        <v>0</v>
      </c>
      <c r="F14" s="24">
        <v>0</v>
      </c>
      <c r="G14" s="24">
        <v>0</v>
      </c>
      <c r="H14" s="25" t="s">
        <v>74</v>
      </c>
      <c r="I14" s="25" t="s">
        <v>74</v>
      </c>
      <c r="J14" s="24"/>
      <c r="K14" s="24">
        <v>0</v>
      </c>
      <c r="L14" s="24">
        <v>0</v>
      </c>
      <c r="M14" s="24">
        <v>0</v>
      </c>
      <c r="N14" s="24">
        <v>0</v>
      </c>
      <c r="O14" s="24">
        <v>0</v>
      </c>
      <c r="P14" s="24">
        <v>0</v>
      </c>
      <c r="Q14" s="25" t="s">
        <v>74</v>
      </c>
      <c r="R14" s="25" t="s">
        <v>74</v>
      </c>
      <c r="S14" s="24"/>
      <c r="T14" s="17">
        <f t="shared" si="59"/>
        <v>0</v>
      </c>
      <c r="U14" s="17">
        <f t="shared" si="60"/>
        <v>0</v>
      </c>
      <c r="V14" s="17">
        <f t="shared" si="61"/>
        <v>0</v>
      </c>
      <c r="W14" s="17">
        <f t="shared" si="62"/>
        <v>0</v>
      </c>
      <c r="X14" s="17">
        <f t="shared" si="63"/>
        <v>0</v>
      </c>
      <c r="Y14" s="17">
        <f t="shared" si="64"/>
        <v>0</v>
      </c>
      <c r="Z14" s="23" t="s">
        <v>74</v>
      </c>
      <c r="AA14" s="23" t="s">
        <v>74</v>
      </c>
      <c r="AB14" s="24"/>
      <c r="AC14" s="24">
        <v>0</v>
      </c>
      <c r="AD14" s="24">
        <v>0</v>
      </c>
      <c r="AE14" s="24">
        <v>0</v>
      </c>
      <c r="AF14" s="24">
        <v>0</v>
      </c>
      <c r="AG14" s="24">
        <v>0</v>
      </c>
      <c r="AH14" s="24">
        <v>0</v>
      </c>
      <c r="AI14" s="25" t="s">
        <v>74</v>
      </c>
      <c r="AJ14" s="25" t="s">
        <v>74</v>
      </c>
      <c r="AK14" s="24"/>
      <c r="AL14" s="24">
        <v>0</v>
      </c>
      <c r="AM14" s="24">
        <v>0</v>
      </c>
      <c r="AN14" s="24">
        <v>0</v>
      </c>
      <c r="AO14" s="24">
        <v>0</v>
      </c>
      <c r="AP14" s="24">
        <v>0</v>
      </c>
      <c r="AQ14" s="24">
        <v>0</v>
      </c>
      <c r="AR14" s="25" t="s">
        <v>74</v>
      </c>
      <c r="AS14" s="25" t="s">
        <v>74</v>
      </c>
      <c r="AT14" s="24"/>
      <c r="AU14" s="17">
        <f t="shared" si="51"/>
        <v>0</v>
      </c>
      <c r="AV14" s="17">
        <f t="shared" si="52"/>
        <v>0</v>
      </c>
      <c r="AW14" s="17">
        <f t="shared" si="53"/>
        <v>0</v>
      </c>
      <c r="AX14" s="17">
        <f t="shared" si="54"/>
        <v>0</v>
      </c>
      <c r="AY14" s="17">
        <f t="shared" si="55"/>
        <v>0</v>
      </c>
      <c r="AZ14" s="17">
        <f t="shared" si="56"/>
        <v>0</v>
      </c>
      <c r="BA14" s="23" t="s">
        <v>74</v>
      </c>
      <c r="BB14" s="23" t="s">
        <v>74</v>
      </c>
      <c r="BC14" s="19"/>
      <c r="BD14" s="20">
        <f t="shared" si="57"/>
        <v>0</v>
      </c>
      <c r="BE14" s="20">
        <v>0</v>
      </c>
      <c r="BF14" s="53">
        <f t="shared" si="58"/>
        <v>0</v>
      </c>
      <c r="BG14" s="19"/>
      <c r="BH14" s="19"/>
      <c r="BI14" s="19"/>
      <c r="BJ14" s="19"/>
      <c r="BK14" s="19"/>
    </row>
    <row r="15" spans="1:64" s="8" customFormat="1" ht="15" customHeight="1" thickBot="1" x14ac:dyDescent="0.4">
      <c r="A15" s="2" t="s">
        <v>22</v>
      </c>
      <c r="B15" s="24">
        <v>28</v>
      </c>
      <c r="C15" s="24">
        <v>0</v>
      </c>
      <c r="D15" s="24">
        <v>1</v>
      </c>
      <c r="E15" s="24">
        <v>0</v>
      </c>
      <c r="F15" s="24">
        <v>0</v>
      </c>
      <c r="G15" s="24">
        <v>1</v>
      </c>
      <c r="H15" s="25">
        <v>3.4482758620689655E-2</v>
      </c>
      <c r="I15" s="25">
        <v>3.3333333333333333E-2</v>
      </c>
      <c r="J15" s="24"/>
      <c r="K15" s="24">
        <v>58</v>
      </c>
      <c r="L15" s="24">
        <v>0</v>
      </c>
      <c r="M15" s="24">
        <v>0</v>
      </c>
      <c r="N15" s="24">
        <v>1</v>
      </c>
      <c r="O15" s="24">
        <v>0</v>
      </c>
      <c r="P15" s="24">
        <v>1</v>
      </c>
      <c r="Q15" s="25">
        <v>1.6949152542372881E-2</v>
      </c>
      <c r="R15" s="25">
        <v>1.6666666666666666E-2</v>
      </c>
      <c r="S15" s="24"/>
      <c r="T15" s="17">
        <f t="shared" si="59"/>
        <v>86</v>
      </c>
      <c r="U15" s="17">
        <f t="shared" si="60"/>
        <v>0</v>
      </c>
      <c r="V15" s="17">
        <f t="shared" si="61"/>
        <v>1</v>
      </c>
      <c r="W15" s="17">
        <f t="shared" si="62"/>
        <v>1</v>
      </c>
      <c r="X15" s="17">
        <f t="shared" si="63"/>
        <v>0</v>
      </c>
      <c r="Y15" s="17">
        <f t="shared" si="64"/>
        <v>2</v>
      </c>
      <c r="Z15" s="23">
        <v>2.2727272727272728E-2</v>
      </c>
      <c r="AA15" s="23">
        <v>2.2222222222222223E-2</v>
      </c>
      <c r="AB15" s="24"/>
      <c r="AC15" s="24">
        <v>0</v>
      </c>
      <c r="AD15" s="24">
        <v>0</v>
      </c>
      <c r="AE15" s="24">
        <v>0</v>
      </c>
      <c r="AF15" s="24">
        <v>0</v>
      </c>
      <c r="AG15" s="24">
        <v>0</v>
      </c>
      <c r="AH15" s="24">
        <v>0</v>
      </c>
      <c r="AI15" s="25" t="s">
        <v>74</v>
      </c>
      <c r="AJ15" s="25" t="s">
        <v>74</v>
      </c>
      <c r="AK15" s="24"/>
      <c r="AL15" s="24">
        <v>47</v>
      </c>
      <c r="AM15" s="24">
        <v>0</v>
      </c>
      <c r="AN15" s="24">
        <v>0</v>
      </c>
      <c r="AO15" s="24">
        <v>0</v>
      </c>
      <c r="AP15" s="24">
        <v>0</v>
      </c>
      <c r="AQ15" s="24">
        <v>6</v>
      </c>
      <c r="AR15" s="25">
        <v>0</v>
      </c>
      <c r="AS15" s="25">
        <v>0.11320754716981132</v>
      </c>
      <c r="AT15" s="24"/>
      <c r="AU15" s="17">
        <f t="shared" si="51"/>
        <v>133</v>
      </c>
      <c r="AV15" s="17">
        <f t="shared" si="52"/>
        <v>0</v>
      </c>
      <c r="AW15" s="17">
        <f t="shared" si="53"/>
        <v>1</v>
      </c>
      <c r="AX15" s="17">
        <f t="shared" si="54"/>
        <v>1</v>
      </c>
      <c r="AY15" s="17">
        <f t="shared" si="55"/>
        <v>0</v>
      </c>
      <c r="AZ15" s="17">
        <f t="shared" si="56"/>
        <v>8</v>
      </c>
      <c r="BA15" s="23">
        <v>1.4814814814814815E-2</v>
      </c>
      <c r="BB15" s="23">
        <v>5.5944055944055944E-2</v>
      </c>
      <c r="BC15" s="19"/>
      <c r="BD15" s="20">
        <f t="shared" si="57"/>
        <v>143</v>
      </c>
      <c r="BE15" s="20">
        <v>143</v>
      </c>
      <c r="BF15" s="53">
        <f t="shared" si="58"/>
        <v>0</v>
      </c>
      <c r="BG15" s="19"/>
      <c r="BH15" s="19"/>
      <c r="BI15" s="19"/>
      <c r="BJ15" s="19"/>
      <c r="BK15" s="19"/>
    </row>
    <row r="16" spans="1:64" s="8" customFormat="1" ht="15" customHeight="1" thickBot="1" x14ac:dyDescent="0.4">
      <c r="A16" s="2" t="s">
        <v>23</v>
      </c>
      <c r="B16" s="24">
        <v>0</v>
      </c>
      <c r="C16" s="24">
        <v>0</v>
      </c>
      <c r="D16" s="24">
        <v>0</v>
      </c>
      <c r="E16" s="24">
        <v>0</v>
      </c>
      <c r="F16" s="24">
        <v>0</v>
      </c>
      <c r="G16" s="24">
        <v>0</v>
      </c>
      <c r="H16" s="25" t="s">
        <v>74</v>
      </c>
      <c r="I16" s="25" t="s">
        <v>74</v>
      </c>
      <c r="J16" s="24"/>
      <c r="K16" s="24">
        <v>0</v>
      </c>
      <c r="L16" s="24">
        <v>0</v>
      </c>
      <c r="M16" s="24">
        <v>0</v>
      </c>
      <c r="N16" s="24">
        <v>0</v>
      </c>
      <c r="O16" s="24">
        <v>0</v>
      </c>
      <c r="P16" s="24">
        <v>0</v>
      </c>
      <c r="Q16" s="25" t="s">
        <v>74</v>
      </c>
      <c r="R16" s="25" t="s">
        <v>74</v>
      </c>
      <c r="S16" s="24"/>
      <c r="T16" s="17">
        <f t="shared" si="59"/>
        <v>0</v>
      </c>
      <c r="U16" s="17">
        <f t="shared" si="60"/>
        <v>0</v>
      </c>
      <c r="V16" s="17">
        <f t="shared" si="61"/>
        <v>0</v>
      </c>
      <c r="W16" s="17">
        <f t="shared" si="62"/>
        <v>0</v>
      </c>
      <c r="X16" s="17">
        <f t="shared" si="63"/>
        <v>0</v>
      </c>
      <c r="Y16" s="17">
        <f t="shared" si="64"/>
        <v>0</v>
      </c>
      <c r="Z16" s="23" t="s">
        <v>74</v>
      </c>
      <c r="AA16" s="23" t="s">
        <v>74</v>
      </c>
      <c r="AB16" s="24"/>
      <c r="AC16" s="24">
        <v>0</v>
      </c>
      <c r="AD16" s="24">
        <v>0</v>
      </c>
      <c r="AE16" s="24">
        <v>0</v>
      </c>
      <c r="AF16" s="24">
        <v>0</v>
      </c>
      <c r="AG16" s="24">
        <v>0</v>
      </c>
      <c r="AH16" s="24">
        <v>0</v>
      </c>
      <c r="AI16" s="25" t="s">
        <v>74</v>
      </c>
      <c r="AJ16" s="25" t="s">
        <v>74</v>
      </c>
      <c r="AK16" s="24"/>
      <c r="AL16" s="24">
        <v>0</v>
      </c>
      <c r="AM16" s="24">
        <v>0</v>
      </c>
      <c r="AN16" s="24">
        <v>0</v>
      </c>
      <c r="AO16" s="24">
        <v>0</v>
      </c>
      <c r="AP16" s="24">
        <v>0</v>
      </c>
      <c r="AQ16" s="24">
        <v>0</v>
      </c>
      <c r="AR16" s="25" t="s">
        <v>74</v>
      </c>
      <c r="AS16" s="25" t="s">
        <v>74</v>
      </c>
      <c r="AT16" s="24"/>
      <c r="AU16" s="17">
        <f t="shared" si="51"/>
        <v>0</v>
      </c>
      <c r="AV16" s="17">
        <f t="shared" si="52"/>
        <v>0</v>
      </c>
      <c r="AW16" s="17">
        <f t="shared" si="53"/>
        <v>0</v>
      </c>
      <c r="AX16" s="17">
        <f t="shared" si="54"/>
        <v>0</v>
      </c>
      <c r="AY16" s="17">
        <f t="shared" si="55"/>
        <v>0</v>
      </c>
      <c r="AZ16" s="17">
        <f t="shared" si="56"/>
        <v>0</v>
      </c>
      <c r="BA16" s="23" t="s">
        <v>74</v>
      </c>
      <c r="BB16" s="23" t="s">
        <v>74</v>
      </c>
      <c r="BC16" s="19"/>
      <c r="BD16" s="20">
        <f t="shared" si="57"/>
        <v>0</v>
      </c>
      <c r="BE16" s="20">
        <v>0</v>
      </c>
      <c r="BF16" s="53">
        <f t="shared" si="58"/>
        <v>0</v>
      </c>
      <c r="BG16" s="19"/>
      <c r="BH16" s="19"/>
      <c r="BI16" s="19"/>
      <c r="BJ16" s="19"/>
      <c r="BK16" s="19"/>
    </row>
    <row r="17" spans="1:63" s="8" customFormat="1" ht="15" customHeight="1" thickBot="1" x14ac:dyDescent="0.4">
      <c r="A17" s="2" t="s">
        <v>24</v>
      </c>
      <c r="B17" s="24">
        <v>0</v>
      </c>
      <c r="C17" s="24">
        <v>0</v>
      </c>
      <c r="D17" s="24">
        <v>0</v>
      </c>
      <c r="E17" s="24">
        <v>0</v>
      </c>
      <c r="F17" s="24">
        <v>0</v>
      </c>
      <c r="G17" s="24">
        <v>0</v>
      </c>
      <c r="H17" s="25" t="s">
        <v>74</v>
      </c>
      <c r="I17" s="25" t="s">
        <v>74</v>
      </c>
      <c r="J17" s="24"/>
      <c r="K17" s="24">
        <v>5</v>
      </c>
      <c r="L17" s="24">
        <v>0</v>
      </c>
      <c r="M17" s="24">
        <v>0</v>
      </c>
      <c r="N17" s="24">
        <v>0</v>
      </c>
      <c r="O17" s="24">
        <v>0</v>
      </c>
      <c r="P17" s="24">
        <v>22</v>
      </c>
      <c r="Q17" s="25">
        <v>0</v>
      </c>
      <c r="R17" s="25">
        <v>0.81481481481481477</v>
      </c>
      <c r="S17" s="24"/>
      <c r="T17" s="17">
        <f t="shared" si="59"/>
        <v>5</v>
      </c>
      <c r="U17" s="17">
        <f t="shared" si="60"/>
        <v>0</v>
      </c>
      <c r="V17" s="17">
        <f t="shared" si="61"/>
        <v>0</v>
      </c>
      <c r="W17" s="17">
        <f t="shared" si="62"/>
        <v>0</v>
      </c>
      <c r="X17" s="17">
        <f t="shared" si="63"/>
        <v>0</v>
      </c>
      <c r="Y17" s="17">
        <f t="shared" si="64"/>
        <v>22</v>
      </c>
      <c r="Z17" s="23">
        <v>0</v>
      </c>
      <c r="AA17" s="23">
        <v>0.81481481481481477</v>
      </c>
      <c r="AB17" s="24"/>
      <c r="AC17" s="24">
        <v>0</v>
      </c>
      <c r="AD17" s="24">
        <v>0</v>
      </c>
      <c r="AE17" s="24">
        <v>0</v>
      </c>
      <c r="AF17" s="24">
        <v>0</v>
      </c>
      <c r="AG17" s="24">
        <v>0</v>
      </c>
      <c r="AH17" s="24">
        <v>2</v>
      </c>
      <c r="AI17" s="25" t="s">
        <v>74</v>
      </c>
      <c r="AJ17" s="25">
        <v>1</v>
      </c>
      <c r="AK17" s="24"/>
      <c r="AL17" s="24">
        <v>2</v>
      </c>
      <c r="AM17" s="24">
        <v>0</v>
      </c>
      <c r="AN17" s="24">
        <v>0</v>
      </c>
      <c r="AO17" s="24">
        <v>0</v>
      </c>
      <c r="AP17" s="24">
        <v>0</v>
      </c>
      <c r="AQ17" s="24">
        <v>3</v>
      </c>
      <c r="AR17" s="25">
        <v>0</v>
      </c>
      <c r="AS17" s="25">
        <v>0.6</v>
      </c>
      <c r="AT17" s="24"/>
      <c r="AU17" s="17">
        <f t="shared" si="51"/>
        <v>7</v>
      </c>
      <c r="AV17" s="17">
        <f t="shared" si="52"/>
        <v>0</v>
      </c>
      <c r="AW17" s="17">
        <f t="shared" si="53"/>
        <v>0</v>
      </c>
      <c r="AX17" s="17">
        <f t="shared" si="54"/>
        <v>0</v>
      </c>
      <c r="AY17" s="17">
        <f t="shared" si="55"/>
        <v>0</v>
      </c>
      <c r="AZ17" s="17">
        <f t="shared" si="56"/>
        <v>27</v>
      </c>
      <c r="BA17" s="23">
        <v>0</v>
      </c>
      <c r="BB17" s="23">
        <v>0.79411764705882348</v>
      </c>
      <c r="BC17" s="19"/>
      <c r="BD17" s="20">
        <f t="shared" si="57"/>
        <v>34</v>
      </c>
      <c r="BE17" s="20">
        <v>34</v>
      </c>
      <c r="BF17" s="53">
        <f t="shared" si="58"/>
        <v>0</v>
      </c>
      <c r="BG17" s="19"/>
      <c r="BH17" s="19"/>
      <c r="BI17" s="19"/>
      <c r="BJ17" s="19"/>
      <c r="BK17" s="19"/>
    </row>
    <row r="18" spans="1:63" s="8" customFormat="1" ht="15" customHeight="1" thickBot="1" x14ac:dyDescent="0.4">
      <c r="A18" s="2" t="s">
        <v>25</v>
      </c>
      <c r="B18" s="24">
        <v>12</v>
      </c>
      <c r="C18" s="24">
        <v>0</v>
      </c>
      <c r="D18" s="24">
        <v>0</v>
      </c>
      <c r="E18" s="24">
        <v>0</v>
      </c>
      <c r="F18" s="24">
        <v>0</v>
      </c>
      <c r="G18" s="24">
        <v>0</v>
      </c>
      <c r="H18" s="25">
        <v>0</v>
      </c>
      <c r="I18" s="25">
        <v>0</v>
      </c>
      <c r="J18" s="24"/>
      <c r="K18" s="24">
        <v>0</v>
      </c>
      <c r="L18" s="24">
        <v>0</v>
      </c>
      <c r="M18" s="24">
        <v>0</v>
      </c>
      <c r="N18" s="24">
        <v>0</v>
      </c>
      <c r="O18" s="24">
        <v>0</v>
      </c>
      <c r="P18" s="24">
        <v>0</v>
      </c>
      <c r="Q18" s="25" t="s">
        <v>74</v>
      </c>
      <c r="R18" s="25" t="s">
        <v>74</v>
      </c>
      <c r="S18" s="24"/>
      <c r="T18" s="17">
        <f t="shared" si="59"/>
        <v>12</v>
      </c>
      <c r="U18" s="17">
        <f t="shared" si="60"/>
        <v>0</v>
      </c>
      <c r="V18" s="17">
        <f t="shared" si="61"/>
        <v>0</v>
      </c>
      <c r="W18" s="17">
        <f t="shared" si="62"/>
        <v>0</v>
      </c>
      <c r="X18" s="17">
        <f t="shared" si="63"/>
        <v>0</v>
      </c>
      <c r="Y18" s="17">
        <f t="shared" si="64"/>
        <v>0</v>
      </c>
      <c r="Z18" s="23">
        <v>0</v>
      </c>
      <c r="AA18" s="23">
        <v>0</v>
      </c>
      <c r="AB18" s="24"/>
      <c r="AC18" s="24">
        <v>0</v>
      </c>
      <c r="AD18" s="24">
        <v>0</v>
      </c>
      <c r="AE18" s="24">
        <v>0</v>
      </c>
      <c r="AF18" s="24">
        <v>0</v>
      </c>
      <c r="AG18" s="24">
        <v>0</v>
      </c>
      <c r="AH18" s="24">
        <v>0</v>
      </c>
      <c r="AI18" s="25" t="s">
        <v>74</v>
      </c>
      <c r="AJ18" s="25" t="s">
        <v>74</v>
      </c>
      <c r="AK18" s="24"/>
      <c r="AL18" s="24">
        <v>2</v>
      </c>
      <c r="AM18" s="24">
        <v>0</v>
      </c>
      <c r="AN18" s="24">
        <v>0</v>
      </c>
      <c r="AO18" s="24">
        <v>0</v>
      </c>
      <c r="AP18" s="24">
        <v>0</v>
      </c>
      <c r="AQ18" s="24">
        <v>0</v>
      </c>
      <c r="AR18" s="25">
        <v>0</v>
      </c>
      <c r="AS18" s="25">
        <v>0</v>
      </c>
      <c r="AT18" s="24"/>
      <c r="AU18" s="17">
        <f t="shared" si="51"/>
        <v>14</v>
      </c>
      <c r="AV18" s="17">
        <f t="shared" si="52"/>
        <v>0</v>
      </c>
      <c r="AW18" s="17">
        <f t="shared" si="53"/>
        <v>0</v>
      </c>
      <c r="AX18" s="17">
        <f t="shared" si="54"/>
        <v>0</v>
      </c>
      <c r="AY18" s="17">
        <f t="shared" si="55"/>
        <v>0</v>
      </c>
      <c r="AZ18" s="17">
        <f t="shared" si="56"/>
        <v>0</v>
      </c>
      <c r="BA18" s="23">
        <v>0</v>
      </c>
      <c r="BB18" s="23">
        <v>0</v>
      </c>
      <c r="BC18" s="19"/>
      <c r="BD18" s="20">
        <f t="shared" si="57"/>
        <v>14</v>
      </c>
      <c r="BE18" s="20">
        <v>14</v>
      </c>
      <c r="BF18" s="53">
        <f t="shared" si="58"/>
        <v>0</v>
      </c>
      <c r="BG18" s="19"/>
      <c r="BH18" s="19"/>
      <c r="BI18" s="19"/>
      <c r="BJ18" s="19"/>
      <c r="BK18" s="19"/>
    </row>
    <row r="19" spans="1:63" s="8" customFormat="1" ht="15" customHeight="1" thickBot="1" x14ac:dyDescent="0.4">
      <c r="A19" s="26" t="s">
        <v>26</v>
      </c>
      <c r="B19" s="24">
        <v>24</v>
      </c>
      <c r="C19" s="24">
        <v>0</v>
      </c>
      <c r="D19" s="24">
        <v>0</v>
      </c>
      <c r="E19" s="24">
        <v>0</v>
      </c>
      <c r="F19" s="24">
        <v>0</v>
      </c>
      <c r="G19" s="24">
        <v>0</v>
      </c>
      <c r="H19" s="25">
        <v>0</v>
      </c>
      <c r="I19" s="25">
        <v>0</v>
      </c>
      <c r="J19" s="24"/>
      <c r="K19" s="24">
        <v>37</v>
      </c>
      <c r="L19" s="24">
        <v>1</v>
      </c>
      <c r="M19" s="24">
        <v>0</v>
      </c>
      <c r="N19" s="24">
        <v>0</v>
      </c>
      <c r="O19" s="24">
        <v>0</v>
      </c>
      <c r="P19" s="24">
        <v>0</v>
      </c>
      <c r="Q19" s="25">
        <v>2.6315789473684209E-2</v>
      </c>
      <c r="R19" s="25">
        <v>0</v>
      </c>
      <c r="S19" s="24"/>
      <c r="T19" s="17">
        <f t="shared" si="59"/>
        <v>61</v>
      </c>
      <c r="U19" s="17">
        <f t="shared" si="60"/>
        <v>1</v>
      </c>
      <c r="V19" s="17">
        <f t="shared" si="61"/>
        <v>0</v>
      </c>
      <c r="W19" s="17">
        <f t="shared" si="62"/>
        <v>0</v>
      </c>
      <c r="X19" s="17">
        <f t="shared" si="63"/>
        <v>0</v>
      </c>
      <c r="Y19" s="17">
        <f t="shared" si="64"/>
        <v>0</v>
      </c>
      <c r="Z19" s="23">
        <v>1.6129032258064516E-2</v>
      </c>
      <c r="AA19" s="23">
        <v>0</v>
      </c>
      <c r="AB19" s="24"/>
      <c r="AC19" s="24">
        <v>3</v>
      </c>
      <c r="AD19" s="24">
        <v>0</v>
      </c>
      <c r="AE19" s="24">
        <v>0</v>
      </c>
      <c r="AF19" s="24">
        <v>0</v>
      </c>
      <c r="AG19" s="24">
        <v>0</v>
      </c>
      <c r="AH19" s="24">
        <v>0</v>
      </c>
      <c r="AI19" s="25">
        <v>0</v>
      </c>
      <c r="AJ19" s="25">
        <v>0</v>
      </c>
      <c r="AK19" s="24"/>
      <c r="AL19" s="24">
        <v>26</v>
      </c>
      <c r="AM19" s="24">
        <v>0</v>
      </c>
      <c r="AN19" s="24">
        <v>0</v>
      </c>
      <c r="AO19" s="24">
        <v>0</v>
      </c>
      <c r="AP19" s="24">
        <v>0</v>
      </c>
      <c r="AQ19" s="24">
        <v>0</v>
      </c>
      <c r="AR19" s="25">
        <v>0</v>
      </c>
      <c r="AS19" s="25">
        <v>0</v>
      </c>
      <c r="AT19" s="24"/>
      <c r="AU19" s="17">
        <f t="shared" si="51"/>
        <v>90</v>
      </c>
      <c r="AV19" s="17">
        <f t="shared" si="52"/>
        <v>1</v>
      </c>
      <c r="AW19" s="17">
        <f t="shared" si="53"/>
        <v>0</v>
      </c>
      <c r="AX19" s="17">
        <f t="shared" si="54"/>
        <v>0</v>
      </c>
      <c r="AY19" s="17">
        <f t="shared" si="55"/>
        <v>0</v>
      </c>
      <c r="AZ19" s="17">
        <f t="shared" si="56"/>
        <v>0</v>
      </c>
      <c r="BA19" s="23">
        <v>1.098901098901099E-2</v>
      </c>
      <c r="BB19" s="23">
        <v>0</v>
      </c>
      <c r="BC19" s="19"/>
      <c r="BD19" s="20">
        <f t="shared" si="57"/>
        <v>91</v>
      </c>
      <c r="BE19" s="20">
        <v>91</v>
      </c>
      <c r="BF19" s="53">
        <f t="shared" si="58"/>
        <v>0</v>
      </c>
      <c r="BG19" s="19"/>
      <c r="BH19" s="19"/>
      <c r="BI19" s="19"/>
      <c r="BJ19" s="19"/>
      <c r="BK19" s="19"/>
    </row>
    <row r="20" spans="1:63" s="8" customFormat="1" ht="15" customHeight="1" thickBot="1" x14ac:dyDescent="0.4">
      <c r="A20" s="26" t="s">
        <v>27</v>
      </c>
      <c r="B20" s="24">
        <v>3</v>
      </c>
      <c r="C20" s="24">
        <v>0</v>
      </c>
      <c r="D20" s="24">
        <v>0</v>
      </c>
      <c r="E20" s="24">
        <v>0</v>
      </c>
      <c r="F20" s="24">
        <v>0</v>
      </c>
      <c r="G20" s="24">
        <v>0</v>
      </c>
      <c r="H20" s="25">
        <v>0</v>
      </c>
      <c r="I20" s="25">
        <v>0</v>
      </c>
      <c r="J20" s="24"/>
      <c r="K20" s="24">
        <v>75</v>
      </c>
      <c r="L20" s="24">
        <v>1</v>
      </c>
      <c r="M20" s="24">
        <v>0</v>
      </c>
      <c r="N20" s="24">
        <v>0</v>
      </c>
      <c r="O20" s="24">
        <v>0</v>
      </c>
      <c r="P20" s="24">
        <v>18</v>
      </c>
      <c r="Q20" s="25">
        <v>1.3157894736842105E-2</v>
      </c>
      <c r="R20" s="25">
        <v>0.19148936170212766</v>
      </c>
      <c r="S20" s="24"/>
      <c r="T20" s="17">
        <f t="shared" si="59"/>
        <v>78</v>
      </c>
      <c r="U20" s="17">
        <f t="shared" si="60"/>
        <v>1</v>
      </c>
      <c r="V20" s="17">
        <f t="shared" si="61"/>
        <v>0</v>
      </c>
      <c r="W20" s="17">
        <f t="shared" si="62"/>
        <v>0</v>
      </c>
      <c r="X20" s="17">
        <f t="shared" si="63"/>
        <v>0</v>
      </c>
      <c r="Y20" s="17">
        <f t="shared" si="64"/>
        <v>18</v>
      </c>
      <c r="Z20" s="23">
        <v>1.2658227848101266E-2</v>
      </c>
      <c r="AA20" s="23">
        <v>0.18556701030927836</v>
      </c>
      <c r="AB20" s="24"/>
      <c r="AC20" s="24">
        <v>0</v>
      </c>
      <c r="AD20" s="24">
        <v>0</v>
      </c>
      <c r="AE20" s="24">
        <v>0</v>
      </c>
      <c r="AF20" s="24">
        <v>0</v>
      </c>
      <c r="AG20" s="24">
        <v>0</v>
      </c>
      <c r="AH20" s="24">
        <v>0</v>
      </c>
      <c r="AI20" s="25" t="s">
        <v>74</v>
      </c>
      <c r="AJ20" s="25" t="s">
        <v>74</v>
      </c>
      <c r="AK20" s="24"/>
      <c r="AL20" s="24">
        <v>5</v>
      </c>
      <c r="AM20" s="24">
        <v>0</v>
      </c>
      <c r="AN20" s="24">
        <v>0</v>
      </c>
      <c r="AO20" s="24">
        <v>0</v>
      </c>
      <c r="AP20" s="24">
        <v>0</v>
      </c>
      <c r="AQ20" s="24">
        <v>0</v>
      </c>
      <c r="AR20" s="25">
        <v>0</v>
      </c>
      <c r="AS20" s="25">
        <v>0</v>
      </c>
      <c r="AT20" s="24"/>
      <c r="AU20" s="17">
        <f t="shared" si="51"/>
        <v>83</v>
      </c>
      <c r="AV20" s="17">
        <f t="shared" si="52"/>
        <v>1</v>
      </c>
      <c r="AW20" s="17">
        <f t="shared" si="53"/>
        <v>0</v>
      </c>
      <c r="AX20" s="17">
        <f t="shared" si="54"/>
        <v>0</v>
      </c>
      <c r="AY20" s="17">
        <f t="shared" si="55"/>
        <v>0</v>
      </c>
      <c r="AZ20" s="17">
        <f t="shared" si="56"/>
        <v>18</v>
      </c>
      <c r="BA20" s="23">
        <v>1.1904761904761904E-2</v>
      </c>
      <c r="BB20" s="23">
        <v>0.17647058823529413</v>
      </c>
      <c r="BC20" s="19"/>
      <c r="BD20" s="20">
        <f t="shared" si="57"/>
        <v>102</v>
      </c>
      <c r="BE20" s="20">
        <v>102</v>
      </c>
      <c r="BF20" s="53">
        <f t="shared" si="58"/>
        <v>0</v>
      </c>
      <c r="BG20" s="19"/>
      <c r="BH20" s="19"/>
      <c r="BI20" s="19"/>
      <c r="BJ20" s="19"/>
      <c r="BK20" s="19"/>
    </row>
    <row r="21" spans="1:63" s="8" customFormat="1" ht="15" customHeight="1" thickBot="1" x14ac:dyDescent="0.4">
      <c r="A21" s="2" t="s">
        <v>28</v>
      </c>
      <c r="B21" s="24">
        <v>3</v>
      </c>
      <c r="C21" s="24">
        <v>0</v>
      </c>
      <c r="D21" s="24">
        <v>0</v>
      </c>
      <c r="E21" s="24">
        <v>0</v>
      </c>
      <c r="F21" s="24">
        <v>0</v>
      </c>
      <c r="G21" s="24">
        <v>15</v>
      </c>
      <c r="H21" s="25">
        <v>0</v>
      </c>
      <c r="I21" s="25">
        <v>0.83333333333333337</v>
      </c>
      <c r="J21" s="24"/>
      <c r="K21" s="24">
        <v>17</v>
      </c>
      <c r="L21" s="24">
        <v>0</v>
      </c>
      <c r="M21" s="24">
        <v>0</v>
      </c>
      <c r="N21" s="24">
        <v>1</v>
      </c>
      <c r="O21" s="24">
        <v>0</v>
      </c>
      <c r="P21" s="24">
        <v>14</v>
      </c>
      <c r="Q21" s="25">
        <v>5.5555555555555552E-2</v>
      </c>
      <c r="R21" s="25">
        <v>0.4375</v>
      </c>
      <c r="S21" s="24"/>
      <c r="T21" s="17">
        <f t="shared" si="59"/>
        <v>20</v>
      </c>
      <c r="U21" s="17">
        <f t="shared" si="60"/>
        <v>0</v>
      </c>
      <c r="V21" s="17">
        <f t="shared" si="61"/>
        <v>0</v>
      </c>
      <c r="W21" s="17">
        <f t="shared" si="62"/>
        <v>1</v>
      </c>
      <c r="X21" s="17">
        <f t="shared" si="63"/>
        <v>0</v>
      </c>
      <c r="Y21" s="17">
        <f t="shared" si="64"/>
        <v>29</v>
      </c>
      <c r="Z21" s="23">
        <v>4.7619047619047616E-2</v>
      </c>
      <c r="AA21" s="23">
        <v>0.57999999999999996</v>
      </c>
      <c r="AB21" s="24"/>
      <c r="AC21" s="24">
        <v>0</v>
      </c>
      <c r="AD21" s="24">
        <v>0</v>
      </c>
      <c r="AE21" s="24">
        <v>0</v>
      </c>
      <c r="AF21" s="24">
        <v>0</v>
      </c>
      <c r="AG21" s="24">
        <v>0</v>
      </c>
      <c r="AH21" s="24">
        <v>0</v>
      </c>
      <c r="AI21" s="25" t="s">
        <v>74</v>
      </c>
      <c r="AJ21" s="25" t="s">
        <v>74</v>
      </c>
      <c r="AK21" s="24"/>
      <c r="AL21" s="24">
        <v>18</v>
      </c>
      <c r="AM21" s="24">
        <v>0</v>
      </c>
      <c r="AN21" s="24">
        <v>1</v>
      </c>
      <c r="AO21" s="24">
        <v>0</v>
      </c>
      <c r="AP21" s="24">
        <v>0</v>
      </c>
      <c r="AQ21" s="24">
        <v>13</v>
      </c>
      <c r="AR21" s="25">
        <v>5.2631578947368418E-2</v>
      </c>
      <c r="AS21" s="25">
        <v>0.40625</v>
      </c>
      <c r="AT21" s="24"/>
      <c r="AU21" s="17">
        <f t="shared" si="51"/>
        <v>38</v>
      </c>
      <c r="AV21" s="17">
        <f t="shared" si="52"/>
        <v>0</v>
      </c>
      <c r="AW21" s="17">
        <f t="shared" si="53"/>
        <v>1</v>
      </c>
      <c r="AX21" s="17">
        <f t="shared" si="54"/>
        <v>1</v>
      </c>
      <c r="AY21" s="17">
        <f t="shared" si="55"/>
        <v>0</v>
      </c>
      <c r="AZ21" s="17">
        <f t="shared" si="56"/>
        <v>42</v>
      </c>
      <c r="BA21" s="23">
        <v>0.05</v>
      </c>
      <c r="BB21" s="23">
        <v>0.51219512195121952</v>
      </c>
      <c r="BC21" s="19"/>
      <c r="BD21" s="20">
        <f t="shared" si="57"/>
        <v>82</v>
      </c>
      <c r="BE21" s="20">
        <v>82</v>
      </c>
      <c r="BF21" s="53">
        <f t="shared" si="58"/>
        <v>0</v>
      </c>
      <c r="BG21" s="19"/>
      <c r="BH21" s="19"/>
      <c r="BI21" s="19"/>
      <c r="BJ21" s="19"/>
      <c r="BK21" s="19"/>
    </row>
    <row r="22" spans="1:63" s="8" customFormat="1" ht="15" customHeight="1" thickBot="1" x14ac:dyDescent="0.4">
      <c r="A22" s="2" t="s">
        <v>29</v>
      </c>
      <c r="B22" s="24">
        <v>0</v>
      </c>
      <c r="C22" s="24">
        <v>0</v>
      </c>
      <c r="D22" s="24">
        <v>0</v>
      </c>
      <c r="E22" s="24">
        <v>0</v>
      </c>
      <c r="F22" s="24">
        <v>0</v>
      </c>
      <c r="G22" s="24">
        <v>0</v>
      </c>
      <c r="H22" s="25" t="s">
        <v>74</v>
      </c>
      <c r="I22" s="25" t="s">
        <v>74</v>
      </c>
      <c r="J22" s="24"/>
      <c r="K22" s="24">
        <v>3</v>
      </c>
      <c r="L22" s="24">
        <v>0</v>
      </c>
      <c r="M22" s="24">
        <v>0</v>
      </c>
      <c r="N22" s="24">
        <v>0</v>
      </c>
      <c r="O22" s="24">
        <v>0</v>
      </c>
      <c r="P22" s="24">
        <v>6</v>
      </c>
      <c r="Q22" s="25">
        <v>0</v>
      </c>
      <c r="R22" s="25">
        <v>0.66666666666666663</v>
      </c>
      <c r="S22" s="24"/>
      <c r="T22" s="17">
        <f t="shared" si="59"/>
        <v>3</v>
      </c>
      <c r="U22" s="17">
        <f t="shared" si="60"/>
        <v>0</v>
      </c>
      <c r="V22" s="17">
        <f t="shared" si="61"/>
        <v>0</v>
      </c>
      <c r="W22" s="17">
        <f t="shared" si="62"/>
        <v>0</v>
      </c>
      <c r="X22" s="17">
        <f t="shared" si="63"/>
        <v>0</v>
      </c>
      <c r="Y22" s="17">
        <f t="shared" si="64"/>
        <v>6</v>
      </c>
      <c r="Z22" s="23">
        <v>0</v>
      </c>
      <c r="AA22" s="23">
        <v>0.66666666666666663</v>
      </c>
      <c r="AB22" s="24"/>
      <c r="AC22" s="24">
        <v>0</v>
      </c>
      <c r="AD22" s="24">
        <v>0</v>
      </c>
      <c r="AE22" s="24">
        <v>0</v>
      </c>
      <c r="AF22" s="24">
        <v>0</v>
      </c>
      <c r="AG22" s="24">
        <v>0</v>
      </c>
      <c r="AH22" s="24">
        <v>1</v>
      </c>
      <c r="AI22" s="25" t="s">
        <v>74</v>
      </c>
      <c r="AJ22" s="25">
        <v>1</v>
      </c>
      <c r="AK22" s="24"/>
      <c r="AL22" s="24">
        <v>1</v>
      </c>
      <c r="AM22" s="24">
        <v>0</v>
      </c>
      <c r="AN22" s="24">
        <v>0</v>
      </c>
      <c r="AO22" s="24">
        <v>0</v>
      </c>
      <c r="AP22" s="24">
        <v>0</v>
      </c>
      <c r="AQ22" s="24">
        <v>4</v>
      </c>
      <c r="AR22" s="25">
        <v>0</v>
      </c>
      <c r="AS22" s="25">
        <v>0.8</v>
      </c>
      <c r="AT22" s="24"/>
      <c r="AU22" s="17">
        <f t="shared" si="51"/>
        <v>4</v>
      </c>
      <c r="AV22" s="17">
        <f t="shared" si="52"/>
        <v>0</v>
      </c>
      <c r="AW22" s="17">
        <f t="shared" si="53"/>
        <v>0</v>
      </c>
      <c r="AX22" s="17">
        <f t="shared" si="54"/>
        <v>0</v>
      </c>
      <c r="AY22" s="17">
        <f t="shared" si="55"/>
        <v>0</v>
      </c>
      <c r="AZ22" s="17">
        <f t="shared" si="56"/>
        <v>11</v>
      </c>
      <c r="BA22" s="23">
        <v>0</v>
      </c>
      <c r="BB22" s="23">
        <v>0.73333333333333328</v>
      </c>
      <c r="BC22" s="19"/>
      <c r="BD22" s="20">
        <f t="shared" si="57"/>
        <v>15</v>
      </c>
      <c r="BE22" s="20">
        <v>15</v>
      </c>
      <c r="BF22" s="53">
        <f t="shared" si="58"/>
        <v>0</v>
      </c>
      <c r="BG22" s="19"/>
      <c r="BH22" s="19"/>
      <c r="BI22" s="19"/>
      <c r="BJ22" s="19"/>
      <c r="BK22" s="19"/>
    </row>
    <row r="23" spans="1:63" s="8" customFormat="1" ht="15" customHeight="1" thickBot="1" x14ac:dyDescent="0.4">
      <c r="A23" s="2" t="s">
        <v>30</v>
      </c>
      <c r="B23" s="24">
        <v>1</v>
      </c>
      <c r="C23" s="24">
        <v>0</v>
      </c>
      <c r="D23" s="24">
        <v>0</v>
      </c>
      <c r="E23" s="24">
        <v>0</v>
      </c>
      <c r="F23" s="24">
        <v>0</v>
      </c>
      <c r="G23" s="24">
        <v>0</v>
      </c>
      <c r="H23" s="25">
        <v>0</v>
      </c>
      <c r="I23" s="25">
        <v>0</v>
      </c>
      <c r="J23" s="24"/>
      <c r="K23" s="24">
        <v>19</v>
      </c>
      <c r="L23" s="24">
        <v>0</v>
      </c>
      <c r="M23" s="24">
        <v>0</v>
      </c>
      <c r="N23" s="24">
        <v>1</v>
      </c>
      <c r="O23" s="24">
        <v>0</v>
      </c>
      <c r="P23" s="24">
        <v>2</v>
      </c>
      <c r="Q23" s="25">
        <v>0.05</v>
      </c>
      <c r="R23" s="25">
        <v>9.0909090909090912E-2</v>
      </c>
      <c r="S23" s="24"/>
      <c r="T23" s="17">
        <f t="shared" si="59"/>
        <v>20</v>
      </c>
      <c r="U23" s="17">
        <f t="shared" si="60"/>
        <v>0</v>
      </c>
      <c r="V23" s="17">
        <f t="shared" si="61"/>
        <v>0</v>
      </c>
      <c r="W23" s="17">
        <f t="shared" si="62"/>
        <v>1</v>
      </c>
      <c r="X23" s="17">
        <f t="shared" si="63"/>
        <v>0</v>
      </c>
      <c r="Y23" s="17">
        <f t="shared" si="64"/>
        <v>2</v>
      </c>
      <c r="Z23" s="23">
        <v>4.7619047619047616E-2</v>
      </c>
      <c r="AA23" s="23">
        <v>8.6956521739130432E-2</v>
      </c>
      <c r="AB23" s="24"/>
      <c r="AC23" s="24">
        <v>2</v>
      </c>
      <c r="AD23" s="24">
        <v>0</v>
      </c>
      <c r="AE23" s="24">
        <v>0</v>
      </c>
      <c r="AF23" s="24">
        <v>0</v>
      </c>
      <c r="AG23" s="24">
        <v>0</v>
      </c>
      <c r="AH23" s="24">
        <v>0</v>
      </c>
      <c r="AI23" s="25">
        <v>0</v>
      </c>
      <c r="AJ23" s="25">
        <v>0</v>
      </c>
      <c r="AK23" s="24"/>
      <c r="AL23" s="24">
        <v>5</v>
      </c>
      <c r="AM23" s="24">
        <v>0</v>
      </c>
      <c r="AN23" s="24">
        <v>0</v>
      </c>
      <c r="AO23" s="24">
        <v>0</v>
      </c>
      <c r="AP23" s="24">
        <v>0</v>
      </c>
      <c r="AQ23" s="24">
        <v>1</v>
      </c>
      <c r="AR23" s="25">
        <v>0</v>
      </c>
      <c r="AS23" s="25">
        <v>0.16666666666666666</v>
      </c>
      <c r="AT23" s="24"/>
      <c r="AU23" s="17">
        <f t="shared" si="51"/>
        <v>27</v>
      </c>
      <c r="AV23" s="17">
        <f t="shared" si="52"/>
        <v>0</v>
      </c>
      <c r="AW23" s="17">
        <f t="shared" si="53"/>
        <v>0</v>
      </c>
      <c r="AX23" s="17">
        <f t="shared" si="54"/>
        <v>1</v>
      </c>
      <c r="AY23" s="17">
        <f t="shared" si="55"/>
        <v>0</v>
      </c>
      <c r="AZ23" s="17">
        <f t="shared" si="56"/>
        <v>3</v>
      </c>
      <c r="BA23" s="23">
        <v>3.5714285714285712E-2</v>
      </c>
      <c r="BB23" s="23">
        <v>9.6774193548387094E-2</v>
      </c>
      <c r="BC23" s="19"/>
      <c r="BD23" s="20">
        <f t="shared" si="57"/>
        <v>31</v>
      </c>
      <c r="BE23" s="20">
        <v>31</v>
      </c>
      <c r="BF23" s="53">
        <f t="shared" si="58"/>
        <v>0</v>
      </c>
      <c r="BG23" s="19"/>
      <c r="BH23" s="19"/>
      <c r="BI23" s="19"/>
      <c r="BJ23" s="19"/>
      <c r="BK23" s="19"/>
    </row>
    <row r="24" spans="1:63" s="8" customFormat="1" ht="15" customHeight="1" thickBot="1" x14ac:dyDescent="0.4">
      <c r="A24" s="2" t="s">
        <v>31</v>
      </c>
      <c r="B24" s="24">
        <v>0</v>
      </c>
      <c r="C24" s="24">
        <v>0</v>
      </c>
      <c r="D24" s="24">
        <v>0</v>
      </c>
      <c r="E24" s="24">
        <v>0</v>
      </c>
      <c r="F24" s="24">
        <v>0</v>
      </c>
      <c r="G24" s="24">
        <v>0</v>
      </c>
      <c r="H24" s="25" t="s">
        <v>74</v>
      </c>
      <c r="I24" s="25" t="s">
        <v>74</v>
      </c>
      <c r="J24" s="24"/>
      <c r="K24" s="24">
        <v>29</v>
      </c>
      <c r="L24" s="24">
        <v>0</v>
      </c>
      <c r="M24" s="24">
        <v>0</v>
      </c>
      <c r="N24" s="24">
        <v>0</v>
      </c>
      <c r="O24" s="24">
        <v>0</v>
      </c>
      <c r="P24" s="24">
        <v>21</v>
      </c>
      <c r="Q24" s="25">
        <v>0</v>
      </c>
      <c r="R24" s="25">
        <v>0.42</v>
      </c>
      <c r="S24" s="24"/>
      <c r="T24" s="17">
        <f t="shared" si="59"/>
        <v>29</v>
      </c>
      <c r="U24" s="17">
        <f t="shared" si="60"/>
        <v>0</v>
      </c>
      <c r="V24" s="17">
        <f t="shared" si="61"/>
        <v>0</v>
      </c>
      <c r="W24" s="17">
        <f t="shared" si="62"/>
        <v>0</v>
      </c>
      <c r="X24" s="17">
        <f t="shared" si="63"/>
        <v>0</v>
      </c>
      <c r="Y24" s="17">
        <f t="shared" si="64"/>
        <v>21</v>
      </c>
      <c r="Z24" s="23">
        <v>0</v>
      </c>
      <c r="AA24" s="23">
        <v>0.42</v>
      </c>
      <c r="AB24" s="24"/>
      <c r="AC24" s="24">
        <v>0</v>
      </c>
      <c r="AD24" s="24">
        <v>0</v>
      </c>
      <c r="AE24" s="24">
        <v>0</v>
      </c>
      <c r="AF24" s="24">
        <v>0</v>
      </c>
      <c r="AG24" s="24">
        <v>0</v>
      </c>
      <c r="AH24" s="24">
        <v>0</v>
      </c>
      <c r="AI24" s="25" t="s">
        <v>74</v>
      </c>
      <c r="AJ24" s="25" t="s">
        <v>74</v>
      </c>
      <c r="AK24" s="24"/>
      <c r="AL24" s="24">
        <v>22</v>
      </c>
      <c r="AM24" s="24">
        <v>0</v>
      </c>
      <c r="AN24" s="24">
        <v>0</v>
      </c>
      <c r="AO24" s="24">
        <v>0</v>
      </c>
      <c r="AP24" s="24">
        <v>0</v>
      </c>
      <c r="AQ24" s="24">
        <v>15</v>
      </c>
      <c r="AR24" s="25">
        <v>0</v>
      </c>
      <c r="AS24" s="25">
        <v>0.40540540540540543</v>
      </c>
      <c r="AT24" s="24"/>
      <c r="AU24" s="17">
        <f t="shared" si="51"/>
        <v>51</v>
      </c>
      <c r="AV24" s="17">
        <f t="shared" si="52"/>
        <v>0</v>
      </c>
      <c r="AW24" s="17">
        <f t="shared" si="53"/>
        <v>0</v>
      </c>
      <c r="AX24" s="17">
        <f t="shared" si="54"/>
        <v>0</v>
      </c>
      <c r="AY24" s="17">
        <f t="shared" si="55"/>
        <v>0</v>
      </c>
      <c r="AZ24" s="17">
        <f t="shared" si="56"/>
        <v>36</v>
      </c>
      <c r="BA24" s="23">
        <v>0</v>
      </c>
      <c r="BB24" s="23">
        <v>0.41379310344827586</v>
      </c>
      <c r="BC24" s="19"/>
      <c r="BD24" s="20">
        <f t="shared" si="57"/>
        <v>87</v>
      </c>
      <c r="BE24" s="20">
        <v>87</v>
      </c>
      <c r="BF24" s="53">
        <f t="shared" si="58"/>
        <v>0</v>
      </c>
      <c r="BG24" s="19"/>
      <c r="BH24" s="19"/>
      <c r="BI24" s="19"/>
      <c r="BJ24" s="19"/>
      <c r="BK24" s="19"/>
    </row>
    <row r="25" spans="1:63" s="8" customFormat="1" ht="15" customHeight="1" thickBot="1" x14ac:dyDescent="0.4">
      <c r="A25" s="2" t="s">
        <v>32</v>
      </c>
      <c r="B25" s="24">
        <v>0</v>
      </c>
      <c r="C25" s="24">
        <v>0</v>
      </c>
      <c r="D25" s="24">
        <v>0</v>
      </c>
      <c r="E25" s="24">
        <v>0</v>
      </c>
      <c r="F25" s="24">
        <v>0</v>
      </c>
      <c r="G25" s="24">
        <v>0</v>
      </c>
      <c r="H25" s="25" t="s">
        <v>74</v>
      </c>
      <c r="I25" s="25" t="s">
        <v>74</v>
      </c>
      <c r="J25" s="24"/>
      <c r="K25" s="24">
        <v>20</v>
      </c>
      <c r="L25" s="24">
        <v>0</v>
      </c>
      <c r="M25" s="24">
        <v>0</v>
      </c>
      <c r="N25" s="24">
        <v>0</v>
      </c>
      <c r="O25" s="24">
        <v>0</v>
      </c>
      <c r="P25" s="24">
        <v>10</v>
      </c>
      <c r="Q25" s="25">
        <v>0</v>
      </c>
      <c r="R25" s="25">
        <v>0.33333333333333331</v>
      </c>
      <c r="S25" s="24"/>
      <c r="T25" s="17">
        <f t="shared" si="59"/>
        <v>20</v>
      </c>
      <c r="U25" s="17">
        <f t="shared" si="60"/>
        <v>0</v>
      </c>
      <c r="V25" s="17">
        <f t="shared" si="61"/>
        <v>0</v>
      </c>
      <c r="W25" s="17">
        <f t="shared" si="62"/>
        <v>0</v>
      </c>
      <c r="X25" s="17">
        <f t="shared" si="63"/>
        <v>0</v>
      </c>
      <c r="Y25" s="17">
        <f t="shared" si="64"/>
        <v>10</v>
      </c>
      <c r="Z25" s="23">
        <v>0</v>
      </c>
      <c r="AA25" s="23">
        <v>0.33333333333333331</v>
      </c>
      <c r="AB25" s="24"/>
      <c r="AC25" s="24">
        <v>0</v>
      </c>
      <c r="AD25" s="24">
        <v>0</v>
      </c>
      <c r="AE25" s="24">
        <v>0</v>
      </c>
      <c r="AF25" s="24">
        <v>0</v>
      </c>
      <c r="AG25" s="24">
        <v>0</v>
      </c>
      <c r="AH25" s="24">
        <v>0</v>
      </c>
      <c r="AI25" s="25" t="s">
        <v>74</v>
      </c>
      <c r="AJ25" s="25" t="s">
        <v>74</v>
      </c>
      <c r="AK25" s="24"/>
      <c r="AL25" s="24">
        <v>0</v>
      </c>
      <c r="AM25" s="24">
        <v>0</v>
      </c>
      <c r="AN25" s="24">
        <v>0</v>
      </c>
      <c r="AO25" s="24">
        <v>0</v>
      </c>
      <c r="AP25" s="24">
        <v>0</v>
      </c>
      <c r="AQ25" s="24">
        <v>6</v>
      </c>
      <c r="AR25" s="25" t="s">
        <v>74</v>
      </c>
      <c r="AS25" s="25">
        <v>1</v>
      </c>
      <c r="AT25" s="24"/>
      <c r="AU25" s="17">
        <f t="shared" si="51"/>
        <v>20</v>
      </c>
      <c r="AV25" s="17">
        <f t="shared" si="52"/>
        <v>0</v>
      </c>
      <c r="AW25" s="17">
        <f t="shared" si="53"/>
        <v>0</v>
      </c>
      <c r="AX25" s="17">
        <f t="shared" si="54"/>
        <v>0</v>
      </c>
      <c r="AY25" s="17">
        <f t="shared" si="55"/>
        <v>0</v>
      </c>
      <c r="AZ25" s="17">
        <f t="shared" si="56"/>
        <v>16</v>
      </c>
      <c r="BA25" s="23">
        <v>0</v>
      </c>
      <c r="BB25" s="23">
        <v>0.44444444444444442</v>
      </c>
      <c r="BC25" s="19"/>
      <c r="BD25" s="20">
        <f t="shared" si="57"/>
        <v>36</v>
      </c>
      <c r="BE25" s="20">
        <v>36</v>
      </c>
      <c r="BF25" s="53">
        <f t="shared" si="58"/>
        <v>0</v>
      </c>
      <c r="BG25" s="19"/>
      <c r="BH25" s="19"/>
      <c r="BI25" s="19"/>
      <c r="BJ25" s="19"/>
      <c r="BK25" s="19"/>
    </row>
    <row r="26" spans="1:63" s="8" customFormat="1" ht="15" customHeight="1" thickBot="1" x14ac:dyDescent="0.4">
      <c r="A26" s="2" t="s">
        <v>33</v>
      </c>
      <c r="B26" s="24">
        <v>56</v>
      </c>
      <c r="C26" s="24">
        <v>0</v>
      </c>
      <c r="D26" s="24">
        <v>0</v>
      </c>
      <c r="E26" s="24">
        <v>0</v>
      </c>
      <c r="F26" s="24">
        <v>0</v>
      </c>
      <c r="G26" s="24">
        <v>25</v>
      </c>
      <c r="H26" s="25">
        <v>0</v>
      </c>
      <c r="I26" s="25">
        <v>0.30864197530864196</v>
      </c>
      <c r="J26" s="24"/>
      <c r="K26" s="24">
        <v>25</v>
      </c>
      <c r="L26" s="24">
        <v>1</v>
      </c>
      <c r="M26" s="24">
        <v>0</v>
      </c>
      <c r="N26" s="24">
        <v>0</v>
      </c>
      <c r="O26" s="24">
        <v>0</v>
      </c>
      <c r="P26" s="24">
        <v>30</v>
      </c>
      <c r="Q26" s="25">
        <v>3.8461538461538464E-2</v>
      </c>
      <c r="R26" s="25">
        <v>0.5357142857142857</v>
      </c>
      <c r="S26" s="24"/>
      <c r="T26" s="17">
        <f t="shared" si="59"/>
        <v>81</v>
      </c>
      <c r="U26" s="17">
        <f t="shared" si="60"/>
        <v>1</v>
      </c>
      <c r="V26" s="17">
        <f t="shared" si="61"/>
        <v>0</v>
      </c>
      <c r="W26" s="17">
        <f t="shared" si="62"/>
        <v>0</v>
      </c>
      <c r="X26" s="17">
        <f t="shared" si="63"/>
        <v>0</v>
      </c>
      <c r="Y26" s="17">
        <f t="shared" si="64"/>
        <v>55</v>
      </c>
      <c r="Z26" s="23">
        <v>1.2195121951219513E-2</v>
      </c>
      <c r="AA26" s="23">
        <v>0.40145985401459855</v>
      </c>
      <c r="AB26" s="24"/>
      <c r="AC26" s="24">
        <v>4</v>
      </c>
      <c r="AD26" s="24">
        <v>0</v>
      </c>
      <c r="AE26" s="24">
        <v>0</v>
      </c>
      <c r="AF26" s="24">
        <v>0</v>
      </c>
      <c r="AG26" s="24">
        <v>0</v>
      </c>
      <c r="AH26" s="24">
        <v>0</v>
      </c>
      <c r="AI26" s="25">
        <v>0</v>
      </c>
      <c r="AJ26" s="25">
        <v>0</v>
      </c>
      <c r="AK26" s="24"/>
      <c r="AL26" s="24">
        <v>65</v>
      </c>
      <c r="AM26" s="24">
        <v>1</v>
      </c>
      <c r="AN26" s="24">
        <v>0</v>
      </c>
      <c r="AO26" s="24">
        <v>0</v>
      </c>
      <c r="AP26" s="24">
        <v>0</v>
      </c>
      <c r="AQ26" s="24">
        <v>11</v>
      </c>
      <c r="AR26" s="25">
        <v>1.5151515151515152E-2</v>
      </c>
      <c r="AS26" s="25">
        <v>0.14285714285714285</v>
      </c>
      <c r="AT26" s="24"/>
      <c r="AU26" s="17">
        <f t="shared" si="51"/>
        <v>150</v>
      </c>
      <c r="AV26" s="17">
        <f t="shared" si="52"/>
        <v>2</v>
      </c>
      <c r="AW26" s="17">
        <f t="shared" si="53"/>
        <v>0</v>
      </c>
      <c r="AX26" s="17">
        <f t="shared" si="54"/>
        <v>0</v>
      </c>
      <c r="AY26" s="17">
        <f t="shared" si="55"/>
        <v>0</v>
      </c>
      <c r="AZ26" s="17">
        <f t="shared" si="56"/>
        <v>66</v>
      </c>
      <c r="BA26" s="23">
        <v>1.3157894736842105E-2</v>
      </c>
      <c r="BB26" s="23">
        <v>0.30275229357798167</v>
      </c>
      <c r="BC26" s="19"/>
      <c r="BD26" s="20">
        <f t="shared" si="57"/>
        <v>218</v>
      </c>
      <c r="BE26" s="20">
        <v>218</v>
      </c>
      <c r="BF26" s="53">
        <f t="shared" si="58"/>
        <v>0</v>
      </c>
      <c r="BG26" s="19"/>
      <c r="BH26" s="19"/>
      <c r="BI26" s="19"/>
      <c r="BJ26" s="19"/>
      <c r="BK26" s="19"/>
    </row>
    <row r="27" spans="1:63" s="8" customFormat="1" ht="15" customHeight="1" thickBot="1" x14ac:dyDescent="0.4">
      <c r="A27" s="2" t="s">
        <v>34</v>
      </c>
      <c r="B27" s="24">
        <v>0</v>
      </c>
      <c r="C27" s="24">
        <v>0</v>
      </c>
      <c r="D27" s="24">
        <v>0</v>
      </c>
      <c r="E27" s="24">
        <v>0</v>
      </c>
      <c r="F27" s="24">
        <v>0</v>
      </c>
      <c r="G27" s="24">
        <v>1</v>
      </c>
      <c r="H27" s="25" t="s">
        <v>74</v>
      </c>
      <c r="I27" s="25">
        <v>1</v>
      </c>
      <c r="J27" s="24"/>
      <c r="K27" s="24">
        <v>43</v>
      </c>
      <c r="L27" s="24">
        <v>2</v>
      </c>
      <c r="M27" s="24">
        <v>0</v>
      </c>
      <c r="N27" s="24">
        <v>1</v>
      </c>
      <c r="O27" s="24">
        <v>0</v>
      </c>
      <c r="P27" s="24">
        <v>5</v>
      </c>
      <c r="Q27" s="25">
        <v>6.5217391304347824E-2</v>
      </c>
      <c r="R27" s="25">
        <v>9.8039215686274508E-2</v>
      </c>
      <c r="S27" s="24"/>
      <c r="T27" s="17">
        <f t="shared" si="59"/>
        <v>43</v>
      </c>
      <c r="U27" s="17">
        <f t="shared" si="60"/>
        <v>2</v>
      </c>
      <c r="V27" s="17">
        <f t="shared" si="61"/>
        <v>0</v>
      </c>
      <c r="W27" s="17">
        <f t="shared" si="62"/>
        <v>1</v>
      </c>
      <c r="X27" s="17">
        <f t="shared" si="63"/>
        <v>0</v>
      </c>
      <c r="Y27" s="17">
        <f t="shared" si="64"/>
        <v>6</v>
      </c>
      <c r="Z27" s="23">
        <v>6.5217391304347824E-2</v>
      </c>
      <c r="AA27" s="23">
        <v>0.11538461538461539</v>
      </c>
      <c r="AB27" s="24"/>
      <c r="AC27" s="24">
        <v>3</v>
      </c>
      <c r="AD27" s="24">
        <v>0</v>
      </c>
      <c r="AE27" s="24">
        <v>0</v>
      </c>
      <c r="AF27" s="24">
        <v>0</v>
      </c>
      <c r="AG27" s="24">
        <v>0</v>
      </c>
      <c r="AH27" s="24">
        <v>0</v>
      </c>
      <c r="AI27" s="25">
        <v>0</v>
      </c>
      <c r="AJ27" s="25">
        <v>0</v>
      </c>
      <c r="AK27" s="24"/>
      <c r="AL27" s="24">
        <v>23</v>
      </c>
      <c r="AM27" s="24">
        <v>0</v>
      </c>
      <c r="AN27" s="24">
        <v>0</v>
      </c>
      <c r="AO27" s="24">
        <v>0</v>
      </c>
      <c r="AP27" s="24">
        <v>0</v>
      </c>
      <c r="AQ27" s="24">
        <v>1</v>
      </c>
      <c r="AR27" s="25">
        <v>0</v>
      </c>
      <c r="AS27" s="25">
        <v>4.1666666666666664E-2</v>
      </c>
      <c r="AT27" s="24"/>
      <c r="AU27" s="17">
        <f t="shared" si="51"/>
        <v>69</v>
      </c>
      <c r="AV27" s="17">
        <f t="shared" si="52"/>
        <v>2</v>
      </c>
      <c r="AW27" s="17">
        <f t="shared" si="53"/>
        <v>0</v>
      </c>
      <c r="AX27" s="17">
        <f t="shared" si="54"/>
        <v>1</v>
      </c>
      <c r="AY27" s="17">
        <f t="shared" si="55"/>
        <v>0</v>
      </c>
      <c r="AZ27" s="17">
        <f t="shared" si="56"/>
        <v>7</v>
      </c>
      <c r="BA27" s="23">
        <v>4.1666666666666664E-2</v>
      </c>
      <c r="BB27" s="23">
        <v>8.8607594936708861E-2</v>
      </c>
      <c r="BC27" s="19"/>
      <c r="BD27" s="20">
        <f t="shared" si="57"/>
        <v>79</v>
      </c>
      <c r="BE27" s="20">
        <v>79</v>
      </c>
      <c r="BF27" s="53">
        <f t="shared" si="58"/>
        <v>0</v>
      </c>
      <c r="BG27" s="19"/>
      <c r="BH27" s="19"/>
      <c r="BI27" s="19"/>
      <c r="BJ27" s="19"/>
      <c r="BK27" s="19"/>
    </row>
    <row r="28" spans="1:63" s="8" customFormat="1" ht="15" customHeight="1" thickBot="1" x14ac:dyDescent="0.4">
      <c r="A28" s="2" t="s">
        <v>35</v>
      </c>
      <c r="B28" s="24">
        <v>0</v>
      </c>
      <c r="C28" s="24">
        <v>0</v>
      </c>
      <c r="D28" s="24">
        <v>0</v>
      </c>
      <c r="E28" s="24">
        <v>0</v>
      </c>
      <c r="F28" s="24">
        <v>0</v>
      </c>
      <c r="G28" s="24">
        <v>0</v>
      </c>
      <c r="H28" s="25" t="s">
        <v>74</v>
      </c>
      <c r="I28" s="25" t="s">
        <v>74</v>
      </c>
      <c r="J28" s="24"/>
      <c r="K28" s="24">
        <v>0</v>
      </c>
      <c r="L28" s="24">
        <v>0</v>
      </c>
      <c r="M28" s="24">
        <v>0</v>
      </c>
      <c r="N28" s="24">
        <v>0</v>
      </c>
      <c r="O28" s="24">
        <v>0</v>
      </c>
      <c r="P28" s="24">
        <v>0</v>
      </c>
      <c r="Q28" s="25" t="s">
        <v>74</v>
      </c>
      <c r="R28" s="25" t="s">
        <v>74</v>
      </c>
      <c r="S28" s="24"/>
      <c r="T28" s="17">
        <f t="shared" si="59"/>
        <v>0</v>
      </c>
      <c r="U28" s="17">
        <f t="shared" si="60"/>
        <v>0</v>
      </c>
      <c r="V28" s="17">
        <f t="shared" si="61"/>
        <v>0</v>
      </c>
      <c r="W28" s="17">
        <f t="shared" si="62"/>
        <v>0</v>
      </c>
      <c r="X28" s="17">
        <f t="shared" si="63"/>
        <v>0</v>
      </c>
      <c r="Y28" s="17">
        <f t="shared" si="64"/>
        <v>0</v>
      </c>
      <c r="Z28" s="23" t="s">
        <v>74</v>
      </c>
      <c r="AA28" s="23" t="s">
        <v>74</v>
      </c>
      <c r="AB28" s="24"/>
      <c r="AC28" s="24">
        <v>0</v>
      </c>
      <c r="AD28" s="24">
        <v>0</v>
      </c>
      <c r="AE28" s="24">
        <v>0</v>
      </c>
      <c r="AF28" s="24">
        <v>0</v>
      </c>
      <c r="AG28" s="24">
        <v>0</v>
      </c>
      <c r="AH28" s="24">
        <v>0</v>
      </c>
      <c r="AI28" s="25" t="s">
        <v>74</v>
      </c>
      <c r="AJ28" s="25" t="s">
        <v>74</v>
      </c>
      <c r="AK28" s="24"/>
      <c r="AL28" s="24">
        <v>0</v>
      </c>
      <c r="AM28" s="24">
        <v>0</v>
      </c>
      <c r="AN28" s="24">
        <v>0</v>
      </c>
      <c r="AO28" s="24">
        <v>0</v>
      </c>
      <c r="AP28" s="24">
        <v>0</v>
      </c>
      <c r="AQ28" s="24">
        <v>0</v>
      </c>
      <c r="AR28" s="25" t="s">
        <v>74</v>
      </c>
      <c r="AS28" s="25" t="s">
        <v>74</v>
      </c>
      <c r="AT28" s="24"/>
      <c r="AU28" s="17">
        <f t="shared" si="51"/>
        <v>0</v>
      </c>
      <c r="AV28" s="17">
        <f t="shared" si="52"/>
        <v>0</v>
      </c>
      <c r="AW28" s="17">
        <f t="shared" si="53"/>
        <v>0</v>
      </c>
      <c r="AX28" s="17">
        <f t="shared" si="54"/>
        <v>0</v>
      </c>
      <c r="AY28" s="17">
        <f t="shared" si="55"/>
        <v>0</v>
      </c>
      <c r="AZ28" s="17">
        <f t="shared" si="56"/>
        <v>0</v>
      </c>
      <c r="BA28" s="23" t="s">
        <v>74</v>
      </c>
      <c r="BB28" s="23" t="s">
        <v>74</v>
      </c>
      <c r="BC28" s="19"/>
      <c r="BD28" s="20">
        <f t="shared" si="57"/>
        <v>0</v>
      </c>
      <c r="BE28" s="20">
        <v>0</v>
      </c>
      <c r="BF28" s="53">
        <f t="shared" si="58"/>
        <v>0</v>
      </c>
      <c r="BG28" s="19"/>
      <c r="BH28" s="19"/>
      <c r="BI28" s="19"/>
      <c r="BJ28" s="19"/>
      <c r="BK28" s="19"/>
    </row>
    <row r="29" spans="1:63" s="8" customFormat="1" ht="15" customHeight="1" thickBot="1" x14ac:dyDescent="0.4">
      <c r="A29" s="2" t="s">
        <v>36</v>
      </c>
      <c r="B29" s="24">
        <v>0</v>
      </c>
      <c r="C29" s="24">
        <v>0</v>
      </c>
      <c r="D29" s="24">
        <v>0</v>
      </c>
      <c r="E29" s="24">
        <v>0</v>
      </c>
      <c r="F29" s="24">
        <v>0</v>
      </c>
      <c r="G29" s="24">
        <v>0</v>
      </c>
      <c r="H29" s="25" t="s">
        <v>74</v>
      </c>
      <c r="I29" s="25" t="s">
        <v>74</v>
      </c>
      <c r="J29" s="24"/>
      <c r="K29" s="24">
        <v>4</v>
      </c>
      <c r="L29" s="24">
        <v>0</v>
      </c>
      <c r="M29" s="24">
        <v>0</v>
      </c>
      <c r="N29" s="24">
        <v>0</v>
      </c>
      <c r="O29" s="24">
        <v>0</v>
      </c>
      <c r="P29" s="24">
        <v>0</v>
      </c>
      <c r="Q29" s="25">
        <v>0</v>
      </c>
      <c r="R29" s="25">
        <v>0</v>
      </c>
      <c r="S29" s="24"/>
      <c r="T29" s="17">
        <f t="shared" si="59"/>
        <v>4</v>
      </c>
      <c r="U29" s="17">
        <f t="shared" si="60"/>
        <v>0</v>
      </c>
      <c r="V29" s="17">
        <f t="shared" si="61"/>
        <v>0</v>
      </c>
      <c r="W29" s="17">
        <f t="shared" si="62"/>
        <v>0</v>
      </c>
      <c r="X29" s="17">
        <f t="shared" si="63"/>
        <v>0</v>
      </c>
      <c r="Y29" s="17">
        <f t="shared" si="64"/>
        <v>0</v>
      </c>
      <c r="Z29" s="23">
        <v>0</v>
      </c>
      <c r="AA29" s="23">
        <v>0</v>
      </c>
      <c r="AB29" s="24"/>
      <c r="AC29" s="24">
        <v>0</v>
      </c>
      <c r="AD29" s="24">
        <v>0</v>
      </c>
      <c r="AE29" s="24">
        <v>0</v>
      </c>
      <c r="AF29" s="24">
        <v>0</v>
      </c>
      <c r="AG29" s="24">
        <v>0</v>
      </c>
      <c r="AH29" s="24">
        <v>0</v>
      </c>
      <c r="AI29" s="25" t="s">
        <v>74</v>
      </c>
      <c r="AJ29" s="25" t="s">
        <v>74</v>
      </c>
      <c r="AK29" s="24"/>
      <c r="AL29" s="24">
        <v>8</v>
      </c>
      <c r="AM29" s="24">
        <v>0</v>
      </c>
      <c r="AN29" s="24">
        <v>0</v>
      </c>
      <c r="AO29" s="24">
        <v>0</v>
      </c>
      <c r="AP29" s="24">
        <v>0</v>
      </c>
      <c r="AQ29" s="24">
        <v>4</v>
      </c>
      <c r="AR29" s="25">
        <v>0</v>
      </c>
      <c r="AS29" s="25">
        <v>0.33333333333333331</v>
      </c>
      <c r="AT29" s="24"/>
      <c r="AU29" s="17">
        <f t="shared" si="51"/>
        <v>12</v>
      </c>
      <c r="AV29" s="17">
        <f t="shared" si="52"/>
        <v>0</v>
      </c>
      <c r="AW29" s="17">
        <f t="shared" si="53"/>
        <v>0</v>
      </c>
      <c r="AX29" s="17">
        <f t="shared" si="54"/>
        <v>0</v>
      </c>
      <c r="AY29" s="17">
        <f t="shared" si="55"/>
        <v>0</v>
      </c>
      <c r="AZ29" s="17">
        <f t="shared" si="56"/>
        <v>4</v>
      </c>
      <c r="BA29" s="23">
        <v>0</v>
      </c>
      <c r="BB29" s="23">
        <v>0.25</v>
      </c>
      <c r="BC29" s="19"/>
      <c r="BD29" s="20">
        <f t="shared" si="57"/>
        <v>16</v>
      </c>
      <c r="BE29" s="20">
        <v>16</v>
      </c>
      <c r="BF29" s="53">
        <f t="shared" si="58"/>
        <v>0</v>
      </c>
      <c r="BG29" s="19"/>
      <c r="BH29" s="19"/>
      <c r="BI29" s="19"/>
      <c r="BJ29" s="19"/>
      <c r="BK29" s="19"/>
    </row>
    <row r="30" spans="1:63" s="8" customFormat="1" ht="15" customHeight="1" thickBot="1" x14ac:dyDescent="0.4">
      <c r="A30" s="2" t="s">
        <v>37</v>
      </c>
      <c r="B30" s="24">
        <v>0</v>
      </c>
      <c r="C30" s="24">
        <v>0</v>
      </c>
      <c r="D30" s="24">
        <v>0</v>
      </c>
      <c r="E30" s="24">
        <v>0</v>
      </c>
      <c r="F30" s="24">
        <v>0</v>
      </c>
      <c r="G30" s="24">
        <v>0</v>
      </c>
      <c r="H30" s="25" t="s">
        <v>74</v>
      </c>
      <c r="I30" s="25" t="s">
        <v>74</v>
      </c>
      <c r="J30" s="24"/>
      <c r="K30" s="24">
        <v>0</v>
      </c>
      <c r="L30" s="24">
        <v>0</v>
      </c>
      <c r="M30" s="24">
        <v>0</v>
      </c>
      <c r="N30" s="24">
        <v>0</v>
      </c>
      <c r="O30" s="24">
        <v>0</v>
      </c>
      <c r="P30" s="24">
        <v>0</v>
      </c>
      <c r="Q30" s="25" t="s">
        <v>74</v>
      </c>
      <c r="R30" s="25" t="s">
        <v>74</v>
      </c>
      <c r="S30" s="24"/>
      <c r="T30" s="17">
        <f t="shared" si="59"/>
        <v>0</v>
      </c>
      <c r="U30" s="17">
        <f t="shared" si="60"/>
        <v>0</v>
      </c>
      <c r="V30" s="17">
        <f t="shared" si="61"/>
        <v>0</v>
      </c>
      <c r="W30" s="17">
        <f t="shared" si="62"/>
        <v>0</v>
      </c>
      <c r="X30" s="17">
        <f t="shared" si="63"/>
        <v>0</v>
      </c>
      <c r="Y30" s="17">
        <f t="shared" si="64"/>
        <v>0</v>
      </c>
      <c r="Z30" s="23" t="s">
        <v>74</v>
      </c>
      <c r="AA30" s="23" t="s">
        <v>74</v>
      </c>
      <c r="AB30" s="24"/>
      <c r="AC30" s="24">
        <v>0</v>
      </c>
      <c r="AD30" s="24">
        <v>0</v>
      </c>
      <c r="AE30" s="24">
        <v>0</v>
      </c>
      <c r="AF30" s="24">
        <v>0</v>
      </c>
      <c r="AG30" s="24">
        <v>0</v>
      </c>
      <c r="AH30" s="24">
        <v>0</v>
      </c>
      <c r="AI30" s="25" t="s">
        <v>74</v>
      </c>
      <c r="AJ30" s="25" t="s">
        <v>74</v>
      </c>
      <c r="AK30" s="24"/>
      <c r="AL30" s="24">
        <v>1</v>
      </c>
      <c r="AM30" s="24">
        <v>0</v>
      </c>
      <c r="AN30" s="24">
        <v>0</v>
      </c>
      <c r="AO30" s="24">
        <v>0</v>
      </c>
      <c r="AP30" s="24">
        <v>0</v>
      </c>
      <c r="AQ30" s="24">
        <v>0</v>
      </c>
      <c r="AR30" s="25">
        <v>0</v>
      </c>
      <c r="AS30" s="25">
        <v>0</v>
      </c>
      <c r="AT30" s="24"/>
      <c r="AU30" s="17">
        <f t="shared" si="51"/>
        <v>1</v>
      </c>
      <c r="AV30" s="17">
        <f t="shared" si="52"/>
        <v>0</v>
      </c>
      <c r="AW30" s="17">
        <f t="shared" si="53"/>
        <v>0</v>
      </c>
      <c r="AX30" s="17">
        <f t="shared" si="54"/>
        <v>0</v>
      </c>
      <c r="AY30" s="17">
        <f t="shared" si="55"/>
        <v>0</v>
      </c>
      <c r="AZ30" s="17">
        <f t="shared" si="56"/>
        <v>0</v>
      </c>
      <c r="BA30" s="23">
        <v>0</v>
      </c>
      <c r="BB30" s="23">
        <v>0</v>
      </c>
      <c r="BC30" s="19"/>
      <c r="BD30" s="20">
        <f t="shared" si="57"/>
        <v>1</v>
      </c>
      <c r="BE30" s="20">
        <v>1</v>
      </c>
      <c r="BF30" s="53">
        <f t="shared" si="58"/>
        <v>0</v>
      </c>
      <c r="BG30" s="19"/>
      <c r="BH30" s="19"/>
      <c r="BI30" s="19"/>
      <c r="BJ30" s="19"/>
      <c r="BK30" s="19"/>
    </row>
    <row r="31" spans="1:63" s="62" customFormat="1" ht="15" customHeight="1" x14ac:dyDescent="0.35">
      <c r="A31" s="54" t="s">
        <v>38</v>
      </c>
      <c r="B31" s="55">
        <v>4</v>
      </c>
      <c r="C31" s="55">
        <v>0</v>
      </c>
      <c r="D31" s="55">
        <v>0</v>
      </c>
      <c r="E31" s="55">
        <v>0</v>
      </c>
      <c r="F31" s="55">
        <v>0</v>
      </c>
      <c r="G31" s="55">
        <v>5</v>
      </c>
      <c r="H31" s="56">
        <v>0</v>
      </c>
      <c r="I31" s="56">
        <v>0.4</v>
      </c>
      <c r="J31" s="55"/>
      <c r="K31" s="55">
        <v>5</v>
      </c>
      <c r="L31" s="55">
        <v>1</v>
      </c>
      <c r="M31" s="55">
        <v>0</v>
      </c>
      <c r="N31" s="55">
        <v>0</v>
      </c>
      <c r="O31" s="55">
        <v>0</v>
      </c>
      <c r="P31" s="55">
        <v>10</v>
      </c>
      <c r="Q31" s="56">
        <v>0.2</v>
      </c>
      <c r="R31" s="56">
        <v>0.6875</v>
      </c>
      <c r="S31" s="55"/>
      <c r="T31" s="57">
        <f t="shared" si="59"/>
        <v>9</v>
      </c>
      <c r="U31" s="57">
        <f t="shared" si="60"/>
        <v>1</v>
      </c>
      <c r="V31" s="57">
        <f t="shared" si="61"/>
        <v>0</v>
      </c>
      <c r="W31" s="57">
        <f t="shared" si="62"/>
        <v>0</v>
      </c>
      <c r="X31" s="57">
        <f t="shared" si="63"/>
        <v>0</v>
      </c>
      <c r="Y31" s="57">
        <f t="shared" si="64"/>
        <v>15</v>
      </c>
      <c r="Z31" s="58">
        <v>0.125</v>
      </c>
      <c r="AA31" s="58">
        <v>0.61904761904761907</v>
      </c>
      <c r="AB31" s="55"/>
      <c r="AC31" s="55">
        <v>1</v>
      </c>
      <c r="AD31" s="55">
        <v>0</v>
      </c>
      <c r="AE31" s="55">
        <v>0</v>
      </c>
      <c r="AF31" s="55">
        <v>0</v>
      </c>
      <c r="AG31" s="55">
        <v>0</v>
      </c>
      <c r="AH31" s="55">
        <v>2</v>
      </c>
      <c r="AI31" s="56" t="s">
        <v>74</v>
      </c>
      <c r="AJ31" s="56">
        <v>1</v>
      </c>
      <c r="AK31" s="55"/>
      <c r="AL31" s="55">
        <v>18</v>
      </c>
      <c r="AM31" s="55">
        <v>0</v>
      </c>
      <c r="AN31" s="55">
        <v>0</v>
      </c>
      <c r="AO31" s="55">
        <v>0</v>
      </c>
      <c r="AP31" s="55">
        <v>0</v>
      </c>
      <c r="AQ31" s="55">
        <v>13</v>
      </c>
      <c r="AR31" s="56">
        <v>5.8823529411764705E-2</v>
      </c>
      <c r="AS31" s="56">
        <v>0.48484848484848486</v>
      </c>
      <c r="AT31" s="55"/>
      <c r="AU31" s="57">
        <f t="shared" si="51"/>
        <v>28</v>
      </c>
      <c r="AV31" s="57">
        <f t="shared" si="52"/>
        <v>1</v>
      </c>
      <c r="AW31" s="57">
        <f t="shared" si="53"/>
        <v>0</v>
      </c>
      <c r="AX31" s="57">
        <f t="shared" si="54"/>
        <v>0</v>
      </c>
      <c r="AY31" s="57">
        <f t="shared" si="55"/>
        <v>0</v>
      </c>
      <c r="AZ31" s="57">
        <f t="shared" si="56"/>
        <v>30</v>
      </c>
      <c r="BA31" s="58">
        <v>0.08</v>
      </c>
      <c r="BB31" s="58">
        <v>0.56140350877192979</v>
      </c>
      <c r="BC31" s="59"/>
      <c r="BD31" s="60">
        <f t="shared" si="57"/>
        <v>59</v>
      </c>
      <c r="BE31" s="60">
        <v>59</v>
      </c>
      <c r="BF31" s="61">
        <f t="shared" si="58"/>
        <v>0</v>
      </c>
      <c r="BG31" s="59"/>
      <c r="BH31" s="59"/>
      <c r="BI31" s="59"/>
      <c r="BJ31" s="59"/>
      <c r="BK31" s="59"/>
    </row>
    <row r="32" spans="1:63" s="8" customFormat="1" ht="15" customHeight="1" thickBot="1" x14ac:dyDescent="0.4">
      <c r="A32" s="63" t="s">
        <v>39</v>
      </c>
      <c r="B32" s="69">
        <v>0</v>
      </c>
      <c r="C32" s="69">
        <v>0</v>
      </c>
      <c r="D32" s="69">
        <v>0</v>
      </c>
      <c r="E32" s="69">
        <v>0</v>
      </c>
      <c r="F32" s="69">
        <v>0</v>
      </c>
      <c r="G32" s="69">
        <v>0</v>
      </c>
      <c r="H32" s="68" t="s">
        <v>74</v>
      </c>
      <c r="I32" s="68" t="s">
        <v>74</v>
      </c>
      <c r="J32" s="67"/>
      <c r="K32" s="72">
        <v>51</v>
      </c>
      <c r="L32" s="72">
        <v>0</v>
      </c>
      <c r="M32" s="72">
        <v>0</v>
      </c>
      <c r="N32" s="72">
        <v>1</v>
      </c>
      <c r="O32" s="72">
        <v>0</v>
      </c>
      <c r="P32" s="72">
        <v>6</v>
      </c>
      <c r="Q32" s="68">
        <v>1.9230769230769232E-2</v>
      </c>
      <c r="R32" s="68">
        <v>0.10344827586206896</v>
      </c>
      <c r="S32" s="67"/>
      <c r="T32" s="65">
        <v>51</v>
      </c>
      <c r="U32" s="65">
        <v>0</v>
      </c>
      <c r="V32" s="65">
        <v>0</v>
      </c>
      <c r="W32" s="65">
        <v>1</v>
      </c>
      <c r="X32" s="65">
        <v>0</v>
      </c>
      <c r="Y32" s="65">
        <v>6</v>
      </c>
      <c r="Z32" s="66">
        <v>1.9230769230769232E-2</v>
      </c>
      <c r="AA32" s="66">
        <v>0.10344827586206896</v>
      </c>
      <c r="AB32" s="67"/>
      <c r="AC32" s="67">
        <v>0</v>
      </c>
      <c r="AD32" s="67">
        <v>0</v>
      </c>
      <c r="AE32" s="67">
        <v>0</v>
      </c>
      <c r="AF32" s="67">
        <v>0</v>
      </c>
      <c r="AG32" s="67">
        <v>0</v>
      </c>
      <c r="AH32" s="67">
        <v>0</v>
      </c>
      <c r="AI32" s="68" t="s">
        <v>74</v>
      </c>
      <c r="AJ32" s="68" t="s">
        <v>74</v>
      </c>
      <c r="AK32" s="67"/>
      <c r="AL32" s="67">
        <v>20</v>
      </c>
      <c r="AM32" s="67">
        <v>0</v>
      </c>
      <c r="AN32" s="67">
        <v>1</v>
      </c>
      <c r="AO32" s="67">
        <v>0</v>
      </c>
      <c r="AP32" s="67">
        <v>0</v>
      </c>
      <c r="AQ32" s="67">
        <v>2</v>
      </c>
      <c r="AR32" s="68">
        <v>4.7619047619047616E-2</v>
      </c>
      <c r="AS32" s="68">
        <v>8.6956521739130432E-2</v>
      </c>
      <c r="AT32" s="67"/>
      <c r="AU32" s="65">
        <v>71</v>
      </c>
      <c r="AV32" s="65">
        <v>0</v>
      </c>
      <c r="AW32" s="65">
        <v>1</v>
      </c>
      <c r="AX32" s="65">
        <v>1</v>
      </c>
      <c r="AY32" s="65">
        <v>0</v>
      </c>
      <c r="AZ32" s="65">
        <v>8</v>
      </c>
      <c r="BA32" s="66">
        <v>2.7397260273972601E-2</v>
      </c>
      <c r="BB32" s="66">
        <v>9.8765432098765427E-2</v>
      </c>
      <c r="BC32" s="64"/>
      <c r="BD32" s="60">
        <f t="shared" ref="BD32" si="65">SUM(AU32:AZ32)</f>
        <v>81</v>
      </c>
      <c r="BE32" s="60">
        <v>81</v>
      </c>
      <c r="BF32" s="61">
        <f t="shared" ref="BF32" si="66">BD32-BE32</f>
        <v>0</v>
      </c>
      <c r="BG32" s="64"/>
      <c r="BH32" s="64"/>
      <c r="BI32" s="64"/>
      <c r="BJ32" s="64"/>
      <c r="BK32" s="64"/>
    </row>
    <row r="33" spans="1:63" s="8" customFormat="1" ht="15" customHeight="1" thickBot="1" x14ac:dyDescent="0.4">
      <c r="A33" s="2" t="s">
        <v>40</v>
      </c>
      <c r="B33" s="24">
        <v>0</v>
      </c>
      <c r="C33" s="24">
        <v>0</v>
      </c>
      <c r="D33" s="24">
        <v>0</v>
      </c>
      <c r="E33" s="24">
        <v>0</v>
      </c>
      <c r="F33" s="24">
        <v>0</v>
      </c>
      <c r="G33" s="24">
        <v>0</v>
      </c>
      <c r="H33" s="25" t="s">
        <v>74</v>
      </c>
      <c r="I33" s="25" t="s">
        <v>74</v>
      </c>
      <c r="J33" s="24"/>
      <c r="K33" s="24">
        <v>18</v>
      </c>
      <c r="L33" s="24">
        <v>0</v>
      </c>
      <c r="M33" s="24">
        <v>0</v>
      </c>
      <c r="N33" s="24">
        <v>0</v>
      </c>
      <c r="O33" s="24">
        <v>0</v>
      </c>
      <c r="P33" s="24">
        <v>2</v>
      </c>
      <c r="Q33" s="25">
        <v>0</v>
      </c>
      <c r="R33" s="25">
        <v>0.1</v>
      </c>
      <c r="S33" s="24"/>
      <c r="T33" s="17">
        <f t="shared" si="59"/>
        <v>18</v>
      </c>
      <c r="U33" s="17">
        <f t="shared" si="60"/>
        <v>0</v>
      </c>
      <c r="V33" s="17">
        <f t="shared" si="61"/>
        <v>0</v>
      </c>
      <c r="W33" s="17">
        <f t="shared" si="62"/>
        <v>0</v>
      </c>
      <c r="X33" s="17">
        <f t="shared" si="63"/>
        <v>0</v>
      </c>
      <c r="Y33" s="17">
        <f t="shared" si="64"/>
        <v>2</v>
      </c>
      <c r="Z33" s="23">
        <v>0</v>
      </c>
      <c r="AA33" s="23">
        <v>0.1</v>
      </c>
      <c r="AB33" s="24"/>
      <c r="AC33" s="24">
        <v>4</v>
      </c>
      <c r="AD33" s="24">
        <v>0</v>
      </c>
      <c r="AE33" s="24">
        <v>0</v>
      </c>
      <c r="AF33" s="24">
        <v>0</v>
      </c>
      <c r="AG33" s="24">
        <v>0</v>
      </c>
      <c r="AH33" s="24">
        <v>0</v>
      </c>
      <c r="AI33" s="25">
        <v>0</v>
      </c>
      <c r="AJ33" s="25">
        <v>0</v>
      </c>
      <c r="AK33" s="24"/>
      <c r="AL33" s="24">
        <v>8</v>
      </c>
      <c r="AM33" s="24">
        <v>1</v>
      </c>
      <c r="AN33" s="24">
        <v>0</v>
      </c>
      <c r="AO33" s="24">
        <v>0</v>
      </c>
      <c r="AP33" s="24">
        <v>0</v>
      </c>
      <c r="AQ33" s="24">
        <v>0</v>
      </c>
      <c r="AR33" s="25">
        <v>0.1111111111111111</v>
      </c>
      <c r="AS33" s="25">
        <v>0</v>
      </c>
      <c r="AT33" s="24"/>
      <c r="AU33" s="17">
        <f t="shared" si="51"/>
        <v>30</v>
      </c>
      <c r="AV33" s="17">
        <f t="shared" si="52"/>
        <v>1</v>
      </c>
      <c r="AW33" s="17">
        <f t="shared" si="53"/>
        <v>0</v>
      </c>
      <c r="AX33" s="17">
        <f t="shared" si="54"/>
        <v>0</v>
      </c>
      <c r="AY33" s="17">
        <f t="shared" si="55"/>
        <v>0</v>
      </c>
      <c r="AZ33" s="17">
        <f t="shared" si="56"/>
        <v>2</v>
      </c>
      <c r="BA33" s="23">
        <v>3.2258064516129031E-2</v>
      </c>
      <c r="BB33" s="23">
        <v>6.0606060606060608E-2</v>
      </c>
      <c r="BC33" s="19"/>
      <c r="BD33" s="20">
        <f t="shared" si="57"/>
        <v>33</v>
      </c>
      <c r="BE33" s="20">
        <v>33</v>
      </c>
      <c r="BF33" s="53">
        <f t="shared" si="58"/>
        <v>0</v>
      </c>
      <c r="BG33" s="19"/>
      <c r="BH33" s="19"/>
      <c r="BI33" s="19"/>
      <c r="BJ33" s="19"/>
      <c r="BK33" s="19"/>
    </row>
    <row r="34" spans="1:63" s="8" customFormat="1" ht="15" customHeight="1" thickBot="1" x14ac:dyDescent="0.4">
      <c r="A34" s="3" t="s">
        <v>41</v>
      </c>
      <c r="B34" s="24">
        <v>0</v>
      </c>
      <c r="C34" s="24">
        <v>0</v>
      </c>
      <c r="D34" s="24">
        <v>0</v>
      </c>
      <c r="E34" s="24">
        <v>0</v>
      </c>
      <c r="F34" s="24">
        <v>0</v>
      </c>
      <c r="G34" s="24">
        <v>0</v>
      </c>
      <c r="H34" s="25" t="s">
        <v>74</v>
      </c>
      <c r="I34" s="25" t="s">
        <v>74</v>
      </c>
      <c r="J34" s="24"/>
      <c r="K34" s="24">
        <v>60</v>
      </c>
      <c r="L34" s="24">
        <v>1</v>
      </c>
      <c r="M34" s="24">
        <v>0</v>
      </c>
      <c r="N34" s="24">
        <v>0</v>
      </c>
      <c r="O34" s="24">
        <v>0</v>
      </c>
      <c r="P34" s="24">
        <v>1</v>
      </c>
      <c r="Q34" s="25">
        <v>1.6393442622950821E-2</v>
      </c>
      <c r="R34" s="25">
        <v>1.6129032258064516E-2</v>
      </c>
      <c r="S34" s="24"/>
      <c r="T34" s="17">
        <f t="shared" si="59"/>
        <v>60</v>
      </c>
      <c r="U34" s="17">
        <f t="shared" si="60"/>
        <v>1</v>
      </c>
      <c r="V34" s="17">
        <f t="shared" si="61"/>
        <v>0</v>
      </c>
      <c r="W34" s="17">
        <f t="shared" si="62"/>
        <v>0</v>
      </c>
      <c r="X34" s="17">
        <f t="shared" si="63"/>
        <v>0</v>
      </c>
      <c r="Y34" s="17">
        <f t="shared" si="64"/>
        <v>1</v>
      </c>
      <c r="Z34" s="23">
        <v>1.6393442622950821E-2</v>
      </c>
      <c r="AA34" s="23">
        <v>1.6129032258064516E-2</v>
      </c>
      <c r="AB34" s="24"/>
      <c r="AC34" s="24">
        <v>1</v>
      </c>
      <c r="AD34" s="24">
        <v>0</v>
      </c>
      <c r="AE34" s="24">
        <v>0</v>
      </c>
      <c r="AF34" s="24">
        <v>0</v>
      </c>
      <c r="AG34" s="24">
        <v>0</v>
      </c>
      <c r="AH34" s="24">
        <v>0</v>
      </c>
      <c r="AI34" s="25">
        <v>0</v>
      </c>
      <c r="AJ34" s="25">
        <v>0</v>
      </c>
      <c r="AK34" s="24"/>
      <c r="AL34" s="24">
        <v>3</v>
      </c>
      <c r="AM34" s="24">
        <v>0</v>
      </c>
      <c r="AN34" s="24">
        <v>0</v>
      </c>
      <c r="AO34" s="24">
        <v>0</v>
      </c>
      <c r="AP34" s="24">
        <v>0</v>
      </c>
      <c r="AQ34" s="24">
        <v>0</v>
      </c>
      <c r="AR34" s="25">
        <v>0</v>
      </c>
      <c r="AS34" s="25">
        <v>0</v>
      </c>
      <c r="AT34" s="24"/>
      <c r="AU34" s="17">
        <f t="shared" si="51"/>
        <v>64</v>
      </c>
      <c r="AV34" s="17">
        <f t="shared" si="52"/>
        <v>1</v>
      </c>
      <c r="AW34" s="17">
        <f t="shared" si="53"/>
        <v>0</v>
      </c>
      <c r="AX34" s="17">
        <f t="shared" si="54"/>
        <v>0</v>
      </c>
      <c r="AY34" s="17">
        <f t="shared" si="55"/>
        <v>0</v>
      </c>
      <c r="AZ34" s="17">
        <f t="shared" si="56"/>
        <v>1</v>
      </c>
      <c r="BA34" s="23">
        <v>1.5384615384615385E-2</v>
      </c>
      <c r="BB34" s="23">
        <v>1.5151515151515152E-2</v>
      </c>
      <c r="BC34" s="19"/>
      <c r="BD34" s="20">
        <f t="shared" si="57"/>
        <v>66</v>
      </c>
      <c r="BE34" s="20">
        <v>66</v>
      </c>
      <c r="BF34" s="53">
        <f t="shared" si="58"/>
        <v>0</v>
      </c>
      <c r="BG34" s="19"/>
      <c r="BH34" s="19"/>
      <c r="BI34" s="19"/>
      <c r="BJ34" s="19"/>
      <c r="BK34" s="19"/>
    </row>
    <row r="35" spans="1:63" s="8" customFormat="1" ht="15" customHeight="1" thickBot="1" x14ac:dyDescent="0.4">
      <c r="A35" s="3" t="s">
        <v>42</v>
      </c>
      <c r="B35" s="24">
        <v>3</v>
      </c>
      <c r="C35" s="24">
        <v>0</v>
      </c>
      <c r="D35" s="24">
        <v>0</v>
      </c>
      <c r="E35" s="24">
        <v>0</v>
      </c>
      <c r="F35" s="24">
        <v>0</v>
      </c>
      <c r="G35" s="24">
        <v>1</v>
      </c>
      <c r="H35" s="25">
        <v>0</v>
      </c>
      <c r="I35" s="25">
        <v>0.25</v>
      </c>
      <c r="J35" s="24"/>
      <c r="K35" s="24">
        <v>23</v>
      </c>
      <c r="L35" s="24">
        <v>0</v>
      </c>
      <c r="M35" s="24">
        <v>0</v>
      </c>
      <c r="N35" s="24">
        <v>0</v>
      </c>
      <c r="O35" s="24">
        <v>0</v>
      </c>
      <c r="P35" s="24">
        <v>16</v>
      </c>
      <c r="Q35" s="25">
        <v>0</v>
      </c>
      <c r="R35" s="25">
        <v>0.41025641025641024</v>
      </c>
      <c r="S35" s="24"/>
      <c r="T35" s="17">
        <f t="shared" si="59"/>
        <v>26</v>
      </c>
      <c r="U35" s="17">
        <f t="shared" si="60"/>
        <v>0</v>
      </c>
      <c r="V35" s="17">
        <f t="shared" si="61"/>
        <v>0</v>
      </c>
      <c r="W35" s="17">
        <f t="shared" si="62"/>
        <v>0</v>
      </c>
      <c r="X35" s="17">
        <f t="shared" si="63"/>
        <v>0</v>
      </c>
      <c r="Y35" s="17">
        <f t="shared" si="64"/>
        <v>17</v>
      </c>
      <c r="Z35" s="23">
        <v>0</v>
      </c>
      <c r="AA35" s="23">
        <v>0.39534883720930231</v>
      </c>
      <c r="AB35" s="24"/>
      <c r="AC35" s="24">
        <v>1</v>
      </c>
      <c r="AD35" s="24">
        <v>0</v>
      </c>
      <c r="AE35" s="24">
        <v>0</v>
      </c>
      <c r="AF35" s="24">
        <v>0</v>
      </c>
      <c r="AG35" s="24">
        <v>0</v>
      </c>
      <c r="AH35" s="24">
        <v>0</v>
      </c>
      <c r="AI35" s="25">
        <v>0</v>
      </c>
      <c r="AJ35" s="25">
        <v>0</v>
      </c>
      <c r="AK35" s="24"/>
      <c r="AL35" s="24">
        <v>7</v>
      </c>
      <c r="AM35" s="24">
        <v>0</v>
      </c>
      <c r="AN35" s="24">
        <v>0</v>
      </c>
      <c r="AO35" s="24">
        <v>0</v>
      </c>
      <c r="AP35" s="24">
        <v>0</v>
      </c>
      <c r="AQ35" s="24">
        <v>5</v>
      </c>
      <c r="AR35" s="25">
        <v>0</v>
      </c>
      <c r="AS35" s="25">
        <v>0.41666666666666669</v>
      </c>
      <c r="AT35" s="24"/>
      <c r="AU35" s="17">
        <f t="shared" si="51"/>
        <v>34</v>
      </c>
      <c r="AV35" s="17">
        <f t="shared" si="52"/>
        <v>0</v>
      </c>
      <c r="AW35" s="17">
        <f t="shared" si="53"/>
        <v>0</v>
      </c>
      <c r="AX35" s="17">
        <f t="shared" si="54"/>
        <v>0</v>
      </c>
      <c r="AY35" s="17">
        <f t="shared" si="55"/>
        <v>0</v>
      </c>
      <c r="AZ35" s="17">
        <f t="shared" si="56"/>
        <v>22</v>
      </c>
      <c r="BA35" s="23">
        <v>0</v>
      </c>
      <c r="BB35" s="23">
        <v>0.39285714285714285</v>
      </c>
      <c r="BC35" s="19"/>
      <c r="BD35" s="20">
        <f t="shared" si="57"/>
        <v>56</v>
      </c>
      <c r="BE35" s="20">
        <v>56</v>
      </c>
      <c r="BF35" s="53">
        <f t="shared" si="58"/>
        <v>0</v>
      </c>
      <c r="BG35" s="19"/>
      <c r="BH35" s="19"/>
      <c r="BI35" s="19"/>
      <c r="BJ35" s="19"/>
      <c r="BK35" s="19"/>
    </row>
    <row r="36" spans="1:63" s="8" customFormat="1" ht="15" customHeight="1" thickBot="1" x14ac:dyDescent="0.4">
      <c r="A36" s="2" t="s">
        <v>43</v>
      </c>
      <c r="B36" s="24">
        <v>0</v>
      </c>
      <c r="C36" s="24">
        <v>0</v>
      </c>
      <c r="D36" s="24">
        <v>0</v>
      </c>
      <c r="E36" s="24">
        <v>0</v>
      </c>
      <c r="F36" s="24">
        <v>0</v>
      </c>
      <c r="G36" s="24">
        <v>0</v>
      </c>
      <c r="H36" s="25" t="s">
        <v>74</v>
      </c>
      <c r="I36" s="25" t="s">
        <v>74</v>
      </c>
      <c r="J36" s="24"/>
      <c r="K36" s="24">
        <v>0</v>
      </c>
      <c r="L36" s="24">
        <v>0</v>
      </c>
      <c r="M36" s="24">
        <v>0</v>
      </c>
      <c r="N36" s="24">
        <v>0</v>
      </c>
      <c r="O36" s="24">
        <v>0</v>
      </c>
      <c r="P36" s="24">
        <v>0</v>
      </c>
      <c r="Q36" s="25" t="s">
        <v>74</v>
      </c>
      <c r="R36" s="25" t="s">
        <v>74</v>
      </c>
      <c r="S36" s="24"/>
      <c r="T36" s="17">
        <f t="shared" si="59"/>
        <v>0</v>
      </c>
      <c r="U36" s="17">
        <f t="shared" si="60"/>
        <v>0</v>
      </c>
      <c r="V36" s="17">
        <f t="shared" si="61"/>
        <v>0</v>
      </c>
      <c r="W36" s="17">
        <f t="shared" si="62"/>
        <v>0</v>
      </c>
      <c r="X36" s="17">
        <f t="shared" si="63"/>
        <v>0</v>
      </c>
      <c r="Y36" s="17">
        <f t="shared" si="64"/>
        <v>0</v>
      </c>
      <c r="Z36" s="23" t="s">
        <v>74</v>
      </c>
      <c r="AA36" s="23" t="s">
        <v>74</v>
      </c>
      <c r="AB36" s="24"/>
      <c r="AC36" s="24">
        <v>0</v>
      </c>
      <c r="AD36" s="24">
        <v>0</v>
      </c>
      <c r="AE36" s="24">
        <v>0</v>
      </c>
      <c r="AF36" s="24">
        <v>0</v>
      </c>
      <c r="AG36" s="24">
        <v>0</v>
      </c>
      <c r="AH36" s="24">
        <v>0</v>
      </c>
      <c r="AI36" s="25" t="s">
        <v>74</v>
      </c>
      <c r="AJ36" s="25" t="s">
        <v>74</v>
      </c>
      <c r="AK36" s="24"/>
      <c r="AL36" s="24">
        <v>0</v>
      </c>
      <c r="AM36" s="24">
        <v>0</v>
      </c>
      <c r="AN36" s="24">
        <v>0</v>
      </c>
      <c r="AO36" s="24">
        <v>0</v>
      </c>
      <c r="AP36" s="24">
        <v>0</v>
      </c>
      <c r="AQ36" s="24">
        <v>0</v>
      </c>
      <c r="AR36" s="25" t="s">
        <v>74</v>
      </c>
      <c r="AS36" s="25" t="s">
        <v>74</v>
      </c>
      <c r="AT36" s="24"/>
      <c r="AU36" s="17">
        <f t="shared" si="51"/>
        <v>0</v>
      </c>
      <c r="AV36" s="17">
        <f t="shared" si="52"/>
        <v>0</v>
      </c>
      <c r="AW36" s="17">
        <f t="shared" si="53"/>
        <v>0</v>
      </c>
      <c r="AX36" s="17">
        <f t="shared" si="54"/>
        <v>0</v>
      </c>
      <c r="AY36" s="17">
        <f t="shared" si="55"/>
        <v>0</v>
      </c>
      <c r="AZ36" s="17">
        <f t="shared" si="56"/>
        <v>0</v>
      </c>
      <c r="BA36" s="23" t="s">
        <v>74</v>
      </c>
      <c r="BB36" s="23" t="s">
        <v>74</v>
      </c>
      <c r="BC36" s="19"/>
      <c r="BD36" s="20">
        <f t="shared" si="57"/>
        <v>0</v>
      </c>
      <c r="BE36" s="20">
        <v>0</v>
      </c>
      <c r="BF36" s="53">
        <f t="shared" si="58"/>
        <v>0</v>
      </c>
      <c r="BG36" s="19"/>
      <c r="BH36" s="19"/>
      <c r="BI36" s="19"/>
      <c r="BJ36" s="19"/>
      <c r="BK36" s="19"/>
    </row>
    <row r="37" spans="1:63" s="8" customFormat="1" ht="15" customHeight="1" thickBot="1" x14ac:dyDescent="0.4">
      <c r="A37" s="3" t="s">
        <v>44</v>
      </c>
      <c r="B37" s="24">
        <v>0</v>
      </c>
      <c r="C37" s="24">
        <v>0</v>
      </c>
      <c r="D37" s="24">
        <v>0</v>
      </c>
      <c r="E37" s="24">
        <v>0</v>
      </c>
      <c r="F37" s="24">
        <v>0</v>
      </c>
      <c r="G37" s="24">
        <v>0</v>
      </c>
      <c r="H37" s="25" t="s">
        <v>74</v>
      </c>
      <c r="I37" s="25" t="s">
        <v>74</v>
      </c>
      <c r="J37" s="24"/>
      <c r="K37" s="24">
        <v>0</v>
      </c>
      <c r="L37" s="24">
        <v>0</v>
      </c>
      <c r="M37" s="24">
        <v>0</v>
      </c>
      <c r="N37" s="24">
        <v>0</v>
      </c>
      <c r="O37" s="24">
        <v>0</v>
      </c>
      <c r="P37" s="24">
        <v>0</v>
      </c>
      <c r="Q37" s="25" t="s">
        <v>74</v>
      </c>
      <c r="R37" s="25" t="s">
        <v>74</v>
      </c>
      <c r="S37" s="24"/>
      <c r="T37" s="17">
        <f t="shared" si="59"/>
        <v>0</v>
      </c>
      <c r="U37" s="17">
        <f t="shared" si="60"/>
        <v>0</v>
      </c>
      <c r="V37" s="17">
        <f t="shared" si="61"/>
        <v>0</v>
      </c>
      <c r="W37" s="17">
        <f t="shared" si="62"/>
        <v>0</v>
      </c>
      <c r="X37" s="17">
        <f t="shared" si="63"/>
        <v>0</v>
      </c>
      <c r="Y37" s="17">
        <f t="shared" si="64"/>
        <v>0</v>
      </c>
      <c r="Z37" s="23" t="s">
        <v>74</v>
      </c>
      <c r="AA37" s="23" t="s">
        <v>74</v>
      </c>
      <c r="AB37" s="24"/>
      <c r="AC37" s="24">
        <v>0</v>
      </c>
      <c r="AD37" s="24">
        <v>0</v>
      </c>
      <c r="AE37" s="24">
        <v>0</v>
      </c>
      <c r="AF37" s="24">
        <v>0</v>
      </c>
      <c r="AG37" s="24">
        <v>0</v>
      </c>
      <c r="AH37" s="24">
        <v>0</v>
      </c>
      <c r="AI37" s="25" t="s">
        <v>74</v>
      </c>
      <c r="AJ37" s="25" t="s">
        <v>74</v>
      </c>
      <c r="AK37" s="24"/>
      <c r="AL37" s="24">
        <v>0</v>
      </c>
      <c r="AM37" s="24">
        <v>0</v>
      </c>
      <c r="AN37" s="24">
        <v>0</v>
      </c>
      <c r="AO37" s="24">
        <v>0</v>
      </c>
      <c r="AP37" s="24">
        <v>0</v>
      </c>
      <c r="AQ37" s="24">
        <v>0</v>
      </c>
      <c r="AR37" s="25" t="s">
        <v>74</v>
      </c>
      <c r="AS37" s="25" t="s">
        <v>74</v>
      </c>
      <c r="AT37" s="24"/>
      <c r="AU37" s="17">
        <f t="shared" si="51"/>
        <v>0</v>
      </c>
      <c r="AV37" s="17">
        <f t="shared" si="52"/>
        <v>0</v>
      </c>
      <c r="AW37" s="17">
        <f t="shared" si="53"/>
        <v>0</v>
      </c>
      <c r="AX37" s="17">
        <f t="shared" si="54"/>
        <v>0</v>
      </c>
      <c r="AY37" s="17">
        <f t="shared" si="55"/>
        <v>0</v>
      </c>
      <c r="AZ37" s="17">
        <f t="shared" si="56"/>
        <v>0</v>
      </c>
      <c r="BA37" s="23" t="s">
        <v>74</v>
      </c>
      <c r="BB37" s="23" t="s">
        <v>74</v>
      </c>
      <c r="BC37" s="19"/>
      <c r="BD37" s="20">
        <f t="shared" si="57"/>
        <v>0</v>
      </c>
      <c r="BE37" s="20">
        <v>0</v>
      </c>
      <c r="BF37" s="53">
        <f t="shared" si="58"/>
        <v>0</v>
      </c>
      <c r="BG37" s="19"/>
      <c r="BH37" s="19"/>
      <c r="BI37" s="19"/>
      <c r="BJ37" s="19"/>
      <c r="BK37" s="19"/>
    </row>
    <row r="38" spans="1:63" s="8" customFormat="1" ht="15" customHeight="1" thickBot="1" x14ac:dyDescent="0.4">
      <c r="A38" s="3" t="s">
        <v>45</v>
      </c>
      <c r="B38" s="24">
        <v>1</v>
      </c>
      <c r="C38" s="24">
        <v>0</v>
      </c>
      <c r="D38" s="24">
        <v>0</v>
      </c>
      <c r="E38" s="24">
        <v>0</v>
      </c>
      <c r="F38" s="24">
        <v>0</v>
      </c>
      <c r="G38" s="24">
        <v>3</v>
      </c>
      <c r="H38" s="25">
        <v>0</v>
      </c>
      <c r="I38" s="25">
        <v>0.75</v>
      </c>
      <c r="J38" s="24"/>
      <c r="K38" s="24">
        <v>0</v>
      </c>
      <c r="L38" s="24">
        <v>0</v>
      </c>
      <c r="M38" s="24">
        <v>0</v>
      </c>
      <c r="N38" s="24">
        <v>0</v>
      </c>
      <c r="O38" s="24">
        <v>0</v>
      </c>
      <c r="P38" s="24">
        <v>11</v>
      </c>
      <c r="Q38" s="25" t="s">
        <v>74</v>
      </c>
      <c r="R38" s="25">
        <v>1</v>
      </c>
      <c r="S38" s="24"/>
      <c r="T38" s="17">
        <f t="shared" si="59"/>
        <v>1</v>
      </c>
      <c r="U38" s="17">
        <f t="shared" si="60"/>
        <v>0</v>
      </c>
      <c r="V38" s="17">
        <f t="shared" si="61"/>
        <v>0</v>
      </c>
      <c r="W38" s="17">
        <f t="shared" si="62"/>
        <v>0</v>
      </c>
      <c r="X38" s="17">
        <f t="shared" si="63"/>
        <v>0</v>
      </c>
      <c r="Y38" s="17">
        <f t="shared" si="64"/>
        <v>14</v>
      </c>
      <c r="Z38" s="23">
        <v>0</v>
      </c>
      <c r="AA38" s="23">
        <v>0.93333333333333335</v>
      </c>
      <c r="AB38" s="24"/>
      <c r="AC38" s="24">
        <v>0</v>
      </c>
      <c r="AD38" s="24">
        <v>0</v>
      </c>
      <c r="AE38" s="24">
        <v>0</v>
      </c>
      <c r="AF38" s="24">
        <v>0</v>
      </c>
      <c r="AG38" s="24">
        <v>0</v>
      </c>
      <c r="AH38" s="24">
        <v>0</v>
      </c>
      <c r="AI38" s="25" t="s">
        <v>74</v>
      </c>
      <c r="AJ38" s="25" t="s">
        <v>74</v>
      </c>
      <c r="AK38" s="24"/>
      <c r="AL38" s="24">
        <v>3</v>
      </c>
      <c r="AM38" s="24">
        <v>0</v>
      </c>
      <c r="AN38" s="24">
        <v>0</v>
      </c>
      <c r="AO38" s="24">
        <v>0</v>
      </c>
      <c r="AP38" s="24">
        <v>0</v>
      </c>
      <c r="AQ38" s="24">
        <v>6</v>
      </c>
      <c r="AR38" s="25">
        <v>0</v>
      </c>
      <c r="AS38" s="25">
        <v>0.66666666666666663</v>
      </c>
      <c r="AT38" s="24"/>
      <c r="AU38" s="17">
        <f t="shared" si="51"/>
        <v>4</v>
      </c>
      <c r="AV38" s="17">
        <f t="shared" si="52"/>
        <v>0</v>
      </c>
      <c r="AW38" s="17">
        <f t="shared" si="53"/>
        <v>0</v>
      </c>
      <c r="AX38" s="17">
        <f t="shared" si="54"/>
        <v>0</v>
      </c>
      <c r="AY38" s="17">
        <f t="shared" si="55"/>
        <v>0</v>
      </c>
      <c r="AZ38" s="17">
        <f t="shared" si="56"/>
        <v>20</v>
      </c>
      <c r="BA38" s="23">
        <v>0</v>
      </c>
      <c r="BB38" s="23">
        <v>0.83333333333333337</v>
      </c>
      <c r="BC38" s="19"/>
      <c r="BD38" s="20">
        <f t="shared" si="57"/>
        <v>24</v>
      </c>
      <c r="BE38" s="20">
        <v>24</v>
      </c>
      <c r="BF38" s="53">
        <f t="shared" si="58"/>
        <v>0</v>
      </c>
      <c r="BG38" s="19"/>
      <c r="BH38" s="19"/>
      <c r="BI38" s="19"/>
      <c r="BJ38" s="19"/>
      <c r="BK38" s="19"/>
    </row>
    <row r="39" spans="1:63" s="8" customFormat="1" ht="15" customHeight="1" thickBot="1" x14ac:dyDescent="0.4">
      <c r="A39" s="3" t="s">
        <v>46</v>
      </c>
      <c r="B39" s="24">
        <v>5</v>
      </c>
      <c r="C39" s="24">
        <v>0</v>
      </c>
      <c r="D39" s="24">
        <v>0</v>
      </c>
      <c r="E39" s="24">
        <v>0</v>
      </c>
      <c r="F39" s="24">
        <v>0</v>
      </c>
      <c r="G39" s="24">
        <v>0</v>
      </c>
      <c r="H39" s="25">
        <v>0</v>
      </c>
      <c r="I39" s="25">
        <v>0</v>
      </c>
      <c r="J39" s="24"/>
      <c r="K39" s="24">
        <v>11</v>
      </c>
      <c r="L39" s="24">
        <v>0</v>
      </c>
      <c r="M39" s="24">
        <v>0</v>
      </c>
      <c r="N39" s="24">
        <v>0</v>
      </c>
      <c r="O39" s="24">
        <v>0</v>
      </c>
      <c r="P39" s="24">
        <v>0</v>
      </c>
      <c r="Q39" s="25">
        <v>0</v>
      </c>
      <c r="R39" s="25">
        <v>0</v>
      </c>
      <c r="S39" s="24"/>
      <c r="T39" s="17">
        <f t="shared" si="59"/>
        <v>16</v>
      </c>
      <c r="U39" s="17">
        <f t="shared" si="60"/>
        <v>0</v>
      </c>
      <c r="V39" s="17">
        <f t="shared" si="61"/>
        <v>0</v>
      </c>
      <c r="W39" s="17">
        <f t="shared" si="62"/>
        <v>0</v>
      </c>
      <c r="X39" s="17">
        <f t="shared" si="63"/>
        <v>0</v>
      </c>
      <c r="Y39" s="17">
        <f t="shared" si="64"/>
        <v>0</v>
      </c>
      <c r="Z39" s="23">
        <v>0</v>
      </c>
      <c r="AA39" s="23">
        <v>0</v>
      </c>
      <c r="AB39" s="24"/>
      <c r="AC39" s="24">
        <v>0</v>
      </c>
      <c r="AD39" s="24">
        <v>0</v>
      </c>
      <c r="AE39" s="24">
        <v>0</v>
      </c>
      <c r="AF39" s="24">
        <v>0</v>
      </c>
      <c r="AG39" s="24">
        <v>0</v>
      </c>
      <c r="AH39" s="24">
        <v>0</v>
      </c>
      <c r="AI39" s="25" t="s">
        <v>74</v>
      </c>
      <c r="AJ39" s="25" t="s">
        <v>74</v>
      </c>
      <c r="AK39" s="24"/>
      <c r="AL39" s="24">
        <v>1</v>
      </c>
      <c r="AM39" s="24">
        <v>0</v>
      </c>
      <c r="AN39" s="24">
        <v>0</v>
      </c>
      <c r="AO39" s="24">
        <v>0</v>
      </c>
      <c r="AP39" s="24">
        <v>0</v>
      </c>
      <c r="AQ39" s="24">
        <v>0</v>
      </c>
      <c r="AR39" s="25">
        <v>0</v>
      </c>
      <c r="AS39" s="25">
        <v>0</v>
      </c>
      <c r="AT39" s="24"/>
      <c r="AU39" s="17">
        <f t="shared" si="51"/>
        <v>17</v>
      </c>
      <c r="AV39" s="17">
        <f t="shared" si="52"/>
        <v>0</v>
      </c>
      <c r="AW39" s="17">
        <f t="shared" si="53"/>
        <v>0</v>
      </c>
      <c r="AX39" s="17">
        <f t="shared" si="54"/>
        <v>0</v>
      </c>
      <c r="AY39" s="17">
        <f t="shared" si="55"/>
        <v>0</v>
      </c>
      <c r="AZ39" s="17">
        <f t="shared" si="56"/>
        <v>0</v>
      </c>
      <c r="BA39" s="23">
        <v>0</v>
      </c>
      <c r="BB39" s="23">
        <v>0</v>
      </c>
      <c r="BC39" s="19"/>
      <c r="BD39" s="20">
        <f t="shared" si="57"/>
        <v>17</v>
      </c>
      <c r="BE39" s="20">
        <v>17</v>
      </c>
      <c r="BF39" s="53">
        <f t="shared" si="58"/>
        <v>0</v>
      </c>
      <c r="BG39" s="19"/>
      <c r="BH39" s="19"/>
      <c r="BI39" s="19"/>
      <c r="BJ39" s="19"/>
      <c r="BK39" s="19"/>
    </row>
    <row r="40" spans="1:63" s="8" customFormat="1" ht="15" customHeight="1" thickBot="1" x14ac:dyDescent="0.4">
      <c r="A40" s="2" t="s">
        <v>47</v>
      </c>
      <c r="B40" s="24">
        <v>1</v>
      </c>
      <c r="C40" s="24">
        <v>0</v>
      </c>
      <c r="D40" s="24">
        <v>0</v>
      </c>
      <c r="E40" s="24">
        <v>0</v>
      </c>
      <c r="F40" s="24">
        <v>0</v>
      </c>
      <c r="G40" s="24">
        <v>0</v>
      </c>
      <c r="H40" s="25">
        <v>0</v>
      </c>
      <c r="I40" s="25">
        <v>0</v>
      </c>
      <c r="J40" s="24"/>
      <c r="K40" s="24">
        <v>26</v>
      </c>
      <c r="L40" s="24">
        <v>0</v>
      </c>
      <c r="M40" s="24">
        <v>0</v>
      </c>
      <c r="N40" s="24">
        <v>0</v>
      </c>
      <c r="O40" s="24">
        <v>4</v>
      </c>
      <c r="P40" s="24">
        <v>0</v>
      </c>
      <c r="Q40" s="25">
        <v>0.13333333333333333</v>
      </c>
      <c r="R40" s="25">
        <v>0</v>
      </c>
      <c r="S40" s="24"/>
      <c r="T40" s="17">
        <f t="shared" si="59"/>
        <v>27</v>
      </c>
      <c r="U40" s="17">
        <f t="shared" si="60"/>
        <v>0</v>
      </c>
      <c r="V40" s="17">
        <f t="shared" si="61"/>
        <v>0</v>
      </c>
      <c r="W40" s="17">
        <f t="shared" si="62"/>
        <v>0</v>
      </c>
      <c r="X40" s="17">
        <f t="shared" si="63"/>
        <v>4</v>
      </c>
      <c r="Y40" s="17">
        <f t="shared" si="64"/>
        <v>0</v>
      </c>
      <c r="Z40" s="23">
        <v>0.12903225806451613</v>
      </c>
      <c r="AA40" s="23">
        <v>0</v>
      </c>
      <c r="AB40" s="24"/>
      <c r="AC40" s="24">
        <v>0</v>
      </c>
      <c r="AD40" s="24">
        <v>0</v>
      </c>
      <c r="AE40" s="24">
        <v>0</v>
      </c>
      <c r="AF40" s="24">
        <v>0</v>
      </c>
      <c r="AG40" s="24">
        <v>1</v>
      </c>
      <c r="AH40" s="24">
        <v>0</v>
      </c>
      <c r="AI40" s="25">
        <v>1</v>
      </c>
      <c r="AJ40" s="25">
        <v>0</v>
      </c>
      <c r="AK40" s="24"/>
      <c r="AL40" s="24">
        <v>16</v>
      </c>
      <c r="AM40" s="24">
        <v>0</v>
      </c>
      <c r="AN40" s="24">
        <v>0</v>
      </c>
      <c r="AO40" s="24">
        <v>0</v>
      </c>
      <c r="AP40" s="24">
        <v>10</v>
      </c>
      <c r="AQ40" s="24">
        <v>0</v>
      </c>
      <c r="AR40" s="25">
        <v>0.38461538461538464</v>
      </c>
      <c r="AS40" s="25">
        <v>0</v>
      </c>
      <c r="AT40" s="24"/>
      <c r="AU40" s="17">
        <f t="shared" si="51"/>
        <v>43</v>
      </c>
      <c r="AV40" s="17">
        <f t="shared" si="52"/>
        <v>0</v>
      </c>
      <c r="AW40" s="17">
        <f t="shared" si="53"/>
        <v>0</v>
      </c>
      <c r="AX40" s="17">
        <f t="shared" si="54"/>
        <v>0</v>
      </c>
      <c r="AY40" s="17">
        <f t="shared" si="55"/>
        <v>15</v>
      </c>
      <c r="AZ40" s="17">
        <f t="shared" si="56"/>
        <v>0</v>
      </c>
      <c r="BA40" s="23">
        <v>0.25862068965517243</v>
      </c>
      <c r="BB40" s="23">
        <v>0</v>
      </c>
      <c r="BC40" s="19"/>
      <c r="BD40" s="20">
        <f t="shared" si="57"/>
        <v>58</v>
      </c>
      <c r="BE40" s="20">
        <v>58</v>
      </c>
      <c r="BF40" s="53">
        <f t="shared" si="58"/>
        <v>0</v>
      </c>
      <c r="BG40" s="19"/>
      <c r="BH40" s="19"/>
      <c r="BI40" s="19"/>
      <c r="BJ40" s="19"/>
      <c r="BK40" s="19"/>
    </row>
    <row r="41" spans="1:63" s="8" customFormat="1" ht="15" customHeight="1" thickBot="1" x14ac:dyDescent="0.4">
      <c r="A41" s="2" t="s">
        <v>48</v>
      </c>
      <c r="B41" s="24">
        <v>17</v>
      </c>
      <c r="C41" s="24">
        <v>0</v>
      </c>
      <c r="D41" s="24">
        <v>0</v>
      </c>
      <c r="E41" s="24">
        <v>0</v>
      </c>
      <c r="F41" s="24">
        <v>0</v>
      </c>
      <c r="G41" s="24">
        <v>1</v>
      </c>
      <c r="H41" s="25">
        <v>0</v>
      </c>
      <c r="I41" s="25">
        <v>5.5555555555555552E-2</v>
      </c>
      <c r="J41" s="24"/>
      <c r="K41" s="24">
        <v>36</v>
      </c>
      <c r="L41" s="24">
        <v>0</v>
      </c>
      <c r="M41" s="24">
        <v>0</v>
      </c>
      <c r="N41" s="24">
        <v>0</v>
      </c>
      <c r="O41" s="24">
        <v>1</v>
      </c>
      <c r="P41" s="24">
        <v>9</v>
      </c>
      <c r="Q41" s="25">
        <v>2.7027027027027029E-2</v>
      </c>
      <c r="R41" s="25">
        <v>0.19565217391304349</v>
      </c>
      <c r="S41" s="24"/>
      <c r="T41" s="17">
        <f t="shared" si="59"/>
        <v>53</v>
      </c>
      <c r="U41" s="17">
        <f t="shared" si="60"/>
        <v>0</v>
      </c>
      <c r="V41" s="17">
        <f t="shared" si="61"/>
        <v>0</v>
      </c>
      <c r="W41" s="17">
        <f t="shared" si="62"/>
        <v>0</v>
      </c>
      <c r="X41" s="17">
        <f t="shared" si="63"/>
        <v>1</v>
      </c>
      <c r="Y41" s="17">
        <f t="shared" si="64"/>
        <v>10</v>
      </c>
      <c r="Z41" s="23">
        <v>1.8518518518518517E-2</v>
      </c>
      <c r="AA41" s="23">
        <v>0.15625</v>
      </c>
      <c r="AB41" s="24"/>
      <c r="AC41" s="24">
        <v>0</v>
      </c>
      <c r="AD41" s="24">
        <v>0</v>
      </c>
      <c r="AE41" s="24">
        <v>0</v>
      </c>
      <c r="AF41" s="24">
        <v>0</v>
      </c>
      <c r="AG41" s="24">
        <v>0</v>
      </c>
      <c r="AH41" s="24">
        <v>0</v>
      </c>
      <c r="AI41" s="25" t="s">
        <v>74</v>
      </c>
      <c r="AJ41" s="25" t="s">
        <v>74</v>
      </c>
      <c r="AK41" s="24"/>
      <c r="AL41" s="24">
        <v>3</v>
      </c>
      <c r="AM41" s="24">
        <v>0</v>
      </c>
      <c r="AN41" s="24">
        <v>1</v>
      </c>
      <c r="AO41" s="24">
        <v>0</v>
      </c>
      <c r="AP41" s="24">
        <v>1</v>
      </c>
      <c r="AQ41" s="24">
        <v>1</v>
      </c>
      <c r="AR41" s="25">
        <v>0.4</v>
      </c>
      <c r="AS41" s="25">
        <v>0.16666666666666666</v>
      </c>
      <c r="AT41" s="24"/>
      <c r="AU41" s="17">
        <f t="shared" si="51"/>
        <v>56</v>
      </c>
      <c r="AV41" s="17">
        <f t="shared" si="52"/>
        <v>0</v>
      </c>
      <c r="AW41" s="17">
        <f t="shared" si="53"/>
        <v>1</v>
      </c>
      <c r="AX41" s="17">
        <f t="shared" si="54"/>
        <v>0</v>
      </c>
      <c r="AY41" s="17">
        <f t="shared" si="55"/>
        <v>2</v>
      </c>
      <c r="AZ41" s="17">
        <f t="shared" si="56"/>
        <v>11</v>
      </c>
      <c r="BA41" s="23">
        <v>5.0847457627118647E-2</v>
      </c>
      <c r="BB41" s="23">
        <v>0.15714285714285714</v>
      </c>
      <c r="BC41" s="19"/>
      <c r="BD41" s="20">
        <f t="shared" si="57"/>
        <v>70</v>
      </c>
      <c r="BE41" s="20">
        <v>70</v>
      </c>
      <c r="BF41" s="53">
        <f t="shared" si="58"/>
        <v>0</v>
      </c>
      <c r="BG41" s="19"/>
      <c r="BH41" s="19"/>
      <c r="BI41" s="19"/>
      <c r="BJ41" s="19"/>
      <c r="BK41" s="19"/>
    </row>
    <row r="42" spans="1:63" s="8" customFormat="1" ht="15" customHeight="1" thickBot="1" x14ac:dyDescent="0.4">
      <c r="A42" s="2" t="s">
        <v>49</v>
      </c>
      <c r="B42" s="24">
        <v>5</v>
      </c>
      <c r="C42" s="24">
        <v>0</v>
      </c>
      <c r="D42" s="24">
        <v>0</v>
      </c>
      <c r="E42" s="24">
        <v>0</v>
      </c>
      <c r="F42" s="24">
        <v>0</v>
      </c>
      <c r="G42" s="24">
        <v>9</v>
      </c>
      <c r="H42" s="25">
        <v>0</v>
      </c>
      <c r="I42" s="25">
        <v>0.6428571428571429</v>
      </c>
      <c r="J42" s="24"/>
      <c r="K42" s="24">
        <v>19</v>
      </c>
      <c r="L42" s="24">
        <v>0</v>
      </c>
      <c r="M42" s="24">
        <v>0</v>
      </c>
      <c r="N42" s="24">
        <v>0</v>
      </c>
      <c r="O42" s="24">
        <v>0</v>
      </c>
      <c r="P42" s="24">
        <v>13</v>
      </c>
      <c r="Q42" s="25">
        <v>0</v>
      </c>
      <c r="R42" s="25">
        <v>0.40625</v>
      </c>
      <c r="S42" s="24"/>
      <c r="T42" s="17">
        <f t="shared" si="59"/>
        <v>24</v>
      </c>
      <c r="U42" s="17">
        <f t="shared" si="60"/>
        <v>0</v>
      </c>
      <c r="V42" s="17">
        <f t="shared" si="61"/>
        <v>0</v>
      </c>
      <c r="W42" s="17">
        <f t="shared" si="62"/>
        <v>0</v>
      </c>
      <c r="X42" s="17">
        <f t="shared" si="63"/>
        <v>0</v>
      </c>
      <c r="Y42" s="17">
        <f t="shared" si="64"/>
        <v>22</v>
      </c>
      <c r="Z42" s="23">
        <v>0</v>
      </c>
      <c r="AA42" s="23">
        <v>0.47826086956521741</v>
      </c>
      <c r="AB42" s="24"/>
      <c r="AC42" s="24">
        <v>1</v>
      </c>
      <c r="AD42" s="24">
        <v>0</v>
      </c>
      <c r="AE42" s="24">
        <v>0</v>
      </c>
      <c r="AF42" s="24">
        <v>0</v>
      </c>
      <c r="AG42" s="24">
        <v>0</v>
      </c>
      <c r="AH42" s="24">
        <v>1</v>
      </c>
      <c r="AI42" s="25">
        <v>0</v>
      </c>
      <c r="AJ42" s="25">
        <v>0.5</v>
      </c>
      <c r="AK42" s="24"/>
      <c r="AL42" s="24">
        <v>10</v>
      </c>
      <c r="AM42" s="24">
        <v>0</v>
      </c>
      <c r="AN42" s="24">
        <v>0</v>
      </c>
      <c r="AO42" s="24">
        <v>0</v>
      </c>
      <c r="AP42" s="24">
        <v>0</v>
      </c>
      <c r="AQ42" s="24">
        <v>0</v>
      </c>
      <c r="AR42" s="25">
        <v>0</v>
      </c>
      <c r="AS42" s="25">
        <v>0</v>
      </c>
      <c r="AT42" s="24"/>
      <c r="AU42" s="17">
        <f t="shared" si="51"/>
        <v>35</v>
      </c>
      <c r="AV42" s="17">
        <f t="shared" si="52"/>
        <v>0</v>
      </c>
      <c r="AW42" s="17">
        <f t="shared" si="53"/>
        <v>0</v>
      </c>
      <c r="AX42" s="17">
        <f t="shared" si="54"/>
        <v>0</v>
      </c>
      <c r="AY42" s="17">
        <f t="shared" si="55"/>
        <v>0</v>
      </c>
      <c r="AZ42" s="17">
        <f t="shared" si="56"/>
        <v>23</v>
      </c>
      <c r="BA42" s="23">
        <v>0</v>
      </c>
      <c r="BB42" s="23">
        <v>0.39655172413793105</v>
      </c>
      <c r="BC42" s="19"/>
      <c r="BD42" s="20">
        <f t="shared" si="57"/>
        <v>58</v>
      </c>
      <c r="BE42" s="20">
        <v>58</v>
      </c>
      <c r="BF42" s="53">
        <f t="shared" si="58"/>
        <v>0</v>
      </c>
      <c r="BG42" s="19"/>
      <c r="BH42" s="19"/>
      <c r="BI42" s="19"/>
      <c r="BJ42" s="19"/>
      <c r="BK42" s="19"/>
    </row>
    <row r="43" spans="1:63" s="8" customFormat="1" ht="15" customHeight="1" thickBot="1" x14ac:dyDescent="0.4">
      <c r="A43" s="2" t="s">
        <v>50</v>
      </c>
      <c r="B43" s="24">
        <v>0</v>
      </c>
      <c r="C43" s="24">
        <v>0</v>
      </c>
      <c r="D43" s="24">
        <v>0</v>
      </c>
      <c r="E43" s="24">
        <v>0</v>
      </c>
      <c r="F43" s="24">
        <v>0</v>
      </c>
      <c r="G43" s="24">
        <v>0</v>
      </c>
      <c r="H43" s="25" t="s">
        <v>74</v>
      </c>
      <c r="I43" s="25" t="s">
        <v>74</v>
      </c>
      <c r="J43" s="24"/>
      <c r="K43" s="24">
        <v>33</v>
      </c>
      <c r="L43" s="24">
        <v>0</v>
      </c>
      <c r="M43" s="24">
        <v>0</v>
      </c>
      <c r="N43" s="24">
        <v>0</v>
      </c>
      <c r="O43" s="24">
        <v>1</v>
      </c>
      <c r="P43" s="24">
        <v>0</v>
      </c>
      <c r="Q43" s="25">
        <v>2.9411764705882353E-2</v>
      </c>
      <c r="R43" s="25">
        <v>0</v>
      </c>
      <c r="S43" s="24"/>
      <c r="T43" s="17">
        <f t="shared" si="59"/>
        <v>33</v>
      </c>
      <c r="U43" s="17">
        <f t="shared" si="60"/>
        <v>0</v>
      </c>
      <c r="V43" s="17">
        <f t="shared" si="61"/>
        <v>0</v>
      </c>
      <c r="W43" s="17">
        <f t="shared" si="62"/>
        <v>0</v>
      </c>
      <c r="X43" s="17">
        <f t="shared" si="63"/>
        <v>1</v>
      </c>
      <c r="Y43" s="17">
        <f t="shared" si="64"/>
        <v>0</v>
      </c>
      <c r="Z43" s="23">
        <v>2.9411764705882353E-2</v>
      </c>
      <c r="AA43" s="23">
        <v>0</v>
      </c>
      <c r="AB43" s="24"/>
      <c r="AC43" s="24">
        <v>0</v>
      </c>
      <c r="AD43" s="24">
        <v>0</v>
      </c>
      <c r="AE43" s="24">
        <v>0</v>
      </c>
      <c r="AF43" s="24">
        <v>0</v>
      </c>
      <c r="AG43" s="24">
        <v>0</v>
      </c>
      <c r="AH43" s="24">
        <v>0</v>
      </c>
      <c r="AI43" s="25" t="s">
        <v>74</v>
      </c>
      <c r="AJ43" s="25" t="s">
        <v>74</v>
      </c>
      <c r="AK43" s="24"/>
      <c r="AL43" s="24">
        <v>12</v>
      </c>
      <c r="AM43" s="24">
        <v>0</v>
      </c>
      <c r="AN43" s="24">
        <v>0</v>
      </c>
      <c r="AO43" s="24">
        <v>0</v>
      </c>
      <c r="AP43" s="24">
        <v>0</v>
      </c>
      <c r="AQ43" s="24">
        <v>0</v>
      </c>
      <c r="AR43" s="25">
        <v>0</v>
      </c>
      <c r="AS43" s="25">
        <v>0</v>
      </c>
      <c r="AT43" s="24"/>
      <c r="AU43" s="17">
        <f t="shared" si="51"/>
        <v>45</v>
      </c>
      <c r="AV43" s="17">
        <f t="shared" si="52"/>
        <v>0</v>
      </c>
      <c r="AW43" s="17">
        <f t="shared" si="53"/>
        <v>0</v>
      </c>
      <c r="AX43" s="17">
        <f t="shared" si="54"/>
        <v>0</v>
      </c>
      <c r="AY43" s="17">
        <f t="shared" si="55"/>
        <v>1</v>
      </c>
      <c r="AZ43" s="17">
        <f t="shared" si="56"/>
        <v>0</v>
      </c>
      <c r="BA43" s="23">
        <v>2.1739130434782608E-2</v>
      </c>
      <c r="BB43" s="23">
        <v>0</v>
      </c>
      <c r="BC43" s="19"/>
      <c r="BD43" s="20">
        <f t="shared" si="57"/>
        <v>46</v>
      </c>
      <c r="BE43" s="20">
        <v>46</v>
      </c>
      <c r="BF43" s="53">
        <f t="shared" si="58"/>
        <v>0</v>
      </c>
      <c r="BG43" s="19"/>
      <c r="BH43" s="19"/>
      <c r="BI43" s="19"/>
      <c r="BJ43" s="19"/>
      <c r="BK43" s="19"/>
    </row>
    <row r="44" spans="1:63" s="8" customFormat="1" ht="15" customHeight="1" thickBot="1" x14ac:dyDescent="0.4">
      <c r="A44" s="2" t="s">
        <v>51</v>
      </c>
      <c r="B44" s="24">
        <v>10</v>
      </c>
      <c r="C44" s="24">
        <v>0</v>
      </c>
      <c r="D44" s="24">
        <v>0</v>
      </c>
      <c r="E44" s="24">
        <v>0</v>
      </c>
      <c r="F44" s="24">
        <v>0</v>
      </c>
      <c r="G44" s="24">
        <v>7</v>
      </c>
      <c r="H44" s="25">
        <v>0</v>
      </c>
      <c r="I44" s="25">
        <v>0.41176470588235292</v>
      </c>
      <c r="J44" s="24"/>
      <c r="K44" s="24">
        <v>3</v>
      </c>
      <c r="L44" s="24">
        <v>0</v>
      </c>
      <c r="M44" s="24">
        <v>0</v>
      </c>
      <c r="N44" s="24">
        <v>0</v>
      </c>
      <c r="O44" s="24">
        <v>0</v>
      </c>
      <c r="P44" s="24">
        <v>30</v>
      </c>
      <c r="Q44" s="25">
        <v>0</v>
      </c>
      <c r="R44" s="25">
        <v>0.90909090909090906</v>
      </c>
      <c r="S44" s="24"/>
      <c r="T44" s="17">
        <f t="shared" si="59"/>
        <v>13</v>
      </c>
      <c r="U44" s="17">
        <f t="shared" si="60"/>
        <v>0</v>
      </c>
      <c r="V44" s="17">
        <f t="shared" si="61"/>
        <v>0</v>
      </c>
      <c r="W44" s="17">
        <f t="shared" si="62"/>
        <v>0</v>
      </c>
      <c r="X44" s="17">
        <f t="shared" si="63"/>
        <v>0</v>
      </c>
      <c r="Y44" s="17">
        <f t="shared" si="64"/>
        <v>37</v>
      </c>
      <c r="Z44" s="23">
        <v>0</v>
      </c>
      <c r="AA44" s="23">
        <v>0.74</v>
      </c>
      <c r="AB44" s="24"/>
      <c r="AC44" s="24">
        <v>0</v>
      </c>
      <c r="AD44" s="24">
        <v>0</v>
      </c>
      <c r="AE44" s="24">
        <v>0</v>
      </c>
      <c r="AF44" s="24">
        <v>0</v>
      </c>
      <c r="AG44" s="24">
        <v>0</v>
      </c>
      <c r="AH44" s="24">
        <v>0</v>
      </c>
      <c r="AI44" s="25" t="s">
        <v>74</v>
      </c>
      <c r="AJ44" s="25" t="s">
        <v>74</v>
      </c>
      <c r="AK44" s="24"/>
      <c r="AL44" s="24">
        <v>11</v>
      </c>
      <c r="AM44" s="24">
        <v>0</v>
      </c>
      <c r="AN44" s="24">
        <v>1</v>
      </c>
      <c r="AO44" s="24">
        <v>0</v>
      </c>
      <c r="AP44" s="24">
        <v>0</v>
      </c>
      <c r="AQ44" s="24">
        <v>0</v>
      </c>
      <c r="AR44" s="25">
        <v>8.3333333333333329E-2</v>
      </c>
      <c r="AS44" s="25">
        <v>0</v>
      </c>
      <c r="AT44" s="24"/>
      <c r="AU44" s="17">
        <f t="shared" si="51"/>
        <v>24</v>
      </c>
      <c r="AV44" s="17">
        <f t="shared" si="52"/>
        <v>0</v>
      </c>
      <c r="AW44" s="17">
        <f t="shared" si="53"/>
        <v>1</v>
      </c>
      <c r="AX44" s="17">
        <f t="shared" si="54"/>
        <v>0</v>
      </c>
      <c r="AY44" s="17">
        <f t="shared" si="55"/>
        <v>0</v>
      </c>
      <c r="AZ44" s="17">
        <f t="shared" si="56"/>
        <v>37</v>
      </c>
      <c r="BA44" s="23">
        <v>0.04</v>
      </c>
      <c r="BB44" s="23">
        <v>0.59677419354838712</v>
      </c>
      <c r="BC44" s="19"/>
      <c r="BD44" s="20">
        <f t="shared" si="57"/>
        <v>62</v>
      </c>
      <c r="BE44" s="20">
        <v>62</v>
      </c>
      <c r="BF44" s="53">
        <f t="shared" si="58"/>
        <v>0</v>
      </c>
      <c r="BG44" s="19"/>
      <c r="BH44" s="19"/>
      <c r="BI44" s="19"/>
      <c r="BJ44" s="19"/>
      <c r="BK44" s="19"/>
    </row>
    <row r="45" spans="1:63" s="8" customFormat="1" ht="15" customHeight="1" thickBot="1" x14ac:dyDescent="0.4">
      <c r="A45" s="2" t="s">
        <v>52</v>
      </c>
      <c r="B45" s="24">
        <v>10</v>
      </c>
      <c r="C45" s="24">
        <v>0</v>
      </c>
      <c r="D45" s="24">
        <v>0</v>
      </c>
      <c r="E45" s="24">
        <v>0</v>
      </c>
      <c r="F45" s="24">
        <v>0</v>
      </c>
      <c r="G45" s="24">
        <v>0</v>
      </c>
      <c r="H45" s="25">
        <v>0</v>
      </c>
      <c r="I45" s="25">
        <v>0</v>
      </c>
      <c r="J45" s="24"/>
      <c r="K45" s="24">
        <v>11</v>
      </c>
      <c r="L45" s="24">
        <v>0</v>
      </c>
      <c r="M45" s="24">
        <v>0</v>
      </c>
      <c r="N45" s="24">
        <v>0</v>
      </c>
      <c r="O45" s="24">
        <v>0</v>
      </c>
      <c r="P45" s="24">
        <v>0</v>
      </c>
      <c r="Q45" s="25">
        <v>0</v>
      </c>
      <c r="R45" s="25">
        <v>0</v>
      </c>
      <c r="S45" s="24"/>
      <c r="T45" s="17">
        <f t="shared" si="59"/>
        <v>21</v>
      </c>
      <c r="U45" s="17">
        <f t="shared" si="60"/>
        <v>0</v>
      </c>
      <c r="V45" s="17">
        <f t="shared" si="61"/>
        <v>0</v>
      </c>
      <c r="W45" s="17">
        <f t="shared" si="62"/>
        <v>0</v>
      </c>
      <c r="X45" s="17">
        <f t="shared" si="63"/>
        <v>0</v>
      </c>
      <c r="Y45" s="17">
        <f t="shared" si="64"/>
        <v>0</v>
      </c>
      <c r="Z45" s="23">
        <v>0</v>
      </c>
      <c r="AA45" s="23">
        <v>0</v>
      </c>
      <c r="AB45" s="24"/>
      <c r="AC45" s="24">
        <v>0</v>
      </c>
      <c r="AD45" s="24">
        <v>0</v>
      </c>
      <c r="AE45" s="24">
        <v>0</v>
      </c>
      <c r="AF45" s="24">
        <v>0</v>
      </c>
      <c r="AG45" s="24">
        <v>0</v>
      </c>
      <c r="AH45" s="24">
        <v>1</v>
      </c>
      <c r="AI45" s="25" t="s">
        <v>74</v>
      </c>
      <c r="AJ45" s="25">
        <v>1</v>
      </c>
      <c r="AK45" s="24"/>
      <c r="AL45" s="24">
        <v>0</v>
      </c>
      <c r="AM45" s="24">
        <v>0</v>
      </c>
      <c r="AN45" s="24">
        <v>0</v>
      </c>
      <c r="AO45" s="24">
        <v>0</v>
      </c>
      <c r="AP45" s="24">
        <v>0</v>
      </c>
      <c r="AQ45" s="24">
        <v>0</v>
      </c>
      <c r="AR45" s="25" t="s">
        <v>74</v>
      </c>
      <c r="AS45" s="25" t="s">
        <v>74</v>
      </c>
      <c r="AT45" s="24"/>
      <c r="AU45" s="17">
        <f t="shared" si="51"/>
        <v>21</v>
      </c>
      <c r="AV45" s="17">
        <f t="shared" si="52"/>
        <v>0</v>
      </c>
      <c r="AW45" s="17">
        <f t="shared" si="53"/>
        <v>0</v>
      </c>
      <c r="AX45" s="17">
        <f t="shared" si="54"/>
        <v>0</v>
      </c>
      <c r="AY45" s="17">
        <f t="shared" si="55"/>
        <v>0</v>
      </c>
      <c r="AZ45" s="17">
        <f t="shared" si="56"/>
        <v>1</v>
      </c>
      <c r="BA45" s="23">
        <v>0</v>
      </c>
      <c r="BB45" s="23">
        <v>4.5454545454545456E-2</v>
      </c>
      <c r="BC45" s="19"/>
      <c r="BD45" s="20">
        <f t="shared" si="57"/>
        <v>22</v>
      </c>
      <c r="BE45" s="20">
        <v>22</v>
      </c>
      <c r="BF45" s="53">
        <f t="shared" si="58"/>
        <v>0</v>
      </c>
      <c r="BG45" s="19"/>
      <c r="BH45" s="19"/>
      <c r="BI45" s="19"/>
      <c r="BJ45" s="19"/>
      <c r="BK45" s="19"/>
    </row>
    <row r="46" spans="1:63" s="8" customFormat="1" ht="15" customHeight="1" thickBot="1" x14ac:dyDescent="0.4">
      <c r="A46" s="2" t="s">
        <v>53</v>
      </c>
      <c r="B46" s="24">
        <v>6</v>
      </c>
      <c r="C46" s="24">
        <v>0</v>
      </c>
      <c r="D46" s="24">
        <v>0</v>
      </c>
      <c r="E46" s="24">
        <v>0</v>
      </c>
      <c r="F46" s="24">
        <v>0</v>
      </c>
      <c r="G46" s="24">
        <v>1</v>
      </c>
      <c r="H46" s="25">
        <v>0</v>
      </c>
      <c r="I46" s="25">
        <v>0.14285714285714285</v>
      </c>
      <c r="J46" s="24"/>
      <c r="K46" s="24">
        <v>9</v>
      </c>
      <c r="L46" s="24">
        <v>0</v>
      </c>
      <c r="M46" s="24">
        <v>0</v>
      </c>
      <c r="N46" s="24">
        <v>0</v>
      </c>
      <c r="O46" s="24">
        <v>0</v>
      </c>
      <c r="P46" s="24">
        <v>16</v>
      </c>
      <c r="Q46" s="25">
        <v>0</v>
      </c>
      <c r="R46" s="25">
        <v>0.64</v>
      </c>
      <c r="S46" s="24"/>
      <c r="T46" s="17">
        <f t="shared" si="59"/>
        <v>15</v>
      </c>
      <c r="U46" s="17">
        <f t="shared" si="60"/>
        <v>0</v>
      </c>
      <c r="V46" s="17">
        <f t="shared" si="61"/>
        <v>0</v>
      </c>
      <c r="W46" s="17">
        <f t="shared" si="62"/>
        <v>0</v>
      </c>
      <c r="X46" s="17">
        <f t="shared" si="63"/>
        <v>0</v>
      </c>
      <c r="Y46" s="17">
        <f t="shared" si="64"/>
        <v>17</v>
      </c>
      <c r="Z46" s="23">
        <v>0</v>
      </c>
      <c r="AA46" s="23">
        <v>0.53125</v>
      </c>
      <c r="AB46" s="24"/>
      <c r="AC46" s="24">
        <v>2</v>
      </c>
      <c r="AD46" s="24">
        <v>0</v>
      </c>
      <c r="AE46" s="24">
        <v>0</v>
      </c>
      <c r="AF46" s="24">
        <v>0</v>
      </c>
      <c r="AG46" s="24">
        <v>0</v>
      </c>
      <c r="AH46" s="24">
        <v>3</v>
      </c>
      <c r="AI46" s="25">
        <v>0</v>
      </c>
      <c r="AJ46" s="25">
        <v>0.6</v>
      </c>
      <c r="AK46" s="24"/>
      <c r="AL46" s="24">
        <v>16</v>
      </c>
      <c r="AM46" s="24">
        <v>0</v>
      </c>
      <c r="AN46" s="24">
        <v>0</v>
      </c>
      <c r="AO46" s="24">
        <v>0</v>
      </c>
      <c r="AP46" s="24">
        <v>0</v>
      </c>
      <c r="AQ46" s="24">
        <v>0</v>
      </c>
      <c r="AR46" s="25">
        <v>0</v>
      </c>
      <c r="AS46" s="25">
        <v>0</v>
      </c>
      <c r="AT46" s="24"/>
      <c r="AU46" s="17">
        <f t="shared" si="51"/>
        <v>33</v>
      </c>
      <c r="AV46" s="17">
        <f t="shared" si="52"/>
        <v>0</v>
      </c>
      <c r="AW46" s="17">
        <f t="shared" si="53"/>
        <v>0</v>
      </c>
      <c r="AX46" s="17">
        <f t="shared" si="54"/>
        <v>0</v>
      </c>
      <c r="AY46" s="17">
        <f t="shared" si="55"/>
        <v>0</v>
      </c>
      <c r="AZ46" s="17">
        <f t="shared" si="56"/>
        <v>20</v>
      </c>
      <c r="BA46" s="23">
        <v>0</v>
      </c>
      <c r="BB46" s="23">
        <v>0.37735849056603776</v>
      </c>
      <c r="BC46" s="19"/>
      <c r="BD46" s="20">
        <f t="shared" si="57"/>
        <v>53</v>
      </c>
      <c r="BE46" s="20">
        <v>53</v>
      </c>
      <c r="BF46" s="53">
        <f t="shared" si="58"/>
        <v>0</v>
      </c>
      <c r="BG46" s="19"/>
      <c r="BH46" s="19"/>
      <c r="BI46" s="19"/>
      <c r="BJ46" s="19"/>
      <c r="BK46" s="19"/>
    </row>
    <row r="47" spans="1:63" s="8" customFormat="1" ht="15" customHeight="1" thickBot="1" x14ac:dyDescent="0.4">
      <c r="A47" s="2" t="s">
        <v>54</v>
      </c>
      <c r="B47" s="24">
        <v>1</v>
      </c>
      <c r="C47" s="24">
        <v>0</v>
      </c>
      <c r="D47" s="24">
        <v>0</v>
      </c>
      <c r="E47" s="24">
        <v>0</v>
      </c>
      <c r="F47" s="24">
        <v>0</v>
      </c>
      <c r="G47" s="24">
        <v>16</v>
      </c>
      <c r="H47" s="25">
        <v>0</v>
      </c>
      <c r="I47" s="25">
        <v>0.94117647058823528</v>
      </c>
      <c r="J47" s="24"/>
      <c r="K47" s="24">
        <v>5</v>
      </c>
      <c r="L47" s="24">
        <v>0</v>
      </c>
      <c r="M47" s="24">
        <v>0</v>
      </c>
      <c r="N47" s="24">
        <v>0</v>
      </c>
      <c r="O47" s="24">
        <v>0</v>
      </c>
      <c r="P47" s="24">
        <v>35</v>
      </c>
      <c r="Q47" s="25">
        <v>0</v>
      </c>
      <c r="R47" s="25">
        <v>0.875</v>
      </c>
      <c r="S47" s="24"/>
      <c r="T47" s="17">
        <f t="shared" si="59"/>
        <v>6</v>
      </c>
      <c r="U47" s="17">
        <f t="shared" si="60"/>
        <v>0</v>
      </c>
      <c r="V47" s="17">
        <f t="shared" si="61"/>
        <v>0</v>
      </c>
      <c r="W47" s="17">
        <f t="shared" si="62"/>
        <v>0</v>
      </c>
      <c r="X47" s="17">
        <f t="shared" si="63"/>
        <v>0</v>
      </c>
      <c r="Y47" s="17">
        <f t="shared" si="64"/>
        <v>51</v>
      </c>
      <c r="Z47" s="23">
        <v>0</v>
      </c>
      <c r="AA47" s="23">
        <v>0.89473684210526316</v>
      </c>
      <c r="AB47" s="24"/>
      <c r="AC47" s="24">
        <v>0</v>
      </c>
      <c r="AD47" s="24">
        <v>0</v>
      </c>
      <c r="AE47" s="24">
        <v>0</v>
      </c>
      <c r="AF47" s="24">
        <v>0</v>
      </c>
      <c r="AG47" s="24">
        <v>0</v>
      </c>
      <c r="AH47" s="24">
        <v>0</v>
      </c>
      <c r="AI47" s="25" t="s">
        <v>74</v>
      </c>
      <c r="AJ47" s="25" t="s">
        <v>74</v>
      </c>
      <c r="AK47" s="24"/>
      <c r="AL47" s="24">
        <v>1</v>
      </c>
      <c r="AM47" s="24">
        <v>0</v>
      </c>
      <c r="AN47" s="24">
        <v>0</v>
      </c>
      <c r="AO47" s="24">
        <v>0</v>
      </c>
      <c r="AP47" s="24">
        <v>0</v>
      </c>
      <c r="AQ47" s="24">
        <v>15</v>
      </c>
      <c r="AR47" s="25">
        <v>0</v>
      </c>
      <c r="AS47" s="25">
        <v>0.9375</v>
      </c>
      <c r="AT47" s="24"/>
      <c r="AU47" s="17">
        <f t="shared" si="51"/>
        <v>7</v>
      </c>
      <c r="AV47" s="17">
        <f t="shared" si="52"/>
        <v>0</v>
      </c>
      <c r="AW47" s="17">
        <f t="shared" si="53"/>
        <v>0</v>
      </c>
      <c r="AX47" s="17">
        <f t="shared" si="54"/>
        <v>0</v>
      </c>
      <c r="AY47" s="17">
        <f t="shared" si="55"/>
        <v>0</v>
      </c>
      <c r="AZ47" s="17">
        <f t="shared" si="56"/>
        <v>66</v>
      </c>
      <c r="BA47" s="23">
        <v>0</v>
      </c>
      <c r="BB47" s="23">
        <v>0.90410958904109584</v>
      </c>
      <c r="BC47" s="19"/>
      <c r="BD47" s="20">
        <f t="shared" si="57"/>
        <v>73</v>
      </c>
      <c r="BE47" s="20">
        <v>73</v>
      </c>
      <c r="BF47" s="53">
        <f t="shared" si="58"/>
        <v>0</v>
      </c>
      <c r="BG47" s="19"/>
      <c r="BH47" s="19"/>
      <c r="BI47" s="19"/>
      <c r="BJ47" s="19"/>
      <c r="BK47" s="19"/>
    </row>
    <row r="48" spans="1:63" s="8" customFormat="1" ht="15" customHeight="1" thickBot="1" x14ac:dyDescent="0.4">
      <c r="A48" s="2" t="s">
        <v>55</v>
      </c>
      <c r="B48" s="24">
        <v>0</v>
      </c>
      <c r="C48" s="24">
        <v>0</v>
      </c>
      <c r="D48" s="24">
        <v>0</v>
      </c>
      <c r="E48" s="24">
        <v>0</v>
      </c>
      <c r="F48" s="24">
        <v>0</v>
      </c>
      <c r="G48" s="24">
        <v>0</v>
      </c>
      <c r="H48" s="25" t="s">
        <v>74</v>
      </c>
      <c r="I48" s="25" t="s">
        <v>74</v>
      </c>
      <c r="J48" s="24"/>
      <c r="K48" s="24">
        <v>0</v>
      </c>
      <c r="L48" s="24">
        <v>0</v>
      </c>
      <c r="M48" s="24">
        <v>0</v>
      </c>
      <c r="N48" s="24">
        <v>0</v>
      </c>
      <c r="O48" s="24">
        <v>0</v>
      </c>
      <c r="P48" s="24">
        <v>0</v>
      </c>
      <c r="Q48" s="25" t="s">
        <v>74</v>
      </c>
      <c r="R48" s="25" t="s">
        <v>74</v>
      </c>
      <c r="S48" s="24"/>
      <c r="T48" s="17">
        <f t="shared" si="59"/>
        <v>0</v>
      </c>
      <c r="U48" s="17">
        <f t="shared" si="60"/>
        <v>0</v>
      </c>
      <c r="V48" s="17">
        <f t="shared" si="61"/>
        <v>0</v>
      </c>
      <c r="W48" s="17">
        <f t="shared" si="62"/>
        <v>0</v>
      </c>
      <c r="X48" s="17">
        <f t="shared" si="63"/>
        <v>0</v>
      </c>
      <c r="Y48" s="17">
        <f t="shared" si="64"/>
        <v>0</v>
      </c>
      <c r="Z48" s="23" t="s">
        <v>74</v>
      </c>
      <c r="AA48" s="23" t="s">
        <v>74</v>
      </c>
      <c r="AB48" s="24"/>
      <c r="AC48" s="24">
        <v>0</v>
      </c>
      <c r="AD48" s="24">
        <v>0</v>
      </c>
      <c r="AE48" s="24">
        <v>0</v>
      </c>
      <c r="AF48" s="24">
        <v>0</v>
      </c>
      <c r="AG48" s="24">
        <v>0</v>
      </c>
      <c r="AH48" s="24">
        <v>0</v>
      </c>
      <c r="AI48" s="25" t="s">
        <v>74</v>
      </c>
      <c r="AJ48" s="25" t="s">
        <v>74</v>
      </c>
      <c r="AK48" s="24"/>
      <c r="AL48" s="24">
        <v>0</v>
      </c>
      <c r="AM48" s="24">
        <v>0</v>
      </c>
      <c r="AN48" s="24">
        <v>0</v>
      </c>
      <c r="AO48" s="24">
        <v>0</v>
      </c>
      <c r="AP48" s="24">
        <v>0</v>
      </c>
      <c r="AQ48" s="24">
        <v>0</v>
      </c>
      <c r="AR48" s="25" t="s">
        <v>74</v>
      </c>
      <c r="AS48" s="25" t="s">
        <v>74</v>
      </c>
      <c r="AT48" s="24"/>
      <c r="AU48" s="17">
        <f t="shared" si="51"/>
        <v>0</v>
      </c>
      <c r="AV48" s="17">
        <f t="shared" si="52"/>
        <v>0</v>
      </c>
      <c r="AW48" s="17">
        <f t="shared" si="53"/>
        <v>0</v>
      </c>
      <c r="AX48" s="17">
        <f t="shared" si="54"/>
        <v>0</v>
      </c>
      <c r="AY48" s="17">
        <f t="shared" si="55"/>
        <v>0</v>
      </c>
      <c r="AZ48" s="17">
        <f t="shared" si="56"/>
        <v>0</v>
      </c>
      <c r="BA48" s="23" t="s">
        <v>74</v>
      </c>
      <c r="BB48" s="23" t="s">
        <v>74</v>
      </c>
      <c r="BC48" s="19"/>
      <c r="BD48" s="20">
        <f t="shared" si="57"/>
        <v>0</v>
      </c>
      <c r="BE48" s="20">
        <v>0</v>
      </c>
      <c r="BF48" s="53">
        <f t="shared" si="58"/>
        <v>0</v>
      </c>
      <c r="BG48" s="19"/>
      <c r="BH48" s="19"/>
      <c r="BI48" s="19"/>
      <c r="BJ48" s="19"/>
      <c r="BK48" s="19"/>
    </row>
    <row r="49" spans="1:63" s="8" customFormat="1" ht="15" customHeight="1" thickBot="1" x14ac:dyDescent="0.4">
      <c r="A49" s="21" t="s">
        <v>56</v>
      </c>
      <c r="B49" s="22">
        <v>119</v>
      </c>
      <c r="C49" s="22">
        <v>16</v>
      </c>
      <c r="D49" s="22">
        <v>1</v>
      </c>
      <c r="E49" s="22">
        <v>7</v>
      </c>
      <c r="F49" s="22">
        <v>2</v>
      </c>
      <c r="G49" s="22">
        <v>14</v>
      </c>
      <c r="H49" s="22">
        <v>0.85470085470085466</v>
      </c>
      <c r="I49" s="22">
        <v>0.67205882352941182</v>
      </c>
      <c r="J49" s="22"/>
      <c r="K49" s="22">
        <v>15</v>
      </c>
      <c r="L49" s="22">
        <v>0</v>
      </c>
      <c r="M49" s="22">
        <v>1</v>
      </c>
      <c r="N49" s="22">
        <v>0</v>
      </c>
      <c r="O49" s="22">
        <v>0</v>
      </c>
      <c r="P49" s="22">
        <v>0</v>
      </c>
      <c r="Q49" s="22">
        <v>6.6666666666666666E-2</v>
      </c>
      <c r="R49" s="22">
        <v>0</v>
      </c>
      <c r="S49" s="22"/>
      <c r="T49" s="17">
        <f t="shared" si="59"/>
        <v>134</v>
      </c>
      <c r="U49" s="17">
        <f t="shared" si="60"/>
        <v>16</v>
      </c>
      <c r="V49" s="17">
        <f t="shared" si="61"/>
        <v>2</v>
      </c>
      <c r="W49" s="17">
        <f t="shared" si="62"/>
        <v>7</v>
      </c>
      <c r="X49" s="17">
        <f t="shared" si="63"/>
        <v>2</v>
      </c>
      <c r="Y49" s="17">
        <f t="shared" si="64"/>
        <v>14</v>
      </c>
      <c r="Z49" s="22">
        <v>0.82196275946275943</v>
      </c>
      <c r="AA49" s="22">
        <v>0.63611111111111118</v>
      </c>
      <c r="AB49" s="22"/>
      <c r="AC49" s="22">
        <v>21</v>
      </c>
      <c r="AD49" s="22">
        <v>1</v>
      </c>
      <c r="AE49" s="22">
        <v>0</v>
      </c>
      <c r="AF49" s="22">
        <v>2</v>
      </c>
      <c r="AG49" s="22">
        <v>0</v>
      </c>
      <c r="AH49" s="22">
        <v>1</v>
      </c>
      <c r="AI49" s="22">
        <v>0.25</v>
      </c>
      <c r="AJ49" s="22">
        <v>9.0909090909090912E-2</v>
      </c>
      <c r="AK49" s="22"/>
      <c r="AL49" s="22">
        <v>155</v>
      </c>
      <c r="AM49" s="22">
        <v>6</v>
      </c>
      <c r="AN49" s="22">
        <v>7</v>
      </c>
      <c r="AO49" s="22">
        <v>11</v>
      </c>
      <c r="AP49" s="22">
        <v>3</v>
      </c>
      <c r="AQ49" s="22">
        <v>15</v>
      </c>
      <c r="AR49" s="22">
        <v>0.72693516633009159</v>
      </c>
      <c r="AS49" s="22">
        <v>0.4212555664168568</v>
      </c>
      <c r="AT49" s="22"/>
      <c r="AU49" s="17">
        <f t="shared" si="51"/>
        <v>310</v>
      </c>
      <c r="AV49" s="17">
        <f t="shared" si="52"/>
        <v>23</v>
      </c>
      <c r="AW49" s="17">
        <f t="shared" si="53"/>
        <v>9</v>
      </c>
      <c r="AX49" s="17">
        <f t="shared" si="54"/>
        <v>20</v>
      </c>
      <c r="AY49" s="17">
        <f t="shared" si="55"/>
        <v>5</v>
      </c>
      <c r="AZ49" s="17">
        <f t="shared" si="56"/>
        <v>30</v>
      </c>
      <c r="BA49" s="22">
        <v>0.55058553536814414</v>
      </c>
      <c r="BB49" s="22">
        <v>0.4595938104448743</v>
      </c>
      <c r="BC49" s="19"/>
      <c r="BD49" s="20">
        <f t="shared" si="57"/>
        <v>397</v>
      </c>
      <c r="BE49" s="20">
        <v>397</v>
      </c>
      <c r="BF49" s="53">
        <f t="shared" si="58"/>
        <v>0</v>
      </c>
      <c r="BG49" s="19"/>
      <c r="BH49" s="19"/>
      <c r="BI49" s="19"/>
      <c r="BJ49" s="19"/>
      <c r="BK49" s="19"/>
    </row>
    <row r="50" spans="1:63" s="8" customFormat="1" ht="15" customHeight="1" thickBot="1" x14ac:dyDescent="0.4">
      <c r="A50" s="2" t="s">
        <v>57</v>
      </c>
      <c r="B50" s="24">
        <v>2</v>
      </c>
      <c r="C50" s="24">
        <v>3</v>
      </c>
      <c r="D50" s="24">
        <v>0</v>
      </c>
      <c r="E50" s="24">
        <v>1</v>
      </c>
      <c r="F50" s="24">
        <v>0</v>
      </c>
      <c r="G50" s="24">
        <v>11</v>
      </c>
      <c r="H50" s="25">
        <v>0.66666666666666663</v>
      </c>
      <c r="I50" s="25">
        <v>0.6470588235294118</v>
      </c>
      <c r="J50" s="24"/>
      <c r="K50" s="24">
        <v>1</v>
      </c>
      <c r="L50" s="24">
        <v>0</v>
      </c>
      <c r="M50" s="24">
        <v>0</v>
      </c>
      <c r="N50" s="24">
        <v>0</v>
      </c>
      <c r="O50" s="24">
        <v>0</v>
      </c>
      <c r="P50" s="24">
        <v>0</v>
      </c>
      <c r="Q50" s="25">
        <v>0</v>
      </c>
      <c r="R50" s="25">
        <v>0</v>
      </c>
      <c r="S50" s="24"/>
      <c r="T50" s="17">
        <f t="shared" si="59"/>
        <v>3</v>
      </c>
      <c r="U50" s="17">
        <f t="shared" si="60"/>
        <v>3</v>
      </c>
      <c r="V50" s="17">
        <f t="shared" si="61"/>
        <v>0</v>
      </c>
      <c r="W50" s="17">
        <f t="shared" si="62"/>
        <v>1</v>
      </c>
      <c r="X50" s="17">
        <f t="shared" si="63"/>
        <v>0</v>
      </c>
      <c r="Y50" s="17">
        <f t="shared" si="64"/>
        <v>11</v>
      </c>
      <c r="Z50" s="23">
        <v>0.5714285714285714</v>
      </c>
      <c r="AA50" s="23">
        <v>0.61111111111111116</v>
      </c>
      <c r="AB50" s="24"/>
      <c r="AC50" s="24">
        <v>0</v>
      </c>
      <c r="AD50" s="24">
        <v>0</v>
      </c>
      <c r="AE50" s="24">
        <v>0</v>
      </c>
      <c r="AF50" s="24">
        <v>0</v>
      </c>
      <c r="AG50" s="24">
        <v>0</v>
      </c>
      <c r="AH50" s="24">
        <v>0</v>
      </c>
      <c r="AI50" s="25" t="s">
        <v>74</v>
      </c>
      <c r="AJ50" s="25" t="s">
        <v>74</v>
      </c>
      <c r="AK50" s="24"/>
      <c r="AL50" s="24">
        <v>50</v>
      </c>
      <c r="AM50" s="24">
        <v>2</v>
      </c>
      <c r="AN50" s="24">
        <v>0</v>
      </c>
      <c r="AO50" s="24">
        <v>1</v>
      </c>
      <c r="AP50" s="24">
        <v>0</v>
      </c>
      <c r="AQ50" s="24">
        <v>9</v>
      </c>
      <c r="AR50" s="25">
        <v>5.6603773584905662E-2</v>
      </c>
      <c r="AS50" s="25">
        <v>0.14516129032258066</v>
      </c>
      <c r="AT50" s="24"/>
      <c r="AU50" s="17">
        <f t="shared" si="51"/>
        <v>53</v>
      </c>
      <c r="AV50" s="17">
        <f t="shared" si="52"/>
        <v>5</v>
      </c>
      <c r="AW50" s="17">
        <f t="shared" si="53"/>
        <v>0</v>
      </c>
      <c r="AX50" s="17">
        <f t="shared" si="54"/>
        <v>2</v>
      </c>
      <c r="AY50" s="17">
        <f t="shared" si="55"/>
        <v>0</v>
      </c>
      <c r="AZ50" s="17">
        <f t="shared" si="56"/>
        <v>20</v>
      </c>
      <c r="BA50" s="23">
        <v>0.11666666666666667</v>
      </c>
      <c r="BB50" s="23">
        <v>0.25</v>
      </c>
      <c r="BC50" s="19"/>
      <c r="BD50" s="20">
        <f t="shared" si="57"/>
        <v>80</v>
      </c>
      <c r="BE50" s="20">
        <v>80</v>
      </c>
      <c r="BF50" s="53">
        <f t="shared" si="58"/>
        <v>0</v>
      </c>
      <c r="BG50" s="19"/>
      <c r="BH50" s="19"/>
      <c r="BI50" s="19"/>
      <c r="BJ50" s="19"/>
      <c r="BK50" s="19"/>
    </row>
    <row r="51" spans="1:63" s="8" customFormat="1" ht="15" customHeight="1" thickBot="1" x14ac:dyDescent="0.4">
      <c r="A51" s="2" t="s">
        <v>58</v>
      </c>
      <c r="B51" s="24">
        <v>17</v>
      </c>
      <c r="C51" s="24">
        <v>0</v>
      </c>
      <c r="D51" s="24">
        <v>0</v>
      </c>
      <c r="E51" s="24">
        <v>0</v>
      </c>
      <c r="F51" s="24">
        <v>0</v>
      </c>
      <c r="G51" s="24">
        <v>0</v>
      </c>
      <c r="H51" s="25">
        <v>0</v>
      </c>
      <c r="I51" s="25">
        <v>0</v>
      </c>
      <c r="J51" s="24"/>
      <c r="K51" s="24">
        <v>0</v>
      </c>
      <c r="L51" s="24">
        <v>0</v>
      </c>
      <c r="M51" s="24">
        <v>0</v>
      </c>
      <c r="N51" s="24">
        <v>0</v>
      </c>
      <c r="O51" s="24">
        <v>0</v>
      </c>
      <c r="P51" s="24">
        <v>0</v>
      </c>
      <c r="Q51" s="25" t="s">
        <v>74</v>
      </c>
      <c r="R51" s="25" t="s">
        <v>74</v>
      </c>
      <c r="S51" s="24"/>
      <c r="T51" s="17">
        <f t="shared" si="59"/>
        <v>17</v>
      </c>
      <c r="U51" s="17">
        <f t="shared" si="60"/>
        <v>0</v>
      </c>
      <c r="V51" s="17">
        <f t="shared" si="61"/>
        <v>0</v>
      </c>
      <c r="W51" s="17">
        <f t="shared" si="62"/>
        <v>0</v>
      </c>
      <c r="X51" s="17">
        <f t="shared" si="63"/>
        <v>0</v>
      </c>
      <c r="Y51" s="17">
        <f t="shared" si="64"/>
        <v>0</v>
      </c>
      <c r="Z51" s="23">
        <v>0</v>
      </c>
      <c r="AA51" s="23">
        <v>0</v>
      </c>
      <c r="AB51" s="24"/>
      <c r="AC51" s="24">
        <v>0</v>
      </c>
      <c r="AD51" s="24">
        <v>0</v>
      </c>
      <c r="AE51" s="24">
        <v>0</v>
      </c>
      <c r="AF51" s="24">
        <v>0</v>
      </c>
      <c r="AG51" s="24">
        <v>0</v>
      </c>
      <c r="AH51" s="24">
        <v>0</v>
      </c>
      <c r="AI51" s="25" t="s">
        <v>74</v>
      </c>
      <c r="AJ51" s="25" t="s">
        <v>74</v>
      </c>
      <c r="AK51" s="24"/>
      <c r="AL51" s="24">
        <v>21</v>
      </c>
      <c r="AM51" s="24">
        <v>0</v>
      </c>
      <c r="AN51" s="24">
        <v>0</v>
      </c>
      <c r="AO51" s="24">
        <v>1</v>
      </c>
      <c r="AP51" s="24">
        <v>0</v>
      </c>
      <c r="AQ51" s="24">
        <v>5</v>
      </c>
      <c r="AR51" s="25">
        <v>4.5454545454545456E-2</v>
      </c>
      <c r="AS51" s="25">
        <v>0.18518518518518517</v>
      </c>
      <c r="AT51" s="24"/>
      <c r="AU51" s="17">
        <f t="shared" si="51"/>
        <v>38</v>
      </c>
      <c r="AV51" s="17">
        <f t="shared" si="52"/>
        <v>0</v>
      </c>
      <c r="AW51" s="17">
        <f t="shared" si="53"/>
        <v>0</v>
      </c>
      <c r="AX51" s="17">
        <f t="shared" si="54"/>
        <v>1</v>
      </c>
      <c r="AY51" s="17">
        <f t="shared" si="55"/>
        <v>0</v>
      </c>
      <c r="AZ51" s="17">
        <f t="shared" si="56"/>
        <v>5</v>
      </c>
      <c r="BA51" s="23">
        <v>2.564102564102564E-2</v>
      </c>
      <c r="BB51" s="23">
        <v>0.11363636363636363</v>
      </c>
      <c r="BC51" s="19"/>
      <c r="BD51" s="20">
        <f t="shared" si="57"/>
        <v>44</v>
      </c>
      <c r="BE51" s="20">
        <v>44</v>
      </c>
      <c r="BF51" s="53">
        <f t="shared" si="58"/>
        <v>0</v>
      </c>
      <c r="BG51" s="19"/>
      <c r="BH51" s="19"/>
      <c r="BI51" s="19"/>
      <c r="BJ51" s="19"/>
      <c r="BK51" s="19"/>
    </row>
    <row r="52" spans="1:63" s="8" customFormat="1" ht="15" customHeight="1" thickBot="1" x14ac:dyDescent="0.4">
      <c r="A52" s="2" t="s">
        <v>59</v>
      </c>
      <c r="B52" s="24">
        <v>0</v>
      </c>
      <c r="C52" s="24">
        <v>0</v>
      </c>
      <c r="D52" s="24">
        <v>0</v>
      </c>
      <c r="E52" s="24">
        <v>0</v>
      </c>
      <c r="F52" s="24">
        <v>0</v>
      </c>
      <c r="G52" s="24">
        <v>0</v>
      </c>
      <c r="H52" s="25" t="s">
        <v>74</v>
      </c>
      <c r="I52" s="25" t="s">
        <v>74</v>
      </c>
      <c r="J52" s="24"/>
      <c r="K52" s="24">
        <v>0</v>
      </c>
      <c r="L52" s="24">
        <v>0</v>
      </c>
      <c r="M52" s="24">
        <v>0</v>
      </c>
      <c r="N52" s="24">
        <v>0</v>
      </c>
      <c r="O52" s="24">
        <v>0</v>
      </c>
      <c r="P52" s="24">
        <v>0</v>
      </c>
      <c r="Q52" s="25" t="s">
        <v>74</v>
      </c>
      <c r="R52" s="25" t="s">
        <v>74</v>
      </c>
      <c r="S52" s="24"/>
      <c r="T52" s="17">
        <f t="shared" si="59"/>
        <v>0</v>
      </c>
      <c r="U52" s="17">
        <f t="shared" si="60"/>
        <v>0</v>
      </c>
      <c r="V52" s="17">
        <f t="shared" si="61"/>
        <v>0</v>
      </c>
      <c r="W52" s="17">
        <f t="shared" si="62"/>
        <v>0</v>
      </c>
      <c r="X52" s="17">
        <f t="shared" si="63"/>
        <v>0</v>
      </c>
      <c r="Y52" s="17">
        <f t="shared" si="64"/>
        <v>0</v>
      </c>
      <c r="Z52" s="23" t="s">
        <v>74</v>
      </c>
      <c r="AA52" s="23" t="s">
        <v>74</v>
      </c>
      <c r="AB52" s="24"/>
      <c r="AC52" s="24">
        <v>0</v>
      </c>
      <c r="AD52" s="24">
        <v>0</v>
      </c>
      <c r="AE52" s="24">
        <v>0</v>
      </c>
      <c r="AF52" s="24">
        <v>0</v>
      </c>
      <c r="AG52" s="24">
        <v>0</v>
      </c>
      <c r="AH52" s="24">
        <v>0</v>
      </c>
      <c r="AI52" s="25" t="s">
        <v>74</v>
      </c>
      <c r="AJ52" s="25" t="s">
        <v>74</v>
      </c>
      <c r="AK52" s="24"/>
      <c r="AL52" s="24">
        <v>0</v>
      </c>
      <c r="AM52" s="24">
        <v>0</v>
      </c>
      <c r="AN52" s="24">
        <v>0</v>
      </c>
      <c r="AO52" s="24">
        <v>0</v>
      </c>
      <c r="AP52" s="24">
        <v>0</v>
      </c>
      <c r="AQ52" s="24">
        <v>0</v>
      </c>
      <c r="AR52" s="25" t="s">
        <v>74</v>
      </c>
      <c r="AS52" s="25" t="s">
        <v>74</v>
      </c>
      <c r="AT52" s="24"/>
      <c r="AU52" s="17">
        <f t="shared" si="51"/>
        <v>0</v>
      </c>
      <c r="AV52" s="17">
        <f t="shared" si="52"/>
        <v>0</v>
      </c>
      <c r="AW52" s="17">
        <f t="shared" si="53"/>
        <v>0</v>
      </c>
      <c r="AX52" s="17">
        <f t="shared" si="54"/>
        <v>0</v>
      </c>
      <c r="AY52" s="17">
        <f t="shared" si="55"/>
        <v>0</v>
      </c>
      <c r="AZ52" s="17">
        <f t="shared" si="56"/>
        <v>0</v>
      </c>
      <c r="BA52" s="23" t="s">
        <v>74</v>
      </c>
      <c r="BB52" s="23" t="s">
        <v>74</v>
      </c>
      <c r="BC52" s="19"/>
      <c r="BD52" s="20">
        <f t="shared" si="57"/>
        <v>0</v>
      </c>
      <c r="BE52" s="20">
        <v>0</v>
      </c>
      <c r="BF52" s="53">
        <f t="shared" si="58"/>
        <v>0</v>
      </c>
      <c r="BG52" s="19"/>
      <c r="BH52" s="19"/>
      <c r="BI52" s="19"/>
      <c r="BJ52" s="19"/>
      <c r="BK52" s="19"/>
    </row>
    <row r="53" spans="1:63" s="8" customFormat="1" ht="15" customHeight="1" thickBot="1" x14ac:dyDescent="0.4">
      <c r="A53" s="2" t="s">
        <v>60</v>
      </c>
      <c r="B53" s="24">
        <v>1</v>
      </c>
      <c r="C53" s="24">
        <v>0</v>
      </c>
      <c r="D53" s="24">
        <v>0</v>
      </c>
      <c r="E53" s="24">
        <v>0</v>
      </c>
      <c r="F53" s="24">
        <v>0</v>
      </c>
      <c r="G53" s="24">
        <v>0</v>
      </c>
      <c r="H53" s="25">
        <v>0</v>
      </c>
      <c r="I53" s="25">
        <v>0</v>
      </c>
      <c r="J53" s="24"/>
      <c r="K53" s="24">
        <v>0</v>
      </c>
      <c r="L53" s="24">
        <v>0</v>
      </c>
      <c r="M53" s="24">
        <v>0</v>
      </c>
      <c r="N53" s="24">
        <v>0</v>
      </c>
      <c r="O53" s="24">
        <v>0</v>
      </c>
      <c r="P53" s="24">
        <v>0</v>
      </c>
      <c r="Q53" s="25" t="s">
        <v>74</v>
      </c>
      <c r="R53" s="25" t="s">
        <v>74</v>
      </c>
      <c r="S53" s="24"/>
      <c r="T53" s="17">
        <f t="shared" si="59"/>
        <v>1</v>
      </c>
      <c r="U53" s="17">
        <f t="shared" si="60"/>
        <v>0</v>
      </c>
      <c r="V53" s="17">
        <f t="shared" si="61"/>
        <v>0</v>
      </c>
      <c r="W53" s="17">
        <f t="shared" si="62"/>
        <v>0</v>
      </c>
      <c r="X53" s="17">
        <f t="shared" si="63"/>
        <v>0</v>
      </c>
      <c r="Y53" s="17">
        <f t="shared" si="64"/>
        <v>0</v>
      </c>
      <c r="Z53" s="23">
        <v>0</v>
      </c>
      <c r="AA53" s="23">
        <v>0</v>
      </c>
      <c r="AB53" s="24"/>
      <c r="AC53" s="24">
        <v>2</v>
      </c>
      <c r="AD53" s="24">
        <v>0</v>
      </c>
      <c r="AE53" s="24">
        <v>0</v>
      </c>
      <c r="AF53" s="24">
        <v>0</v>
      </c>
      <c r="AG53" s="24">
        <v>0</v>
      </c>
      <c r="AH53" s="24">
        <v>0</v>
      </c>
      <c r="AI53" s="25">
        <v>0</v>
      </c>
      <c r="AJ53" s="25">
        <v>0</v>
      </c>
      <c r="AK53" s="24"/>
      <c r="AL53" s="24">
        <v>12</v>
      </c>
      <c r="AM53" s="24">
        <v>0</v>
      </c>
      <c r="AN53" s="24">
        <v>0</v>
      </c>
      <c r="AO53" s="24">
        <v>0</v>
      </c>
      <c r="AP53" s="24">
        <v>0</v>
      </c>
      <c r="AQ53" s="24">
        <v>0</v>
      </c>
      <c r="AR53" s="25">
        <v>0</v>
      </c>
      <c r="AS53" s="25">
        <v>0</v>
      </c>
      <c r="AT53" s="24"/>
      <c r="AU53" s="17">
        <f t="shared" si="51"/>
        <v>15</v>
      </c>
      <c r="AV53" s="17">
        <f t="shared" si="52"/>
        <v>0</v>
      </c>
      <c r="AW53" s="17">
        <f t="shared" si="53"/>
        <v>0</v>
      </c>
      <c r="AX53" s="17">
        <f t="shared" si="54"/>
        <v>0</v>
      </c>
      <c r="AY53" s="17">
        <f t="shared" si="55"/>
        <v>0</v>
      </c>
      <c r="AZ53" s="17">
        <f t="shared" si="56"/>
        <v>0</v>
      </c>
      <c r="BA53" s="23">
        <v>0</v>
      </c>
      <c r="BB53" s="23">
        <v>0</v>
      </c>
      <c r="BC53" s="19"/>
      <c r="BD53" s="20">
        <f t="shared" si="57"/>
        <v>15</v>
      </c>
      <c r="BE53" s="20">
        <v>15</v>
      </c>
      <c r="BF53" s="53">
        <f t="shared" si="58"/>
        <v>0</v>
      </c>
      <c r="BG53" s="19"/>
      <c r="BH53" s="19"/>
      <c r="BI53" s="19"/>
      <c r="BJ53" s="19"/>
      <c r="BK53" s="19"/>
    </row>
    <row r="54" spans="1:63" s="8" customFormat="1" ht="15" customHeight="1" thickBot="1" x14ac:dyDescent="0.4">
      <c r="A54" s="2" t="s">
        <v>61</v>
      </c>
      <c r="B54" s="24">
        <v>3</v>
      </c>
      <c r="C54" s="24">
        <v>0</v>
      </c>
      <c r="D54" s="24">
        <v>0</v>
      </c>
      <c r="E54" s="24">
        <v>0</v>
      </c>
      <c r="F54" s="24">
        <v>0</v>
      </c>
      <c r="G54" s="24">
        <v>0</v>
      </c>
      <c r="H54" s="25">
        <v>0</v>
      </c>
      <c r="I54" s="25">
        <v>0</v>
      </c>
      <c r="J54" s="24"/>
      <c r="K54" s="24">
        <v>0</v>
      </c>
      <c r="L54" s="24">
        <v>0</v>
      </c>
      <c r="M54" s="24">
        <v>0</v>
      </c>
      <c r="N54" s="24">
        <v>0</v>
      </c>
      <c r="O54" s="24">
        <v>0</v>
      </c>
      <c r="P54" s="24">
        <v>0</v>
      </c>
      <c r="Q54" s="25" t="s">
        <v>74</v>
      </c>
      <c r="R54" s="25" t="s">
        <v>74</v>
      </c>
      <c r="S54" s="24"/>
      <c r="T54" s="17">
        <f t="shared" si="59"/>
        <v>3</v>
      </c>
      <c r="U54" s="17">
        <f t="shared" si="60"/>
        <v>0</v>
      </c>
      <c r="V54" s="17">
        <f t="shared" si="61"/>
        <v>0</v>
      </c>
      <c r="W54" s="17">
        <f t="shared" si="62"/>
        <v>0</v>
      </c>
      <c r="X54" s="17">
        <f t="shared" si="63"/>
        <v>0</v>
      </c>
      <c r="Y54" s="17">
        <f t="shared" si="64"/>
        <v>0</v>
      </c>
      <c r="Z54" s="23">
        <v>0</v>
      </c>
      <c r="AA54" s="23">
        <v>0</v>
      </c>
      <c r="AB54" s="24"/>
      <c r="AC54" s="24">
        <v>10</v>
      </c>
      <c r="AD54" s="24">
        <v>0</v>
      </c>
      <c r="AE54" s="24">
        <v>0</v>
      </c>
      <c r="AF54" s="24">
        <v>0</v>
      </c>
      <c r="AG54" s="24">
        <v>0</v>
      </c>
      <c r="AH54" s="24">
        <v>1</v>
      </c>
      <c r="AI54" s="25">
        <v>0</v>
      </c>
      <c r="AJ54" s="25">
        <v>9.0909090909090912E-2</v>
      </c>
      <c r="AK54" s="24"/>
      <c r="AL54" s="24">
        <v>8</v>
      </c>
      <c r="AM54" s="24">
        <v>1</v>
      </c>
      <c r="AN54" s="24">
        <v>1</v>
      </c>
      <c r="AO54" s="24">
        <v>0</v>
      </c>
      <c r="AP54" s="24">
        <v>0</v>
      </c>
      <c r="AQ54" s="24">
        <v>1</v>
      </c>
      <c r="AR54" s="25">
        <v>0.2</v>
      </c>
      <c r="AS54" s="25">
        <v>9.0909090909090912E-2</v>
      </c>
      <c r="AT54" s="24"/>
      <c r="AU54" s="17">
        <f t="shared" si="51"/>
        <v>21</v>
      </c>
      <c r="AV54" s="17">
        <f t="shared" si="52"/>
        <v>1</v>
      </c>
      <c r="AW54" s="17">
        <f t="shared" si="53"/>
        <v>1</v>
      </c>
      <c r="AX54" s="17">
        <f t="shared" si="54"/>
        <v>0</v>
      </c>
      <c r="AY54" s="17">
        <f t="shared" si="55"/>
        <v>0</v>
      </c>
      <c r="AZ54" s="17">
        <f t="shared" si="56"/>
        <v>2</v>
      </c>
      <c r="BA54" s="23">
        <v>8.6956521739130432E-2</v>
      </c>
      <c r="BB54" s="23">
        <v>0.08</v>
      </c>
      <c r="BC54" s="19"/>
      <c r="BD54" s="20">
        <f t="shared" si="57"/>
        <v>25</v>
      </c>
      <c r="BE54" s="20">
        <v>25</v>
      </c>
      <c r="BF54" s="53">
        <f t="shared" si="58"/>
        <v>0</v>
      </c>
      <c r="BG54" s="19"/>
      <c r="BH54" s="19"/>
      <c r="BI54" s="19"/>
      <c r="BJ54" s="19"/>
      <c r="BK54" s="19"/>
    </row>
    <row r="55" spans="1:63" s="8" customFormat="1" ht="15" customHeight="1" thickBot="1" x14ac:dyDescent="0.4">
      <c r="A55" s="2" t="s">
        <v>62</v>
      </c>
      <c r="B55" s="24">
        <v>1</v>
      </c>
      <c r="C55" s="24">
        <v>0</v>
      </c>
      <c r="D55" s="24">
        <v>0</v>
      </c>
      <c r="E55" s="24">
        <v>0</v>
      </c>
      <c r="F55" s="24">
        <v>0</v>
      </c>
      <c r="G55" s="24">
        <v>0</v>
      </c>
      <c r="H55" s="25">
        <v>0</v>
      </c>
      <c r="I55" s="25">
        <v>0</v>
      </c>
      <c r="J55" s="24"/>
      <c r="K55" s="24">
        <v>14</v>
      </c>
      <c r="L55" s="24">
        <v>0</v>
      </c>
      <c r="M55" s="24">
        <v>1</v>
      </c>
      <c r="N55" s="24">
        <v>0</v>
      </c>
      <c r="O55" s="24">
        <v>0</v>
      </c>
      <c r="P55" s="24">
        <v>0</v>
      </c>
      <c r="Q55" s="25">
        <v>6.6666666666666666E-2</v>
      </c>
      <c r="R55" s="25">
        <v>0</v>
      </c>
      <c r="S55" s="24"/>
      <c r="T55" s="17">
        <f t="shared" si="59"/>
        <v>15</v>
      </c>
      <c r="U55" s="17">
        <f t="shared" si="60"/>
        <v>0</v>
      </c>
      <c r="V55" s="17">
        <f t="shared" si="61"/>
        <v>1</v>
      </c>
      <c r="W55" s="17">
        <f t="shared" si="62"/>
        <v>0</v>
      </c>
      <c r="X55" s="17">
        <f t="shared" si="63"/>
        <v>0</v>
      </c>
      <c r="Y55" s="17">
        <f t="shared" si="64"/>
        <v>0</v>
      </c>
      <c r="Z55" s="23">
        <v>6.25E-2</v>
      </c>
      <c r="AA55" s="23">
        <v>0</v>
      </c>
      <c r="AB55" s="24"/>
      <c r="AC55" s="24">
        <v>0</v>
      </c>
      <c r="AD55" s="24">
        <v>0</v>
      </c>
      <c r="AE55" s="24">
        <v>0</v>
      </c>
      <c r="AF55" s="24">
        <v>0</v>
      </c>
      <c r="AG55" s="24">
        <v>0</v>
      </c>
      <c r="AH55" s="24">
        <v>0</v>
      </c>
      <c r="AI55" s="25" t="s">
        <v>74</v>
      </c>
      <c r="AJ55" s="25" t="s">
        <v>74</v>
      </c>
      <c r="AK55" s="24"/>
      <c r="AL55" s="24">
        <v>26</v>
      </c>
      <c r="AM55" s="24">
        <v>0</v>
      </c>
      <c r="AN55" s="24">
        <v>2</v>
      </c>
      <c r="AO55" s="24">
        <v>0</v>
      </c>
      <c r="AP55" s="24">
        <v>1</v>
      </c>
      <c r="AQ55" s="24">
        <v>0</v>
      </c>
      <c r="AR55" s="25">
        <v>0.10344827586206896</v>
      </c>
      <c r="AS55" s="25">
        <v>0</v>
      </c>
      <c r="AT55" s="24"/>
      <c r="AU55" s="17">
        <f t="shared" si="51"/>
        <v>41</v>
      </c>
      <c r="AV55" s="17">
        <f t="shared" si="52"/>
        <v>0</v>
      </c>
      <c r="AW55" s="17">
        <f t="shared" si="53"/>
        <v>3</v>
      </c>
      <c r="AX55" s="17">
        <f t="shared" si="54"/>
        <v>0</v>
      </c>
      <c r="AY55" s="17">
        <f t="shared" si="55"/>
        <v>1</v>
      </c>
      <c r="AZ55" s="17">
        <f t="shared" si="56"/>
        <v>0</v>
      </c>
      <c r="BA55" s="23">
        <v>8.8888888888888892E-2</v>
      </c>
      <c r="BB55" s="23">
        <v>0</v>
      </c>
      <c r="BC55" s="19"/>
      <c r="BD55" s="20">
        <f t="shared" si="57"/>
        <v>45</v>
      </c>
      <c r="BE55" s="20">
        <v>45</v>
      </c>
      <c r="BF55" s="53">
        <f t="shared" si="58"/>
        <v>0</v>
      </c>
      <c r="BG55" s="19"/>
      <c r="BH55" s="19"/>
      <c r="BI55" s="19"/>
      <c r="BJ55" s="19"/>
      <c r="BK55" s="19"/>
    </row>
    <row r="56" spans="1:63" s="8" customFormat="1" ht="15" customHeight="1" thickBot="1" x14ac:dyDescent="0.4">
      <c r="A56" s="27" t="s">
        <v>63</v>
      </c>
      <c r="B56" s="28">
        <v>95</v>
      </c>
      <c r="C56" s="28">
        <v>13</v>
      </c>
      <c r="D56" s="28">
        <v>1</v>
      </c>
      <c r="E56" s="28">
        <v>6</v>
      </c>
      <c r="F56" s="28">
        <v>2</v>
      </c>
      <c r="G56" s="28">
        <v>3</v>
      </c>
      <c r="H56" s="29">
        <v>0.18803418803418803</v>
      </c>
      <c r="I56" s="29">
        <v>2.5000000000000001E-2</v>
      </c>
      <c r="J56" s="28"/>
      <c r="K56" s="28">
        <v>0</v>
      </c>
      <c r="L56" s="28">
        <v>0</v>
      </c>
      <c r="M56" s="28">
        <v>0</v>
      </c>
      <c r="N56" s="28">
        <v>0</v>
      </c>
      <c r="O56" s="28">
        <v>0</v>
      </c>
      <c r="P56" s="28">
        <v>0</v>
      </c>
      <c r="Q56" s="29" t="s">
        <v>74</v>
      </c>
      <c r="R56" s="29" t="s">
        <v>74</v>
      </c>
      <c r="S56" s="28"/>
      <c r="T56" s="17">
        <f t="shared" si="59"/>
        <v>95</v>
      </c>
      <c r="U56" s="17">
        <f t="shared" si="60"/>
        <v>13</v>
      </c>
      <c r="V56" s="17">
        <f t="shared" si="61"/>
        <v>1</v>
      </c>
      <c r="W56" s="17">
        <f t="shared" si="62"/>
        <v>6</v>
      </c>
      <c r="X56" s="17">
        <f t="shared" si="63"/>
        <v>2</v>
      </c>
      <c r="Y56" s="17">
        <f t="shared" si="64"/>
        <v>3</v>
      </c>
      <c r="Z56" s="31">
        <v>0.18803418803418803</v>
      </c>
      <c r="AA56" s="31">
        <v>2.5000000000000001E-2</v>
      </c>
      <c r="AB56" s="28"/>
      <c r="AC56" s="28">
        <v>9</v>
      </c>
      <c r="AD56" s="28">
        <v>1</v>
      </c>
      <c r="AE56" s="28">
        <v>0</v>
      </c>
      <c r="AF56" s="28">
        <v>2</v>
      </c>
      <c r="AG56" s="28">
        <v>0</v>
      </c>
      <c r="AH56" s="28">
        <v>0</v>
      </c>
      <c r="AI56" s="29">
        <v>0.25</v>
      </c>
      <c r="AJ56" s="29">
        <v>0</v>
      </c>
      <c r="AK56" s="28"/>
      <c r="AL56" s="28">
        <v>38</v>
      </c>
      <c r="AM56" s="28">
        <v>3</v>
      </c>
      <c r="AN56" s="28">
        <v>4</v>
      </c>
      <c r="AO56" s="28">
        <v>9</v>
      </c>
      <c r="AP56" s="28">
        <v>2</v>
      </c>
      <c r="AQ56" s="28">
        <v>0</v>
      </c>
      <c r="AR56" s="29">
        <v>0.32142857142857145</v>
      </c>
      <c r="AS56" s="29">
        <v>0</v>
      </c>
      <c r="AT56" s="28"/>
      <c r="AU56" s="17">
        <f t="shared" si="51"/>
        <v>142</v>
      </c>
      <c r="AV56" s="17">
        <f t="shared" si="52"/>
        <v>17</v>
      </c>
      <c r="AW56" s="17">
        <f t="shared" si="53"/>
        <v>5</v>
      </c>
      <c r="AX56" s="17">
        <f t="shared" si="54"/>
        <v>17</v>
      </c>
      <c r="AY56" s="17">
        <f t="shared" si="55"/>
        <v>4</v>
      </c>
      <c r="AZ56" s="17">
        <f t="shared" si="56"/>
        <v>3</v>
      </c>
      <c r="BA56" s="31">
        <v>0.23243243243243245</v>
      </c>
      <c r="BB56" s="31">
        <v>1.5957446808510637E-2</v>
      </c>
      <c r="BC56" s="19"/>
      <c r="BD56" s="20">
        <f t="shared" si="57"/>
        <v>188</v>
      </c>
      <c r="BE56" s="20">
        <v>188</v>
      </c>
      <c r="BF56" s="53">
        <f t="shared" si="58"/>
        <v>0</v>
      </c>
      <c r="BG56" s="19"/>
      <c r="BH56" s="19"/>
      <c r="BI56" s="19"/>
      <c r="BJ56" s="19"/>
      <c r="BK56" s="19"/>
    </row>
    <row r="57" spans="1:63" s="8" customFormat="1" ht="15" customHeigh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19"/>
      <c r="BD57" s="19"/>
      <c r="BE57" s="19"/>
      <c r="BF57" s="19"/>
      <c r="BG57" s="19"/>
      <c r="BH57" s="19"/>
      <c r="BI57" s="19"/>
      <c r="BJ57" s="19"/>
      <c r="BK57" s="19"/>
    </row>
    <row r="58" spans="1:63" x14ac:dyDescent="0.35">
      <c r="A58" s="106" t="s">
        <v>64</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row>
    <row r="59" spans="1:63" x14ac:dyDescent="0.35">
      <c r="A59" s="32" t="s">
        <v>76</v>
      </c>
      <c r="B59" s="32"/>
      <c r="C59" s="32"/>
      <c r="D59" s="32"/>
      <c r="E59" s="32"/>
      <c r="F59" s="32"/>
      <c r="G59" s="32"/>
      <c r="H59" s="32"/>
      <c r="I59" s="32"/>
      <c r="J59" s="32"/>
      <c r="K59" s="32"/>
      <c r="L59" s="32"/>
      <c r="M59" s="32"/>
      <c r="N59" s="32"/>
      <c r="O59" s="32"/>
      <c r="P59" s="32"/>
      <c r="Q59" s="32"/>
      <c r="R59" s="32"/>
      <c r="S59" s="32"/>
      <c r="T59" s="32"/>
      <c r="U59" s="32"/>
      <c r="V59" s="32"/>
      <c r="W59" s="32"/>
      <c r="X59" s="32"/>
    </row>
    <row r="60" spans="1:63" x14ac:dyDescent="0.35">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row>
    <row r="61" spans="1:63" x14ac:dyDescent="0.35">
      <c r="A61" s="33" t="s">
        <v>65</v>
      </c>
    </row>
    <row r="62" spans="1:63" x14ac:dyDescent="0.35">
      <c r="A62" s="108" t="s">
        <v>66</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4" spans="1:63" x14ac:dyDescent="0.35">
      <c r="A64" s="4" t="s">
        <v>67</v>
      </c>
      <c r="B64" s="34"/>
      <c r="C64" s="34"/>
      <c r="D64" s="34"/>
      <c r="E64" s="34"/>
      <c r="F64" s="34"/>
      <c r="G64" s="34"/>
      <c r="H64" s="34"/>
      <c r="I64" s="34"/>
      <c r="J64" s="34"/>
      <c r="K64" s="34"/>
      <c r="L64" s="34"/>
      <c r="M64" s="34"/>
      <c r="N64" s="34"/>
      <c r="O64" s="34"/>
      <c r="P64" s="34"/>
      <c r="Q64" s="34"/>
      <c r="R64" s="34"/>
      <c r="S64" s="34"/>
      <c r="T64" s="34"/>
      <c r="U64" s="34"/>
      <c r="V64" s="34"/>
      <c r="W64" s="34"/>
      <c r="X64" s="34"/>
    </row>
    <row r="65" spans="1:54" x14ac:dyDescent="0.35">
      <c r="A65" s="35" t="s">
        <v>68</v>
      </c>
      <c r="B65" s="34"/>
      <c r="C65" s="34"/>
      <c r="D65" s="34"/>
      <c r="E65" s="34"/>
      <c r="F65" s="34"/>
      <c r="G65" s="34"/>
      <c r="H65" s="34"/>
      <c r="I65" s="34"/>
      <c r="J65" s="34"/>
      <c r="K65" s="34"/>
      <c r="L65" s="34"/>
      <c r="M65" s="34"/>
      <c r="N65" s="34"/>
      <c r="O65" s="34"/>
      <c r="P65" s="34"/>
      <c r="Q65" s="34"/>
      <c r="R65" s="34"/>
      <c r="S65" s="34"/>
      <c r="T65" s="34"/>
      <c r="U65" s="34"/>
      <c r="V65" s="34"/>
      <c r="W65" s="34"/>
      <c r="X65" s="34"/>
    </row>
    <row r="67" spans="1:54" x14ac:dyDescent="0.35">
      <c r="A67" s="106" t="s">
        <v>69</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row>
    <row r="68" spans="1:54" x14ac:dyDescent="0.35">
      <c r="A68" s="35"/>
      <c r="BB68" s="8"/>
    </row>
    <row r="69" spans="1:54" x14ac:dyDescent="0.35">
      <c r="A69" s="4" t="s">
        <v>70</v>
      </c>
      <c r="X69" s="36"/>
      <c r="BB69" s="37" t="s">
        <v>71</v>
      </c>
    </row>
    <row r="70" spans="1:54" x14ac:dyDescent="0.35">
      <c r="A70" s="35" t="s">
        <v>72</v>
      </c>
      <c r="X70" s="36"/>
      <c r="BB70" s="36" t="s">
        <v>73</v>
      </c>
    </row>
  </sheetData>
  <mergeCells count="12">
    <mergeCell ref="A58:X58"/>
    <mergeCell ref="A60:X60"/>
    <mergeCell ref="A62:X62"/>
    <mergeCell ref="A67:X67"/>
    <mergeCell ref="A1:BB1"/>
    <mergeCell ref="B5:BB5"/>
    <mergeCell ref="B6:H6"/>
    <mergeCell ref="T6:Z6"/>
    <mergeCell ref="AC6:AI6"/>
    <mergeCell ref="AL6:AR6"/>
    <mergeCell ref="AU6:BB6"/>
    <mergeCell ref="K6:R6"/>
  </mergeCells>
  <hyperlinks>
    <hyperlink ref="A65" r:id="rId1" xr:uid="{00000000-0004-0000-0000-000000000000}"/>
    <hyperlink ref="A70" r:id="rId2" xr:uid="{00000000-0004-0000-0000-000001000000}"/>
    <hyperlink ref="BB69" r:id="rId3" xr:uid="{00000000-0004-0000-0000-00000200000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L87"/>
  <sheetViews>
    <sheetView tabSelected="1" zoomScaleNormal="100" workbookViewId="0">
      <pane ySplit="7" topLeftCell="A8" activePane="bottomLeft" state="frozen"/>
      <selection pane="bottomLeft" activeCell="A4" sqref="A4:L4"/>
    </sheetView>
  </sheetViews>
  <sheetFormatPr defaultColWidth="9.1796875" defaultRowHeight="14.5" x14ac:dyDescent="0.35"/>
  <cols>
    <col min="1" max="1" width="50.7265625" style="4" customWidth="1"/>
    <col min="2" max="5" width="8.7265625" style="4" customWidth="1"/>
    <col min="6" max="6" width="9.7265625" style="4" customWidth="1"/>
    <col min="7" max="7" width="8.7265625" style="4" customWidth="1"/>
    <col min="8" max="8" width="9.7265625" style="4" customWidth="1"/>
    <col min="9" max="9" width="8.7265625" style="4" customWidth="1"/>
    <col min="10" max="10" width="5.81640625" style="4" bestFit="1" customWidth="1"/>
    <col min="11" max="14" width="8.7265625" style="4" customWidth="1"/>
    <col min="15" max="15" width="9.7265625" style="4" customWidth="1"/>
    <col min="16" max="16" width="8.7265625" style="4" customWidth="1"/>
    <col min="17" max="17" width="9.7265625" style="4" customWidth="1"/>
    <col min="18" max="18" width="8.7265625" style="4" customWidth="1"/>
    <col min="19" max="19" width="5.54296875" style="4" bestFit="1" customWidth="1"/>
    <col min="20" max="23" width="8.7265625" style="4" customWidth="1"/>
    <col min="24" max="24" width="11.7265625" style="4" customWidth="1"/>
    <col min="25" max="25" width="8.7265625" style="4" customWidth="1"/>
    <col min="26" max="26" width="11.7265625" style="4" customWidth="1"/>
    <col min="27" max="27" width="9.7265625" style="4" customWidth="1"/>
    <col min="28" max="28" width="2.7265625" style="4" customWidth="1"/>
    <col min="29" max="32" width="8.7265625" style="4" customWidth="1"/>
    <col min="33" max="33" width="9.7265625" style="4" customWidth="1"/>
    <col min="34" max="34" width="8.7265625" style="4" customWidth="1"/>
    <col min="35" max="35" width="9.7265625" style="4" customWidth="1"/>
    <col min="36" max="36" width="8.7265625" style="4" customWidth="1"/>
    <col min="37" max="37" width="5.54296875" style="4" bestFit="1" customWidth="1"/>
    <col min="38" max="41" width="8.7265625" style="4" customWidth="1"/>
    <col min="42" max="42" width="9.7265625" style="4" customWidth="1"/>
    <col min="43" max="43" width="8.7265625" style="4" customWidth="1"/>
    <col min="44" max="44" width="9.7265625" style="4" customWidth="1"/>
    <col min="45" max="45" width="8.7265625" style="4" customWidth="1"/>
    <col min="46" max="46" width="5.81640625" style="4" bestFit="1" customWidth="1"/>
    <col min="47" max="50" width="8.7265625" style="4" customWidth="1"/>
    <col min="51" max="51" width="11.7265625" style="4" customWidth="1"/>
    <col min="52" max="52" width="8.7265625" style="4" customWidth="1"/>
    <col min="53" max="53" width="11.7265625" style="4" customWidth="1"/>
    <col min="54" max="54" width="9.7265625" style="4" customWidth="1"/>
    <col min="55" max="55" width="9.1796875" style="4"/>
    <col min="56" max="56" width="0" style="4" hidden="1" customWidth="1"/>
    <col min="57" max="16384" width="9.1796875" style="4"/>
  </cols>
  <sheetData>
    <row r="1" spans="1:64" s="1" customFormat="1" ht="17" x14ac:dyDescent="0.5">
      <c r="A1" s="109" t="s">
        <v>86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row>
    <row r="2" spans="1:64" s="1" customFormat="1" ht="23.25" customHeight="1" x14ac:dyDescent="0.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64" s="1" customFormat="1" ht="23.25" customHeight="1" x14ac:dyDescent="0.5">
      <c r="A3" s="21" t="s">
        <v>87</v>
      </c>
      <c r="B3" s="39"/>
      <c r="C3" s="39"/>
      <c r="D3" s="39"/>
      <c r="E3" s="39"/>
      <c r="F3" s="39"/>
      <c r="G3" s="39"/>
      <c r="H3" s="39"/>
      <c r="I3" s="39"/>
      <c r="J3" s="39"/>
      <c r="K3" s="39"/>
      <c r="L3" s="39"/>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64" s="1" customFormat="1" ht="17" x14ac:dyDescent="0.5">
      <c r="A4" s="122" t="s">
        <v>181</v>
      </c>
      <c r="B4" s="122"/>
      <c r="C4" s="122"/>
      <c r="D4" s="122"/>
      <c r="E4" s="122"/>
      <c r="F4" s="122"/>
      <c r="G4" s="122"/>
      <c r="H4" s="122"/>
      <c r="I4" s="122"/>
      <c r="J4" s="122"/>
      <c r="K4" s="122"/>
      <c r="L4" s="122"/>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64" s="3" customFormat="1" x14ac:dyDescent="0.35">
      <c r="A5" s="2"/>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row>
    <row r="6" spans="1:64" s="8" customFormat="1" ht="15.75" customHeight="1" thickBot="1" x14ac:dyDescent="0.4">
      <c r="A6" s="4"/>
      <c r="B6" s="111" t="s">
        <v>91</v>
      </c>
      <c r="C6" s="111"/>
      <c r="D6" s="111"/>
      <c r="E6" s="111"/>
      <c r="F6" s="111"/>
      <c r="G6" s="111"/>
      <c r="H6" s="111"/>
      <c r="I6" s="40"/>
      <c r="J6" s="39"/>
      <c r="K6" s="113" t="s">
        <v>218</v>
      </c>
      <c r="L6" s="113"/>
      <c r="M6" s="113"/>
      <c r="N6" s="113"/>
      <c r="O6" s="113"/>
      <c r="P6" s="113"/>
      <c r="Q6" s="113"/>
      <c r="R6" s="113"/>
      <c r="S6" s="39"/>
      <c r="T6" s="112" t="s">
        <v>2</v>
      </c>
      <c r="U6" s="112"/>
      <c r="V6" s="112"/>
      <c r="W6" s="112"/>
      <c r="X6" s="112"/>
      <c r="Y6" s="112"/>
      <c r="Z6" s="112"/>
      <c r="AA6" s="7"/>
      <c r="AB6" s="39"/>
      <c r="AC6" s="113" t="s">
        <v>92</v>
      </c>
      <c r="AD6" s="113"/>
      <c r="AE6" s="113"/>
      <c r="AF6" s="113"/>
      <c r="AG6" s="113"/>
      <c r="AH6" s="113"/>
      <c r="AI6" s="113"/>
      <c r="AJ6" s="40"/>
      <c r="AK6" s="39"/>
      <c r="AL6" s="113" t="s">
        <v>4</v>
      </c>
      <c r="AM6" s="113"/>
      <c r="AN6" s="113"/>
      <c r="AO6" s="113"/>
      <c r="AP6" s="113"/>
      <c r="AQ6" s="113"/>
      <c r="AR6" s="113"/>
      <c r="AS6" s="40"/>
      <c r="AT6" s="39"/>
      <c r="AU6" s="112" t="s">
        <v>5</v>
      </c>
      <c r="AV6" s="112"/>
      <c r="AW6" s="112"/>
      <c r="AX6" s="112"/>
      <c r="AY6" s="112"/>
      <c r="AZ6" s="112"/>
      <c r="BA6" s="112"/>
      <c r="BB6" s="112"/>
    </row>
    <row r="7" spans="1:64" s="15" customFormat="1" ht="58.5" thickBot="1" x14ac:dyDescent="0.4">
      <c r="A7" s="9" t="s">
        <v>6</v>
      </c>
      <c r="B7" s="10" t="s">
        <v>7</v>
      </c>
      <c r="C7" s="10" t="s">
        <v>8</v>
      </c>
      <c r="D7" s="10" t="s">
        <v>9</v>
      </c>
      <c r="E7" s="10" t="s">
        <v>10</v>
      </c>
      <c r="F7" s="10" t="s">
        <v>11</v>
      </c>
      <c r="G7" s="10" t="s">
        <v>12</v>
      </c>
      <c r="H7" s="14" t="s">
        <v>13</v>
      </c>
      <c r="I7" s="11" t="s">
        <v>14</v>
      </c>
      <c r="J7" s="41"/>
      <c r="K7" s="10" t="s">
        <v>7</v>
      </c>
      <c r="L7" s="10" t="s">
        <v>8</v>
      </c>
      <c r="M7" s="10" t="s">
        <v>9</v>
      </c>
      <c r="N7" s="10" t="s">
        <v>10</v>
      </c>
      <c r="O7" s="10" t="s">
        <v>11</v>
      </c>
      <c r="P7" s="10" t="s">
        <v>12</v>
      </c>
      <c r="Q7" s="14" t="s">
        <v>13</v>
      </c>
      <c r="R7" s="11" t="s">
        <v>14</v>
      </c>
      <c r="S7" s="41"/>
      <c r="T7" s="13" t="s">
        <v>7</v>
      </c>
      <c r="U7" s="13" t="s">
        <v>8</v>
      </c>
      <c r="V7" s="13" t="s">
        <v>9</v>
      </c>
      <c r="W7" s="13" t="s">
        <v>10</v>
      </c>
      <c r="X7" s="13" t="s">
        <v>11</v>
      </c>
      <c r="Y7" s="13" t="s">
        <v>12</v>
      </c>
      <c r="Z7" s="14" t="s">
        <v>13</v>
      </c>
      <c r="AA7" s="14" t="s">
        <v>14</v>
      </c>
      <c r="AB7" s="41"/>
      <c r="AC7" s="10" t="s">
        <v>7</v>
      </c>
      <c r="AD7" s="10" t="s">
        <v>8</v>
      </c>
      <c r="AE7" s="10" t="s">
        <v>9</v>
      </c>
      <c r="AF7" s="10" t="s">
        <v>10</v>
      </c>
      <c r="AG7" s="10" t="s">
        <v>11</v>
      </c>
      <c r="AH7" s="10" t="s">
        <v>12</v>
      </c>
      <c r="AI7" s="14" t="s">
        <v>13</v>
      </c>
      <c r="AJ7" s="11" t="s">
        <v>14</v>
      </c>
      <c r="AK7" s="41"/>
      <c r="AL7" s="10" t="s">
        <v>7</v>
      </c>
      <c r="AM7" s="10" t="s">
        <v>8</v>
      </c>
      <c r="AN7" s="10" t="s">
        <v>9</v>
      </c>
      <c r="AO7" s="10" t="s">
        <v>10</v>
      </c>
      <c r="AP7" s="10" t="s">
        <v>11</v>
      </c>
      <c r="AQ7" s="10" t="s">
        <v>12</v>
      </c>
      <c r="AR7" s="14" t="s">
        <v>13</v>
      </c>
      <c r="AS7" s="11" t="s">
        <v>14</v>
      </c>
      <c r="AT7" s="41"/>
      <c r="AU7" s="13" t="s">
        <v>7</v>
      </c>
      <c r="AV7" s="13" t="s">
        <v>8</v>
      </c>
      <c r="AW7" s="13" t="s">
        <v>9</v>
      </c>
      <c r="AX7" s="13" t="s">
        <v>10</v>
      </c>
      <c r="AY7" s="13" t="s">
        <v>11</v>
      </c>
      <c r="AZ7" s="13" t="s">
        <v>12</v>
      </c>
      <c r="BA7" s="14" t="s">
        <v>13</v>
      </c>
      <c r="BB7" s="14" t="s">
        <v>14</v>
      </c>
    </row>
    <row r="8" spans="1:64" s="8" customFormat="1" ht="15" customHeight="1" x14ac:dyDescent="0.35">
      <c r="A8" s="16" t="s">
        <v>15</v>
      </c>
      <c r="B8" s="22">
        <f ca="1">B9+B49</f>
        <v>1255</v>
      </c>
      <c r="C8" s="22">
        <f t="shared" ref="C8:G8" ca="1" si="0">C9+C49</f>
        <v>56</v>
      </c>
      <c r="D8" s="22">
        <f t="shared" ca="1" si="0"/>
        <v>14</v>
      </c>
      <c r="E8" s="22">
        <f t="shared" ca="1" si="0"/>
        <v>25</v>
      </c>
      <c r="F8" s="22">
        <f t="shared" ca="1" si="0"/>
        <v>15</v>
      </c>
      <c r="G8" s="22">
        <f t="shared" ca="1" si="0"/>
        <v>230</v>
      </c>
      <c r="H8" s="101">
        <f ca="1">IF(SUM(B8:F8)=0,"-",(SUM(C8:F8)/SUM(B8:F8)))</f>
        <v>8.0586080586080591E-2</v>
      </c>
      <c r="I8" s="46">
        <f ca="1">IF(SUM(B8:G8)=0,"-",(G8/SUM(B8:G8)))</f>
        <v>0.14420062695924765</v>
      </c>
      <c r="J8" s="17"/>
      <c r="K8" s="22">
        <f ca="1">K9+K49</f>
        <v>1155</v>
      </c>
      <c r="L8" s="22">
        <f t="shared" ref="L8:P8" ca="1" si="1">L9+L49</f>
        <v>9</v>
      </c>
      <c r="M8" s="22">
        <f t="shared" ca="1" si="1"/>
        <v>3</v>
      </c>
      <c r="N8" s="22">
        <f t="shared" ca="1" si="1"/>
        <v>8</v>
      </c>
      <c r="O8" s="22">
        <f t="shared" ca="1" si="1"/>
        <v>4</v>
      </c>
      <c r="P8" s="22">
        <f t="shared" ca="1" si="1"/>
        <v>408</v>
      </c>
      <c r="Q8" s="101">
        <f ca="1">IF(SUM(K8:O8)=0,"-",(SUM(L8:O8)/SUM(K8:O8)))</f>
        <v>2.0356234096692113E-2</v>
      </c>
      <c r="R8" s="46">
        <f ca="1">IF(SUM(K8:P8)=0,"-",(P8/SUM(K8:P8)))</f>
        <v>0.25708884688090738</v>
      </c>
      <c r="S8" s="17"/>
      <c r="T8" s="17">
        <f ca="1">B8+K8</f>
        <v>2410</v>
      </c>
      <c r="U8" s="17">
        <f t="shared" ref="U8:Y23" ca="1" si="2">C8+L8</f>
        <v>65</v>
      </c>
      <c r="V8" s="17">
        <f t="shared" ca="1" si="2"/>
        <v>17</v>
      </c>
      <c r="W8" s="17">
        <f t="shared" ca="1" si="2"/>
        <v>33</v>
      </c>
      <c r="X8" s="17">
        <f t="shared" ca="1" si="2"/>
        <v>19</v>
      </c>
      <c r="Y8" s="17">
        <f t="shared" ca="1" si="2"/>
        <v>638</v>
      </c>
      <c r="Z8" s="102">
        <f ca="1">IF(SUM(T8:X8)=0,"-",(SUM(U8:X8)/SUM(T8:X8)))</f>
        <v>5.2672955974842769E-2</v>
      </c>
      <c r="AA8" s="101">
        <f ca="1">IF(SUM(T8:Y8)=0,"-",(Y8/SUM(T8:Y8)))</f>
        <v>0.20050282840980516</v>
      </c>
      <c r="AB8" s="17"/>
      <c r="AC8" s="22">
        <f ca="1">AC9+AC49</f>
        <v>77</v>
      </c>
      <c r="AD8" s="22">
        <f t="shared" ref="AD8:AH8" ca="1" si="3">AD9+AD49</f>
        <v>1</v>
      </c>
      <c r="AE8" s="22">
        <f t="shared" ca="1" si="3"/>
        <v>0</v>
      </c>
      <c r="AF8" s="22">
        <f t="shared" ca="1" si="3"/>
        <v>0</v>
      </c>
      <c r="AG8" s="22">
        <f t="shared" ca="1" si="3"/>
        <v>2</v>
      </c>
      <c r="AH8" s="22">
        <f t="shared" ca="1" si="3"/>
        <v>12</v>
      </c>
      <c r="AI8" s="101">
        <f ca="1">IF(SUM(AC8:AG8)=0,"-",(SUM(AD8:AG8)/SUM(AC8:AG8)))</f>
        <v>3.7499999999999999E-2</v>
      </c>
      <c r="AJ8" s="46">
        <f ca="1">IF(SUM(AC8:AH8)=0,"-",(AH8/SUM(AC8:AH8)))</f>
        <v>0.13043478260869565</v>
      </c>
      <c r="AK8" s="17"/>
      <c r="AL8" s="22">
        <f ca="1">AL9+AL49</f>
        <v>728</v>
      </c>
      <c r="AM8" s="22">
        <f t="shared" ref="AM8:AQ8" ca="1" si="4">AM9+AM49</f>
        <v>10</v>
      </c>
      <c r="AN8" s="22">
        <f t="shared" ca="1" si="4"/>
        <v>27</v>
      </c>
      <c r="AO8" s="22">
        <f t="shared" ca="1" si="4"/>
        <v>29</v>
      </c>
      <c r="AP8" s="22">
        <f t="shared" ca="1" si="4"/>
        <v>12</v>
      </c>
      <c r="AQ8" s="22">
        <f t="shared" ca="1" si="4"/>
        <v>176</v>
      </c>
      <c r="AR8" s="101">
        <f ca="1">IF(SUM(AL8:AP8)=0,"-",(SUM(AM8:AP8)/SUM(AL8:AP8)))</f>
        <v>9.6774193548387094E-2</v>
      </c>
      <c r="AS8" s="46">
        <f ca="1">IF(SUM(AL8:AQ8)=0,"-",(AQ8/SUM(AL8:AQ8)))</f>
        <v>0.17922606924643583</v>
      </c>
      <c r="AT8" s="17"/>
      <c r="AU8" s="17">
        <f ca="1">AL8+AC8+T8</f>
        <v>3215</v>
      </c>
      <c r="AV8" s="17">
        <f t="shared" ref="AV8:AZ23" ca="1" si="5">AM8+AD8+U8</f>
        <v>76</v>
      </c>
      <c r="AW8" s="17">
        <f t="shared" ca="1" si="5"/>
        <v>44</v>
      </c>
      <c r="AX8" s="17">
        <f t="shared" ca="1" si="5"/>
        <v>62</v>
      </c>
      <c r="AY8" s="17">
        <f t="shared" ca="1" si="5"/>
        <v>33</v>
      </c>
      <c r="AZ8" s="17">
        <f t="shared" ca="1" si="5"/>
        <v>826</v>
      </c>
      <c r="BA8" s="101">
        <f ca="1">IF(SUM(AU8:AY8)=0,"-",(SUM(AV8:AY8)/SUM(AU8:AY8)))</f>
        <v>6.2682215743440239E-2</v>
      </c>
      <c r="BB8" s="101">
        <f ca="1">IF(SUM(AU8:AZ8)=0,"-",(AZ8/SUM(AU8:AZ8)))</f>
        <v>0.19407894736842105</v>
      </c>
      <c r="BC8" s="19"/>
      <c r="BD8" s="19"/>
      <c r="BE8" s="19"/>
      <c r="BF8" s="19"/>
      <c r="BG8" s="19"/>
      <c r="BH8" s="19"/>
      <c r="BI8" s="19"/>
      <c r="BJ8" s="19"/>
      <c r="BK8" s="19"/>
      <c r="BL8" s="20"/>
    </row>
    <row r="9" spans="1:64" s="8" customFormat="1" ht="15" customHeight="1" x14ac:dyDescent="0.35">
      <c r="A9" s="21" t="s">
        <v>16</v>
      </c>
      <c r="B9" s="22">
        <f ca="1">SUM(B10:B48)</f>
        <v>611</v>
      </c>
      <c r="C9" s="22">
        <f t="shared" ref="C9:G9" ca="1" si="6">SUM(C10:C48)</f>
        <v>18</v>
      </c>
      <c r="D9" s="22">
        <f t="shared" ca="1" si="6"/>
        <v>3</v>
      </c>
      <c r="E9" s="22">
        <f t="shared" ca="1" si="6"/>
        <v>3</v>
      </c>
      <c r="F9" s="22">
        <f t="shared" ca="1" si="6"/>
        <v>5</v>
      </c>
      <c r="G9" s="22">
        <f t="shared" ca="1" si="6"/>
        <v>146</v>
      </c>
      <c r="H9" s="101">
        <f t="shared" ref="H9:H56" ca="1" si="7">IF(SUM(B9:F9)=0,"-",(SUM(C9:F9)/SUM(B9:F9)))</f>
        <v>4.5312499999999999E-2</v>
      </c>
      <c r="I9" s="46">
        <f t="shared" ref="I9:I56" ca="1" si="8">IF(SUM(B9:G9)=0,"-",(G9/SUM(B9:G9)))</f>
        <v>0.18575063613231552</v>
      </c>
      <c r="J9" s="22"/>
      <c r="K9" s="22">
        <f ca="1">SUM(K10:K48)</f>
        <v>1113</v>
      </c>
      <c r="L9" s="22">
        <f t="shared" ref="L9:P9" ca="1" si="9">SUM(L10:L48)</f>
        <v>7</v>
      </c>
      <c r="M9" s="22">
        <f t="shared" ca="1" si="9"/>
        <v>3</v>
      </c>
      <c r="N9" s="22">
        <f t="shared" ca="1" si="9"/>
        <v>6</v>
      </c>
      <c r="O9" s="22">
        <f t="shared" ca="1" si="9"/>
        <v>3</v>
      </c>
      <c r="P9" s="22">
        <f t="shared" ca="1" si="9"/>
        <v>407</v>
      </c>
      <c r="Q9" s="101">
        <f t="shared" ref="Q9:Q56" ca="1" si="10">IF(SUM(K9:O9)=0,"-",(SUM(L9:O9)/SUM(K9:O9)))</f>
        <v>1.6784452296819789E-2</v>
      </c>
      <c r="R9" s="46">
        <f t="shared" ref="R9:R56" ca="1" si="11">IF(SUM(K9:P9)=0,"-",(P9/SUM(K9:P9)))</f>
        <v>0.26445743989603637</v>
      </c>
      <c r="S9" s="22"/>
      <c r="T9" s="22">
        <f t="shared" ref="T9:Y56" ca="1" si="12">B9+K9</f>
        <v>1724</v>
      </c>
      <c r="U9" s="22">
        <f t="shared" ca="1" si="2"/>
        <v>25</v>
      </c>
      <c r="V9" s="22">
        <f t="shared" ca="1" si="2"/>
        <v>6</v>
      </c>
      <c r="W9" s="22">
        <f t="shared" ca="1" si="2"/>
        <v>9</v>
      </c>
      <c r="X9" s="22">
        <f t="shared" ca="1" si="2"/>
        <v>8</v>
      </c>
      <c r="Y9" s="22">
        <f t="shared" ca="1" si="2"/>
        <v>553</v>
      </c>
      <c r="Z9" s="101">
        <f t="shared" ref="Z9:Z56" ca="1" si="13">IF(SUM(T9:X9)=0,"-",(SUM(U9:X9)/SUM(T9:X9)))</f>
        <v>2.7088036117381489E-2</v>
      </c>
      <c r="AA9" s="101">
        <f t="shared" ref="AA9:AA56" ca="1" si="14">IF(SUM(T9:Y9)=0,"-",(Y9/SUM(T9:Y9)))</f>
        <v>0.2378494623655914</v>
      </c>
      <c r="AB9" s="22"/>
      <c r="AC9" s="22">
        <f ca="1">SUM(AC10:AC48)</f>
        <v>56</v>
      </c>
      <c r="AD9" s="22">
        <f t="shared" ref="AD9:AH9" ca="1" si="15">SUM(AD10:AD48)</f>
        <v>0</v>
      </c>
      <c r="AE9" s="22">
        <f t="shared" ca="1" si="15"/>
        <v>0</v>
      </c>
      <c r="AF9" s="22">
        <f t="shared" ca="1" si="15"/>
        <v>0</v>
      </c>
      <c r="AG9" s="22">
        <f t="shared" ca="1" si="15"/>
        <v>2</v>
      </c>
      <c r="AH9" s="22">
        <f t="shared" ca="1" si="15"/>
        <v>12</v>
      </c>
      <c r="AI9" s="101">
        <f t="shared" ref="AI9:AI56" ca="1" si="16">IF(SUM(AC9:AG9)=0,"-",(SUM(AD9:AG9)/SUM(AC9:AG9)))</f>
        <v>3.4482758620689655E-2</v>
      </c>
      <c r="AJ9" s="46">
        <f t="shared" ref="AJ9:AJ56" ca="1" si="17">IF(SUM(AC9:AH9)=0,"-",(AH9/SUM(AC9:AH9)))</f>
        <v>0.17142857142857143</v>
      </c>
      <c r="AK9" s="22"/>
      <c r="AL9" s="22">
        <f ca="1">SUM(AL10:AL48)</f>
        <v>477</v>
      </c>
      <c r="AM9" s="22">
        <f t="shared" ref="AM9:AQ9" ca="1" si="18">SUM(AM10:AM48)</f>
        <v>4</v>
      </c>
      <c r="AN9" s="22">
        <f t="shared" ca="1" si="18"/>
        <v>10</v>
      </c>
      <c r="AO9" s="22">
        <f t="shared" ca="1" si="18"/>
        <v>10</v>
      </c>
      <c r="AP9" s="22">
        <f t="shared" ca="1" si="18"/>
        <v>1</v>
      </c>
      <c r="AQ9" s="22">
        <f t="shared" ca="1" si="18"/>
        <v>146</v>
      </c>
      <c r="AR9" s="101">
        <f t="shared" ref="AR9:AR56" ca="1" si="19">IF(SUM(AL9:AP9)=0,"-",(SUM(AM9:AP9)/SUM(AL9:AP9)))</f>
        <v>4.9800796812749001E-2</v>
      </c>
      <c r="AS9" s="46">
        <f t="shared" ref="AS9:AS56" ca="1" si="20">IF(SUM(AL9:AQ9)=0,"-",(AQ9/SUM(AL9:AQ9)))</f>
        <v>0.22530864197530864</v>
      </c>
      <c r="AT9" s="22"/>
      <c r="AU9" s="22">
        <f t="shared" ref="AU9:AZ56" ca="1" si="21">AL9+AC9+T9</f>
        <v>2257</v>
      </c>
      <c r="AV9" s="22">
        <f t="shared" ca="1" si="5"/>
        <v>29</v>
      </c>
      <c r="AW9" s="22">
        <f t="shared" ca="1" si="5"/>
        <v>16</v>
      </c>
      <c r="AX9" s="22">
        <f t="shared" ca="1" si="5"/>
        <v>19</v>
      </c>
      <c r="AY9" s="22">
        <f t="shared" ca="1" si="5"/>
        <v>11</v>
      </c>
      <c r="AZ9" s="22">
        <f t="shared" ca="1" si="5"/>
        <v>711</v>
      </c>
      <c r="BA9" s="101">
        <f t="shared" ref="BA9:BA56" ca="1" si="22">IF(SUM(AU9:AY9)=0,"-",(SUM(AV9:AY9)/SUM(AU9:AY9)))</f>
        <v>3.2161234991423669E-2</v>
      </c>
      <c r="BB9" s="101">
        <f t="shared" ref="BB9:BB56" ca="1" si="23">IF(SUM(AU9:AZ9)=0,"-",(AZ9/SUM(AU9:AZ9)))</f>
        <v>0.23365100230036148</v>
      </c>
      <c r="BC9" s="19"/>
      <c r="BD9" s="19"/>
      <c r="BE9" s="19"/>
      <c r="BF9" s="19"/>
      <c r="BG9" s="19"/>
      <c r="BH9" s="19"/>
      <c r="BI9" s="19"/>
      <c r="BJ9" s="19"/>
      <c r="BK9" s="19"/>
    </row>
    <row r="10" spans="1:64" s="8" customFormat="1" ht="15" customHeight="1" x14ac:dyDescent="0.35">
      <c r="A10" s="2" t="s">
        <v>17</v>
      </c>
      <c r="B10" s="24">
        <f ca="1">ROUND(FIRE1121_raw!B10,0)</f>
        <v>12</v>
      </c>
      <c r="C10" s="24">
        <f ca="1">ROUND(FIRE1121_raw!C10,0)</f>
        <v>0</v>
      </c>
      <c r="D10" s="24">
        <f ca="1">ROUND(FIRE1121_raw!D10,0)</f>
        <v>0</v>
      </c>
      <c r="E10" s="24">
        <f ca="1">ROUND(FIRE1121_raw!E10,0)</f>
        <v>1</v>
      </c>
      <c r="F10" s="24">
        <f ca="1">ROUND(FIRE1121_raw!F10,0)</f>
        <v>1</v>
      </c>
      <c r="G10" s="24">
        <f ca="1">ROUND(FIRE1121_raw!G10,0)</f>
        <v>1</v>
      </c>
      <c r="H10" s="101">
        <f t="shared" ca="1" si="7"/>
        <v>0.14285714285714285</v>
      </c>
      <c r="I10" s="46">
        <f t="shared" ca="1" si="8"/>
        <v>6.6666666666666666E-2</v>
      </c>
      <c r="J10" s="24"/>
      <c r="K10" s="24">
        <f ca="1">ROUND(FIRE1121_raw!K10,0)</f>
        <v>3</v>
      </c>
      <c r="L10" s="24">
        <f ca="1">ROUND(FIRE1121_raw!L10,0)</f>
        <v>0</v>
      </c>
      <c r="M10" s="24">
        <f ca="1">ROUND(FIRE1121_raw!M10,0)</f>
        <v>0</v>
      </c>
      <c r="N10" s="24">
        <f ca="1">ROUND(FIRE1121_raw!N10,0)</f>
        <v>0</v>
      </c>
      <c r="O10" s="24">
        <f ca="1">ROUND(FIRE1121_raw!O10,0)</f>
        <v>0</v>
      </c>
      <c r="P10" s="24">
        <f ca="1">ROUND(FIRE1121_raw!P10,0)</f>
        <v>16</v>
      </c>
      <c r="Q10" s="101">
        <f t="shared" ca="1" si="10"/>
        <v>0</v>
      </c>
      <c r="R10" s="46">
        <f t="shared" ca="1" si="11"/>
        <v>0.84210526315789469</v>
      </c>
      <c r="S10" s="24"/>
      <c r="T10" s="22">
        <f t="shared" ca="1" si="12"/>
        <v>15</v>
      </c>
      <c r="U10" s="22">
        <f t="shared" ca="1" si="2"/>
        <v>0</v>
      </c>
      <c r="V10" s="22">
        <f t="shared" ca="1" si="2"/>
        <v>0</v>
      </c>
      <c r="W10" s="22">
        <f t="shared" ca="1" si="2"/>
        <v>1</v>
      </c>
      <c r="X10" s="22">
        <f t="shared" ca="1" si="2"/>
        <v>1</v>
      </c>
      <c r="Y10" s="22">
        <f t="shared" ca="1" si="2"/>
        <v>17</v>
      </c>
      <c r="Z10" s="101">
        <f t="shared" ca="1" si="13"/>
        <v>0.11764705882352941</v>
      </c>
      <c r="AA10" s="101">
        <f t="shared" ca="1" si="14"/>
        <v>0.5</v>
      </c>
      <c r="AB10" s="24"/>
      <c r="AC10" s="24">
        <f ca="1">ROUND(FIRE1121_raw!AC10,0)</f>
        <v>3</v>
      </c>
      <c r="AD10" s="24">
        <f ca="1">ROUND(FIRE1121_raw!AD10,0)</f>
        <v>0</v>
      </c>
      <c r="AE10" s="24">
        <f ca="1">ROUND(FIRE1121_raw!AE10,0)</f>
        <v>0</v>
      </c>
      <c r="AF10" s="24">
        <f ca="1">ROUND(FIRE1121_raw!AF10,0)</f>
        <v>0</v>
      </c>
      <c r="AG10" s="24">
        <f ca="1">ROUND(FIRE1121_raw!AG10,0)</f>
        <v>0</v>
      </c>
      <c r="AH10" s="24">
        <f ca="1">ROUND(FIRE1121_raw!AH10,0)</f>
        <v>0</v>
      </c>
      <c r="AI10" s="101">
        <f t="shared" ca="1" si="16"/>
        <v>0</v>
      </c>
      <c r="AJ10" s="46">
        <f t="shared" ca="1" si="17"/>
        <v>0</v>
      </c>
      <c r="AK10" s="24"/>
      <c r="AL10" s="24">
        <f ca="1">ROUND(FIRE1121_raw!AL10,0)</f>
        <v>14</v>
      </c>
      <c r="AM10" s="24">
        <f ca="1">ROUND(FIRE1121_raw!AM10,0)</f>
        <v>0</v>
      </c>
      <c r="AN10" s="24">
        <f ca="1">ROUND(FIRE1121_raw!AN10,0)</f>
        <v>0</v>
      </c>
      <c r="AO10" s="24">
        <f ca="1">ROUND(FIRE1121_raw!AO10,0)</f>
        <v>0</v>
      </c>
      <c r="AP10" s="24">
        <f ca="1">ROUND(FIRE1121_raw!AP10,0)</f>
        <v>0</v>
      </c>
      <c r="AQ10" s="24">
        <f ca="1">ROUND(FIRE1121_raw!AQ10,0)</f>
        <v>11</v>
      </c>
      <c r="AR10" s="101">
        <f t="shared" ca="1" si="19"/>
        <v>0</v>
      </c>
      <c r="AS10" s="46">
        <f t="shared" ca="1" si="20"/>
        <v>0.44</v>
      </c>
      <c r="AT10" s="24"/>
      <c r="AU10" s="22">
        <f t="shared" ca="1" si="21"/>
        <v>32</v>
      </c>
      <c r="AV10" s="22">
        <f t="shared" ca="1" si="5"/>
        <v>0</v>
      </c>
      <c r="AW10" s="22">
        <f t="shared" ca="1" si="5"/>
        <v>0</v>
      </c>
      <c r="AX10" s="22">
        <f t="shared" ca="1" si="5"/>
        <v>1</v>
      </c>
      <c r="AY10" s="22">
        <f t="shared" ca="1" si="5"/>
        <v>1</v>
      </c>
      <c r="AZ10" s="22">
        <f t="shared" ca="1" si="5"/>
        <v>28</v>
      </c>
      <c r="BA10" s="101">
        <f t="shared" ca="1" si="22"/>
        <v>5.8823529411764705E-2</v>
      </c>
      <c r="BB10" s="101">
        <f t="shared" ca="1" si="23"/>
        <v>0.45161290322580644</v>
      </c>
      <c r="BC10" s="19"/>
      <c r="BD10" s="19"/>
      <c r="BE10" s="19"/>
      <c r="BF10" s="19"/>
      <c r="BG10" s="19"/>
      <c r="BH10" s="19"/>
      <c r="BI10" s="19"/>
      <c r="BJ10" s="19"/>
      <c r="BK10" s="19"/>
    </row>
    <row r="11" spans="1:64" s="8" customFormat="1" ht="15" customHeight="1" x14ac:dyDescent="0.35">
      <c r="A11" s="2" t="s">
        <v>18</v>
      </c>
      <c r="B11" s="24">
        <f ca="1">ROUND(FIRE1121_raw!B11,0)</f>
        <v>18</v>
      </c>
      <c r="C11" s="24">
        <f ca="1">ROUND(FIRE1121_raw!C11,0)</f>
        <v>0</v>
      </c>
      <c r="D11" s="24">
        <f ca="1">ROUND(FIRE1121_raw!D11,0)</f>
        <v>0</v>
      </c>
      <c r="E11" s="24">
        <f ca="1">ROUND(FIRE1121_raw!E11,0)</f>
        <v>0</v>
      </c>
      <c r="F11" s="24">
        <f ca="1">ROUND(FIRE1121_raw!F11,0)</f>
        <v>0</v>
      </c>
      <c r="G11" s="24">
        <f ca="1">ROUND(FIRE1121_raw!G11,0)</f>
        <v>0</v>
      </c>
      <c r="H11" s="101">
        <f t="shared" ca="1" si="7"/>
        <v>0</v>
      </c>
      <c r="I11" s="46">
        <f t="shared" ca="1" si="8"/>
        <v>0</v>
      </c>
      <c r="J11" s="72"/>
      <c r="K11" s="24">
        <f ca="1">ROUND(FIRE1121_raw!K11,0)</f>
        <v>24</v>
      </c>
      <c r="L11" s="24">
        <f ca="1">ROUND(FIRE1121_raw!L11,0)</f>
        <v>1</v>
      </c>
      <c r="M11" s="24">
        <f ca="1">ROUND(FIRE1121_raw!M11,0)</f>
        <v>0</v>
      </c>
      <c r="N11" s="24">
        <f ca="1">ROUND(FIRE1121_raw!N11,0)</f>
        <v>0</v>
      </c>
      <c r="O11" s="24">
        <f ca="1">ROUND(FIRE1121_raw!O11,0)</f>
        <v>0</v>
      </c>
      <c r="P11" s="24">
        <f ca="1">ROUND(FIRE1121_raw!P11,0)</f>
        <v>1</v>
      </c>
      <c r="Q11" s="101">
        <f t="shared" ca="1" si="10"/>
        <v>0.04</v>
      </c>
      <c r="R11" s="46">
        <f t="shared" ca="1" si="11"/>
        <v>3.8461538461538464E-2</v>
      </c>
      <c r="S11" s="72"/>
      <c r="T11" s="22">
        <f t="shared" ca="1" si="12"/>
        <v>42</v>
      </c>
      <c r="U11" s="22">
        <f t="shared" ca="1" si="2"/>
        <v>1</v>
      </c>
      <c r="V11" s="22">
        <f t="shared" ca="1" si="2"/>
        <v>0</v>
      </c>
      <c r="W11" s="22">
        <f t="shared" ca="1" si="2"/>
        <v>0</v>
      </c>
      <c r="X11" s="22">
        <f t="shared" ca="1" si="2"/>
        <v>0</v>
      </c>
      <c r="Y11" s="22">
        <f t="shared" ca="1" si="2"/>
        <v>1</v>
      </c>
      <c r="Z11" s="101">
        <f t="shared" ca="1" si="13"/>
        <v>2.3255813953488372E-2</v>
      </c>
      <c r="AA11" s="101">
        <f t="shared" ca="1" si="14"/>
        <v>2.2727272727272728E-2</v>
      </c>
      <c r="AB11" s="24"/>
      <c r="AC11" s="24">
        <f ca="1">ROUND(FIRE1121_raw!AC11,0)</f>
        <v>1</v>
      </c>
      <c r="AD11" s="24">
        <f ca="1">ROUND(FIRE1121_raw!AD11,0)</f>
        <v>0</v>
      </c>
      <c r="AE11" s="24">
        <f ca="1">ROUND(FIRE1121_raw!AE11,0)</f>
        <v>0</v>
      </c>
      <c r="AF11" s="24">
        <f ca="1">ROUND(FIRE1121_raw!AF11,0)</f>
        <v>0</v>
      </c>
      <c r="AG11" s="24">
        <f ca="1">ROUND(FIRE1121_raw!AG11,0)</f>
        <v>0</v>
      </c>
      <c r="AH11" s="24">
        <f ca="1">ROUND(FIRE1121_raw!AH11,0)</f>
        <v>1</v>
      </c>
      <c r="AI11" s="101">
        <f t="shared" ca="1" si="16"/>
        <v>0</v>
      </c>
      <c r="AJ11" s="46">
        <f t="shared" ca="1" si="17"/>
        <v>0.5</v>
      </c>
      <c r="AK11" s="72"/>
      <c r="AL11" s="24">
        <f ca="1">ROUND(FIRE1121_raw!AL11,0)</f>
        <v>15</v>
      </c>
      <c r="AM11" s="24">
        <f ca="1">ROUND(FIRE1121_raw!AM11,0)</f>
        <v>1</v>
      </c>
      <c r="AN11" s="24">
        <f ca="1">ROUND(FIRE1121_raw!AN11,0)</f>
        <v>1</v>
      </c>
      <c r="AO11" s="24">
        <f ca="1">ROUND(FIRE1121_raw!AO11,0)</f>
        <v>0</v>
      </c>
      <c r="AP11" s="24">
        <f ca="1">ROUND(FIRE1121_raw!AP11,0)</f>
        <v>0</v>
      </c>
      <c r="AQ11" s="24">
        <f ca="1">ROUND(FIRE1121_raw!AQ11,0)</f>
        <v>5</v>
      </c>
      <c r="AR11" s="101">
        <f t="shared" ca="1" si="19"/>
        <v>0.11764705882352941</v>
      </c>
      <c r="AS11" s="46">
        <f t="shared" ca="1" si="20"/>
        <v>0.22727272727272727</v>
      </c>
      <c r="AT11" s="72"/>
      <c r="AU11" s="22">
        <f t="shared" ca="1" si="21"/>
        <v>58</v>
      </c>
      <c r="AV11" s="22">
        <f t="shared" ca="1" si="5"/>
        <v>2</v>
      </c>
      <c r="AW11" s="22">
        <f t="shared" ca="1" si="5"/>
        <v>1</v>
      </c>
      <c r="AX11" s="22">
        <f t="shared" ca="1" si="5"/>
        <v>0</v>
      </c>
      <c r="AY11" s="22">
        <f t="shared" ca="1" si="5"/>
        <v>0</v>
      </c>
      <c r="AZ11" s="22">
        <f t="shared" ca="1" si="5"/>
        <v>7</v>
      </c>
      <c r="BA11" s="101">
        <f t="shared" ca="1" si="22"/>
        <v>4.9180327868852458E-2</v>
      </c>
      <c r="BB11" s="101">
        <f t="shared" ca="1" si="23"/>
        <v>0.10294117647058823</v>
      </c>
      <c r="BC11" s="19"/>
      <c r="BD11" s="19"/>
      <c r="BE11" s="19"/>
      <c r="BF11" s="19"/>
      <c r="BG11" s="19"/>
      <c r="BH11" s="19"/>
      <c r="BI11" s="19"/>
      <c r="BJ11" s="19"/>
      <c r="BK11" s="19"/>
    </row>
    <row r="12" spans="1:64" s="8" customFormat="1" ht="15" customHeight="1" x14ac:dyDescent="0.35">
      <c r="A12" s="2" t="s">
        <v>19</v>
      </c>
      <c r="B12" s="24">
        <f ca="1">ROUND(FIRE1121_raw!B12,0)</f>
        <v>13</v>
      </c>
      <c r="C12" s="24">
        <f ca="1">ROUND(FIRE1121_raw!C12,0)</f>
        <v>1</v>
      </c>
      <c r="D12" s="24">
        <f ca="1">ROUND(FIRE1121_raw!D12,0)</f>
        <v>0</v>
      </c>
      <c r="E12" s="24">
        <f ca="1">ROUND(FIRE1121_raw!E12,0)</f>
        <v>0</v>
      </c>
      <c r="F12" s="24">
        <f ca="1">ROUND(FIRE1121_raw!F12,0)</f>
        <v>0</v>
      </c>
      <c r="G12" s="24">
        <f ca="1">ROUND(FIRE1121_raw!G12,0)</f>
        <v>0</v>
      </c>
      <c r="H12" s="101">
        <f t="shared" ca="1" si="7"/>
        <v>7.1428571428571425E-2</v>
      </c>
      <c r="I12" s="46">
        <f t="shared" ca="1" si="8"/>
        <v>0</v>
      </c>
      <c r="J12" s="72"/>
      <c r="K12" s="24">
        <f ca="1">ROUND(FIRE1121_raw!K12,0)</f>
        <v>22</v>
      </c>
      <c r="L12" s="24">
        <f ca="1">ROUND(FIRE1121_raw!L12,0)</f>
        <v>1</v>
      </c>
      <c r="M12" s="24">
        <f ca="1">ROUND(FIRE1121_raw!M12,0)</f>
        <v>0</v>
      </c>
      <c r="N12" s="24">
        <f ca="1">ROUND(FIRE1121_raw!N12,0)</f>
        <v>0</v>
      </c>
      <c r="O12" s="24">
        <f ca="1">ROUND(FIRE1121_raw!O12,0)</f>
        <v>0</v>
      </c>
      <c r="P12" s="24">
        <f ca="1">ROUND(FIRE1121_raw!P12,0)</f>
        <v>0</v>
      </c>
      <c r="Q12" s="101">
        <f t="shared" ca="1" si="10"/>
        <v>4.3478260869565216E-2</v>
      </c>
      <c r="R12" s="46">
        <f t="shared" ca="1" si="11"/>
        <v>0</v>
      </c>
      <c r="S12" s="72"/>
      <c r="T12" s="22">
        <f t="shared" ca="1" si="12"/>
        <v>35</v>
      </c>
      <c r="U12" s="22">
        <f t="shared" ca="1" si="2"/>
        <v>2</v>
      </c>
      <c r="V12" s="22">
        <f t="shared" ca="1" si="2"/>
        <v>0</v>
      </c>
      <c r="W12" s="22">
        <f t="shared" ca="1" si="2"/>
        <v>0</v>
      </c>
      <c r="X12" s="22">
        <f t="shared" ca="1" si="2"/>
        <v>0</v>
      </c>
      <c r="Y12" s="22">
        <f t="shared" ca="1" si="2"/>
        <v>0</v>
      </c>
      <c r="Z12" s="101">
        <f t="shared" ca="1" si="13"/>
        <v>5.4054054054054057E-2</v>
      </c>
      <c r="AA12" s="101">
        <f t="shared" ca="1" si="14"/>
        <v>0</v>
      </c>
      <c r="AB12" s="24"/>
      <c r="AC12" s="24">
        <f ca="1">ROUND(FIRE1121_raw!AC12,0)</f>
        <v>5</v>
      </c>
      <c r="AD12" s="24">
        <f ca="1">ROUND(FIRE1121_raw!AD12,0)</f>
        <v>0</v>
      </c>
      <c r="AE12" s="24">
        <f ca="1">ROUND(FIRE1121_raw!AE12,0)</f>
        <v>0</v>
      </c>
      <c r="AF12" s="24">
        <f ca="1">ROUND(FIRE1121_raw!AF12,0)</f>
        <v>0</v>
      </c>
      <c r="AG12" s="24">
        <f ca="1">ROUND(FIRE1121_raw!AG12,0)</f>
        <v>0</v>
      </c>
      <c r="AH12" s="24">
        <f ca="1">ROUND(FIRE1121_raw!AH12,0)</f>
        <v>0</v>
      </c>
      <c r="AI12" s="101">
        <f t="shared" ca="1" si="16"/>
        <v>0</v>
      </c>
      <c r="AJ12" s="46">
        <f t="shared" ca="1" si="17"/>
        <v>0</v>
      </c>
      <c r="AK12" s="72"/>
      <c r="AL12" s="24">
        <f ca="1">ROUND(FIRE1121_raw!AL12,0)</f>
        <v>22</v>
      </c>
      <c r="AM12" s="24">
        <f ca="1">ROUND(FIRE1121_raw!AM12,0)</f>
        <v>1</v>
      </c>
      <c r="AN12" s="24">
        <f ca="1">ROUND(FIRE1121_raw!AN12,0)</f>
        <v>3</v>
      </c>
      <c r="AO12" s="24">
        <f ca="1">ROUND(FIRE1121_raw!AO12,0)</f>
        <v>2</v>
      </c>
      <c r="AP12" s="24">
        <f ca="1">ROUND(FIRE1121_raw!AP12,0)</f>
        <v>0</v>
      </c>
      <c r="AQ12" s="24">
        <f ca="1">ROUND(FIRE1121_raw!AQ12,0)</f>
        <v>1</v>
      </c>
      <c r="AR12" s="101">
        <f t="shared" ca="1" si="19"/>
        <v>0.21428571428571427</v>
      </c>
      <c r="AS12" s="46">
        <f t="shared" ca="1" si="20"/>
        <v>3.4482758620689655E-2</v>
      </c>
      <c r="AT12" s="72"/>
      <c r="AU12" s="22">
        <f t="shared" ca="1" si="21"/>
        <v>62</v>
      </c>
      <c r="AV12" s="22">
        <f t="shared" ca="1" si="5"/>
        <v>3</v>
      </c>
      <c r="AW12" s="22">
        <f t="shared" ca="1" si="5"/>
        <v>3</v>
      </c>
      <c r="AX12" s="22">
        <f t="shared" ca="1" si="5"/>
        <v>2</v>
      </c>
      <c r="AY12" s="22">
        <f t="shared" ca="1" si="5"/>
        <v>0</v>
      </c>
      <c r="AZ12" s="22">
        <f t="shared" ca="1" si="5"/>
        <v>1</v>
      </c>
      <c r="BA12" s="101">
        <f t="shared" ca="1" si="22"/>
        <v>0.11428571428571428</v>
      </c>
      <c r="BB12" s="101">
        <f t="shared" ca="1" si="23"/>
        <v>1.4084507042253521E-2</v>
      </c>
      <c r="BC12" s="19"/>
      <c r="BD12" s="19"/>
      <c r="BE12" s="19"/>
      <c r="BF12" s="19"/>
      <c r="BG12" s="19"/>
      <c r="BH12" s="19"/>
      <c r="BI12" s="19"/>
      <c r="BJ12" s="19"/>
      <c r="BK12" s="19"/>
    </row>
    <row r="13" spans="1:64" s="8" customFormat="1" ht="15" customHeight="1" x14ac:dyDescent="0.35">
      <c r="A13" s="2" t="s">
        <v>20</v>
      </c>
      <c r="B13" s="24">
        <f ca="1">ROUND(FIRE1121_raw!B13,0)</f>
        <v>25</v>
      </c>
      <c r="C13" s="24">
        <f ca="1">ROUND(FIRE1121_raw!C13,0)</f>
        <v>3</v>
      </c>
      <c r="D13" s="24">
        <f ca="1">ROUND(FIRE1121_raw!D13,0)</f>
        <v>0</v>
      </c>
      <c r="E13" s="24">
        <f ca="1">ROUND(FIRE1121_raw!E13,0)</f>
        <v>0</v>
      </c>
      <c r="F13" s="24">
        <f ca="1">ROUND(FIRE1121_raw!F13,0)</f>
        <v>0</v>
      </c>
      <c r="G13" s="24">
        <f ca="1">ROUND(FIRE1121_raw!G13,0)</f>
        <v>0</v>
      </c>
      <c r="H13" s="101">
        <f t="shared" ca="1" si="7"/>
        <v>0.10714285714285714</v>
      </c>
      <c r="I13" s="46">
        <f t="shared" ca="1" si="8"/>
        <v>0</v>
      </c>
      <c r="J13" s="72"/>
      <c r="K13" s="24">
        <f ca="1">ROUND(FIRE1121_raw!K13,0)</f>
        <v>18</v>
      </c>
      <c r="L13" s="24">
        <f ca="1">ROUND(FIRE1121_raw!L13,0)</f>
        <v>0</v>
      </c>
      <c r="M13" s="24">
        <f ca="1">ROUND(FIRE1121_raw!M13,0)</f>
        <v>1</v>
      </c>
      <c r="N13" s="24">
        <f ca="1">ROUND(FIRE1121_raw!N13,0)</f>
        <v>0</v>
      </c>
      <c r="O13" s="24">
        <f ca="1">ROUND(FIRE1121_raw!O13,0)</f>
        <v>0</v>
      </c>
      <c r="P13" s="24">
        <f ca="1">ROUND(FIRE1121_raw!P13,0)</f>
        <v>0</v>
      </c>
      <c r="Q13" s="101">
        <f t="shared" ca="1" si="10"/>
        <v>5.2631578947368418E-2</v>
      </c>
      <c r="R13" s="46">
        <f t="shared" ca="1" si="11"/>
        <v>0</v>
      </c>
      <c r="S13" s="72"/>
      <c r="T13" s="22">
        <f t="shared" ca="1" si="12"/>
        <v>43</v>
      </c>
      <c r="U13" s="22">
        <f t="shared" ca="1" si="2"/>
        <v>3</v>
      </c>
      <c r="V13" s="22">
        <f t="shared" ca="1" si="2"/>
        <v>1</v>
      </c>
      <c r="W13" s="22">
        <f t="shared" ca="1" si="2"/>
        <v>0</v>
      </c>
      <c r="X13" s="22">
        <f t="shared" ca="1" si="2"/>
        <v>0</v>
      </c>
      <c r="Y13" s="22">
        <f t="shared" ca="1" si="2"/>
        <v>0</v>
      </c>
      <c r="Z13" s="101">
        <f t="shared" ca="1" si="13"/>
        <v>8.5106382978723402E-2</v>
      </c>
      <c r="AA13" s="101">
        <f t="shared" ca="1" si="14"/>
        <v>0</v>
      </c>
      <c r="AB13" s="24"/>
      <c r="AC13" s="24">
        <f ca="1">ROUND(FIRE1121_raw!AC13,0)</f>
        <v>0</v>
      </c>
      <c r="AD13" s="24">
        <f ca="1">ROUND(FIRE1121_raw!AD13,0)</f>
        <v>0</v>
      </c>
      <c r="AE13" s="24">
        <f ca="1">ROUND(FIRE1121_raw!AE13,0)</f>
        <v>0</v>
      </c>
      <c r="AF13" s="24">
        <f ca="1">ROUND(FIRE1121_raw!AF13,0)</f>
        <v>0</v>
      </c>
      <c r="AG13" s="24">
        <f ca="1">ROUND(FIRE1121_raw!AG13,0)</f>
        <v>0</v>
      </c>
      <c r="AH13" s="24">
        <f ca="1">ROUND(FIRE1121_raw!AH13,0)</f>
        <v>0</v>
      </c>
      <c r="AI13" s="101" t="str">
        <f t="shared" ca="1" si="16"/>
        <v>-</v>
      </c>
      <c r="AJ13" s="46" t="str">
        <f t="shared" ca="1" si="17"/>
        <v>-</v>
      </c>
      <c r="AK13" s="72"/>
      <c r="AL13" s="24">
        <f ca="1">ROUND(FIRE1121_raw!AL13,0)</f>
        <v>5</v>
      </c>
      <c r="AM13" s="24">
        <f ca="1">ROUND(FIRE1121_raw!AM13,0)</f>
        <v>0</v>
      </c>
      <c r="AN13" s="24">
        <f ca="1">ROUND(FIRE1121_raw!AN13,0)</f>
        <v>0</v>
      </c>
      <c r="AO13" s="24">
        <f ca="1">ROUND(FIRE1121_raw!AO13,0)</f>
        <v>1</v>
      </c>
      <c r="AP13" s="24">
        <f ca="1">ROUND(FIRE1121_raw!AP13,0)</f>
        <v>0</v>
      </c>
      <c r="AQ13" s="24">
        <f ca="1">ROUND(FIRE1121_raw!AQ13,0)</f>
        <v>0</v>
      </c>
      <c r="AR13" s="101">
        <f t="shared" ca="1" si="19"/>
        <v>0.16666666666666666</v>
      </c>
      <c r="AS13" s="46">
        <f t="shared" ca="1" si="20"/>
        <v>0</v>
      </c>
      <c r="AT13" s="72"/>
      <c r="AU13" s="22">
        <f t="shared" ca="1" si="21"/>
        <v>48</v>
      </c>
      <c r="AV13" s="22">
        <f t="shared" ca="1" si="5"/>
        <v>3</v>
      </c>
      <c r="AW13" s="22">
        <f t="shared" ca="1" si="5"/>
        <v>1</v>
      </c>
      <c r="AX13" s="22">
        <f t="shared" ca="1" si="5"/>
        <v>1</v>
      </c>
      <c r="AY13" s="22">
        <f t="shared" ca="1" si="5"/>
        <v>0</v>
      </c>
      <c r="AZ13" s="22">
        <f t="shared" ca="1" si="5"/>
        <v>0</v>
      </c>
      <c r="BA13" s="101">
        <f t="shared" ca="1" si="22"/>
        <v>9.4339622641509441E-2</v>
      </c>
      <c r="BB13" s="101">
        <f t="shared" ca="1" si="23"/>
        <v>0</v>
      </c>
      <c r="BC13" s="19"/>
      <c r="BD13" s="19"/>
      <c r="BE13" s="19"/>
      <c r="BF13" s="19"/>
      <c r="BG13" s="19"/>
      <c r="BH13" s="19"/>
      <c r="BI13" s="19"/>
      <c r="BJ13" s="19"/>
      <c r="BK13" s="19"/>
    </row>
    <row r="14" spans="1:64" s="8" customFormat="1" ht="15" customHeight="1" x14ac:dyDescent="0.35">
      <c r="A14" s="2" t="s">
        <v>21</v>
      </c>
      <c r="B14" s="24">
        <f ca="1">ROUND(FIRE1121_raw!B14,0)</f>
        <v>12</v>
      </c>
      <c r="C14" s="24">
        <f ca="1">ROUND(FIRE1121_raw!C14,0)</f>
        <v>0</v>
      </c>
      <c r="D14" s="24">
        <f ca="1">ROUND(FIRE1121_raw!D14,0)</f>
        <v>0</v>
      </c>
      <c r="E14" s="24">
        <f ca="1">ROUND(FIRE1121_raw!E14,0)</f>
        <v>0</v>
      </c>
      <c r="F14" s="24">
        <f ca="1">ROUND(FIRE1121_raw!F14,0)</f>
        <v>0</v>
      </c>
      <c r="G14" s="24">
        <f ca="1">ROUND(FIRE1121_raw!G14,0)</f>
        <v>2</v>
      </c>
      <c r="H14" s="101">
        <f t="shared" ca="1" si="7"/>
        <v>0</v>
      </c>
      <c r="I14" s="46">
        <f t="shared" ca="1" si="8"/>
        <v>0.14285714285714285</v>
      </c>
      <c r="J14" s="72"/>
      <c r="K14" s="24">
        <f ca="1">ROUND(FIRE1121_raw!K14,0)</f>
        <v>32</v>
      </c>
      <c r="L14" s="24">
        <f ca="1">ROUND(FIRE1121_raw!L14,0)</f>
        <v>0</v>
      </c>
      <c r="M14" s="24">
        <f ca="1">ROUND(FIRE1121_raw!M14,0)</f>
        <v>0</v>
      </c>
      <c r="N14" s="24">
        <f ca="1">ROUND(FIRE1121_raw!N14,0)</f>
        <v>0</v>
      </c>
      <c r="O14" s="24">
        <f ca="1">ROUND(FIRE1121_raw!O14,0)</f>
        <v>0</v>
      </c>
      <c r="P14" s="24">
        <f ca="1">ROUND(FIRE1121_raw!P14,0)</f>
        <v>4</v>
      </c>
      <c r="Q14" s="101">
        <f t="shared" ca="1" si="10"/>
        <v>0</v>
      </c>
      <c r="R14" s="46">
        <f t="shared" ca="1" si="11"/>
        <v>0.1111111111111111</v>
      </c>
      <c r="S14" s="72"/>
      <c r="T14" s="22">
        <f t="shared" ca="1" si="12"/>
        <v>44</v>
      </c>
      <c r="U14" s="22">
        <f t="shared" ca="1" si="2"/>
        <v>0</v>
      </c>
      <c r="V14" s="22">
        <f t="shared" ca="1" si="2"/>
        <v>0</v>
      </c>
      <c r="W14" s="22">
        <f t="shared" ca="1" si="2"/>
        <v>0</v>
      </c>
      <c r="X14" s="22">
        <f t="shared" ca="1" si="2"/>
        <v>0</v>
      </c>
      <c r="Y14" s="22">
        <f t="shared" ca="1" si="2"/>
        <v>6</v>
      </c>
      <c r="Z14" s="101">
        <f t="shared" ca="1" si="13"/>
        <v>0</v>
      </c>
      <c r="AA14" s="101">
        <f t="shared" ca="1" si="14"/>
        <v>0.12</v>
      </c>
      <c r="AB14" s="24"/>
      <c r="AC14" s="24">
        <f ca="1">ROUND(FIRE1121_raw!AC14,0)</f>
        <v>8</v>
      </c>
      <c r="AD14" s="24">
        <f ca="1">ROUND(FIRE1121_raw!AD14,0)</f>
        <v>0</v>
      </c>
      <c r="AE14" s="24">
        <f ca="1">ROUND(FIRE1121_raw!AE14,0)</f>
        <v>0</v>
      </c>
      <c r="AF14" s="24">
        <f ca="1">ROUND(FIRE1121_raw!AF14,0)</f>
        <v>0</v>
      </c>
      <c r="AG14" s="24">
        <f ca="1">ROUND(FIRE1121_raw!AG14,0)</f>
        <v>0</v>
      </c>
      <c r="AH14" s="24">
        <f ca="1">ROUND(FIRE1121_raw!AH14,0)</f>
        <v>4</v>
      </c>
      <c r="AI14" s="101">
        <f t="shared" ca="1" si="16"/>
        <v>0</v>
      </c>
      <c r="AJ14" s="46">
        <f t="shared" ca="1" si="17"/>
        <v>0.33333333333333331</v>
      </c>
      <c r="AK14" s="72"/>
      <c r="AL14" s="24">
        <f ca="1">ROUND(FIRE1121_raw!AL14,0)</f>
        <v>12</v>
      </c>
      <c r="AM14" s="24">
        <f ca="1">ROUND(FIRE1121_raw!AM14,0)</f>
        <v>1</v>
      </c>
      <c r="AN14" s="24">
        <f ca="1">ROUND(FIRE1121_raw!AN14,0)</f>
        <v>1</v>
      </c>
      <c r="AO14" s="24">
        <f ca="1">ROUND(FIRE1121_raw!AO14,0)</f>
        <v>2</v>
      </c>
      <c r="AP14" s="24">
        <f ca="1">ROUND(FIRE1121_raw!AP14,0)</f>
        <v>0</v>
      </c>
      <c r="AQ14" s="24">
        <f ca="1">ROUND(FIRE1121_raw!AQ14,0)</f>
        <v>5</v>
      </c>
      <c r="AR14" s="101">
        <f t="shared" ca="1" si="19"/>
        <v>0.25</v>
      </c>
      <c r="AS14" s="46">
        <f t="shared" ca="1" si="20"/>
        <v>0.23809523809523808</v>
      </c>
      <c r="AT14" s="72"/>
      <c r="AU14" s="22">
        <f t="shared" ca="1" si="21"/>
        <v>64</v>
      </c>
      <c r="AV14" s="22">
        <f t="shared" ca="1" si="5"/>
        <v>1</v>
      </c>
      <c r="AW14" s="22">
        <f t="shared" ca="1" si="5"/>
        <v>1</v>
      </c>
      <c r="AX14" s="22">
        <f t="shared" ca="1" si="5"/>
        <v>2</v>
      </c>
      <c r="AY14" s="22">
        <f t="shared" ca="1" si="5"/>
        <v>0</v>
      </c>
      <c r="AZ14" s="22">
        <f t="shared" ca="1" si="5"/>
        <v>15</v>
      </c>
      <c r="BA14" s="101">
        <f t="shared" ca="1" si="22"/>
        <v>5.8823529411764705E-2</v>
      </c>
      <c r="BB14" s="101">
        <f t="shared" ca="1" si="23"/>
        <v>0.18072289156626506</v>
      </c>
      <c r="BC14" s="19"/>
      <c r="BD14" s="19"/>
      <c r="BE14" s="19"/>
      <c r="BF14" s="19"/>
      <c r="BG14" s="19"/>
      <c r="BH14" s="19"/>
      <c r="BI14" s="19"/>
      <c r="BJ14" s="19"/>
      <c r="BK14" s="19"/>
    </row>
    <row r="15" spans="1:64" s="8" customFormat="1" ht="15" customHeight="1" x14ac:dyDescent="0.35">
      <c r="A15" s="2" t="s">
        <v>22</v>
      </c>
      <c r="B15" s="24">
        <f ca="1">ROUND(FIRE1121_raw!B15,0)</f>
        <v>49</v>
      </c>
      <c r="C15" s="24">
        <f ca="1">ROUND(FIRE1121_raw!C15,0)</f>
        <v>0</v>
      </c>
      <c r="D15" s="24">
        <f ca="1">ROUND(FIRE1121_raw!D15,0)</f>
        <v>0</v>
      </c>
      <c r="E15" s="24">
        <f ca="1">ROUND(FIRE1121_raw!E15,0)</f>
        <v>0</v>
      </c>
      <c r="F15" s="24">
        <f ca="1">ROUND(FIRE1121_raw!F15,0)</f>
        <v>1</v>
      </c>
      <c r="G15" s="24">
        <f ca="1">ROUND(FIRE1121_raw!G15,0)</f>
        <v>4</v>
      </c>
      <c r="H15" s="101">
        <f t="shared" ca="1" si="7"/>
        <v>0.02</v>
      </c>
      <c r="I15" s="46">
        <f t="shared" ca="1" si="8"/>
        <v>7.407407407407407E-2</v>
      </c>
      <c r="J15" s="72"/>
      <c r="K15" s="24">
        <f ca="1">ROUND(FIRE1121_raw!K15,0)</f>
        <v>26</v>
      </c>
      <c r="L15" s="24">
        <f ca="1">ROUND(FIRE1121_raw!L15,0)</f>
        <v>0</v>
      </c>
      <c r="M15" s="24">
        <f ca="1">ROUND(FIRE1121_raw!M15,0)</f>
        <v>0</v>
      </c>
      <c r="N15" s="24">
        <f ca="1">ROUND(FIRE1121_raw!N15,0)</f>
        <v>0</v>
      </c>
      <c r="O15" s="24">
        <f ca="1">ROUND(FIRE1121_raw!O15,0)</f>
        <v>0</v>
      </c>
      <c r="P15" s="24">
        <f ca="1">ROUND(FIRE1121_raw!P15,0)</f>
        <v>2</v>
      </c>
      <c r="Q15" s="101">
        <f t="shared" ca="1" si="10"/>
        <v>0</v>
      </c>
      <c r="R15" s="46">
        <f t="shared" ca="1" si="11"/>
        <v>7.1428571428571425E-2</v>
      </c>
      <c r="S15" s="72"/>
      <c r="T15" s="22">
        <f t="shared" ca="1" si="12"/>
        <v>75</v>
      </c>
      <c r="U15" s="22">
        <f t="shared" ca="1" si="2"/>
        <v>0</v>
      </c>
      <c r="V15" s="22">
        <f t="shared" ca="1" si="2"/>
        <v>0</v>
      </c>
      <c r="W15" s="22">
        <f t="shared" ca="1" si="2"/>
        <v>0</v>
      </c>
      <c r="X15" s="22">
        <f t="shared" ca="1" si="2"/>
        <v>1</v>
      </c>
      <c r="Y15" s="22">
        <f t="shared" ca="1" si="2"/>
        <v>6</v>
      </c>
      <c r="Z15" s="101">
        <f t="shared" ca="1" si="13"/>
        <v>1.3157894736842105E-2</v>
      </c>
      <c r="AA15" s="101">
        <f t="shared" ca="1" si="14"/>
        <v>7.3170731707317069E-2</v>
      </c>
      <c r="AB15" s="24"/>
      <c r="AC15" s="24">
        <f ca="1">ROUND(FIRE1121_raw!AC15,0)</f>
        <v>0</v>
      </c>
      <c r="AD15" s="24">
        <f ca="1">ROUND(FIRE1121_raw!AD15,0)</f>
        <v>0</v>
      </c>
      <c r="AE15" s="24">
        <f ca="1">ROUND(FIRE1121_raw!AE15,0)</f>
        <v>0</v>
      </c>
      <c r="AF15" s="24">
        <f ca="1">ROUND(FIRE1121_raw!AF15,0)</f>
        <v>0</v>
      </c>
      <c r="AG15" s="24">
        <f ca="1">ROUND(FIRE1121_raw!AG15,0)</f>
        <v>0</v>
      </c>
      <c r="AH15" s="24">
        <f ca="1">ROUND(FIRE1121_raw!AH15,0)</f>
        <v>0</v>
      </c>
      <c r="AI15" s="101" t="str">
        <f t="shared" ca="1" si="16"/>
        <v>-</v>
      </c>
      <c r="AJ15" s="46" t="str">
        <f t="shared" ca="1" si="17"/>
        <v>-</v>
      </c>
      <c r="AK15" s="72"/>
      <c r="AL15" s="24">
        <f ca="1">ROUND(FIRE1121_raw!AL15,0)</f>
        <v>16</v>
      </c>
      <c r="AM15" s="24">
        <f ca="1">ROUND(FIRE1121_raw!AM15,0)</f>
        <v>0</v>
      </c>
      <c r="AN15" s="24">
        <f ca="1">ROUND(FIRE1121_raw!AN15,0)</f>
        <v>0</v>
      </c>
      <c r="AO15" s="24">
        <f ca="1">ROUND(FIRE1121_raw!AO15,0)</f>
        <v>0</v>
      </c>
      <c r="AP15" s="24">
        <f ca="1">ROUND(FIRE1121_raw!AP15,0)</f>
        <v>0</v>
      </c>
      <c r="AQ15" s="24">
        <f ca="1">ROUND(FIRE1121_raw!AQ15,0)</f>
        <v>0</v>
      </c>
      <c r="AR15" s="101">
        <f t="shared" ca="1" si="19"/>
        <v>0</v>
      </c>
      <c r="AS15" s="46">
        <f t="shared" ca="1" si="20"/>
        <v>0</v>
      </c>
      <c r="AT15" s="72"/>
      <c r="AU15" s="22">
        <f t="shared" ca="1" si="21"/>
        <v>91</v>
      </c>
      <c r="AV15" s="22">
        <f t="shared" ca="1" si="5"/>
        <v>0</v>
      </c>
      <c r="AW15" s="22">
        <f t="shared" ca="1" si="5"/>
        <v>0</v>
      </c>
      <c r="AX15" s="22">
        <f t="shared" ca="1" si="5"/>
        <v>0</v>
      </c>
      <c r="AY15" s="22">
        <f t="shared" ca="1" si="5"/>
        <v>1</v>
      </c>
      <c r="AZ15" s="22">
        <f t="shared" ca="1" si="5"/>
        <v>6</v>
      </c>
      <c r="BA15" s="101">
        <f t="shared" ca="1" si="22"/>
        <v>1.0869565217391304E-2</v>
      </c>
      <c r="BB15" s="101">
        <f t="shared" ca="1" si="23"/>
        <v>6.1224489795918366E-2</v>
      </c>
      <c r="BC15" s="19"/>
      <c r="BD15" s="19"/>
      <c r="BE15" s="19"/>
      <c r="BF15" s="19"/>
      <c r="BG15" s="19"/>
      <c r="BH15" s="19"/>
      <c r="BI15" s="19"/>
      <c r="BJ15" s="19"/>
      <c r="BK15" s="19"/>
    </row>
    <row r="16" spans="1:64" s="8" customFormat="1" ht="15" customHeight="1" x14ac:dyDescent="0.35">
      <c r="A16" s="2" t="s">
        <v>23</v>
      </c>
      <c r="B16" s="24">
        <f ca="1">ROUND(FIRE1121_raw!B16,0)</f>
        <v>36</v>
      </c>
      <c r="C16" s="24">
        <f ca="1">ROUND(FIRE1121_raw!C16,0)</f>
        <v>0</v>
      </c>
      <c r="D16" s="24">
        <f ca="1">ROUND(FIRE1121_raw!D16,0)</f>
        <v>0</v>
      </c>
      <c r="E16" s="24">
        <f ca="1">ROUND(FIRE1121_raw!E16,0)</f>
        <v>0</v>
      </c>
      <c r="F16" s="24">
        <f ca="1">ROUND(FIRE1121_raw!F16,0)</f>
        <v>0</v>
      </c>
      <c r="G16" s="24">
        <f ca="1">ROUND(FIRE1121_raw!G16,0)</f>
        <v>0</v>
      </c>
      <c r="H16" s="101">
        <f t="shared" ca="1" si="7"/>
        <v>0</v>
      </c>
      <c r="I16" s="46">
        <f t="shared" ca="1" si="8"/>
        <v>0</v>
      </c>
      <c r="J16" s="72"/>
      <c r="K16" s="24">
        <f ca="1">ROUND(FIRE1121_raw!K16,0)</f>
        <v>13</v>
      </c>
      <c r="L16" s="24">
        <f ca="1">ROUND(FIRE1121_raw!L16,0)</f>
        <v>0</v>
      </c>
      <c r="M16" s="24">
        <f ca="1">ROUND(FIRE1121_raw!M16,0)</f>
        <v>0</v>
      </c>
      <c r="N16" s="24">
        <f ca="1">ROUND(FIRE1121_raw!N16,0)</f>
        <v>0</v>
      </c>
      <c r="O16" s="24">
        <f ca="1">ROUND(FIRE1121_raw!O16,0)</f>
        <v>0</v>
      </c>
      <c r="P16" s="24">
        <f ca="1">ROUND(FIRE1121_raw!P16,0)</f>
        <v>0</v>
      </c>
      <c r="Q16" s="101">
        <f t="shared" ca="1" si="10"/>
        <v>0</v>
      </c>
      <c r="R16" s="46">
        <f t="shared" ca="1" si="11"/>
        <v>0</v>
      </c>
      <c r="S16" s="72"/>
      <c r="T16" s="22">
        <f t="shared" ca="1" si="12"/>
        <v>49</v>
      </c>
      <c r="U16" s="22">
        <f t="shared" ca="1" si="2"/>
        <v>0</v>
      </c>
      <c r="V16" s="22">
        <f t="shared" ca="1" si="2"/>
        <v>0</v>
      </c>
      <c r="W16" s="22">
        <f t="shared" ca="1" si="2"/>
        <v>0</v>
      </c>
      <c r="X16" s="22">
        <f t="shared" ca="1" si="2"/>
        <v>0</v>
      </c>
      <c r="Y16" s="22">
        <f t="shared" ca="1" si="2"/>
        <v>0</v>
      </c>
      <c r="Z16" s="101">
        <f t="shared" ca="1" si="13"/>
        <v>0</v>
      </c>
      <c r="AA16" s="101">
        <f t="shared" ca="1" si="14"/>
        <v>0</v>
      </c>
      <c r="AB16" s="24"/>
      <c r="AC16" s="24">
        <f ca="1">ROUND(FIRE1121_raw!AC16,0)</f>
        <v>2</v>
      </c>
      <c r="AD16" s="24">
        <f ca="1">ROUND(FIRE1121_raw!AD16,0)</f>
        <v>0</v>
      </c>
      <c r="AE16" s="24">
        <f ca="1">ROUND(FIRE1121_raw!AE16,0)</f>
        <v>0</v>
      </c>
      <c r="AF16" s="24">
        <f ca="1">ROUND(FIRE1121_raw!AF16,0)</f>
        <v>0</v>
      </c>
      <c r="AG16" s="24">
        <f ca="1">ROUND(FIRE1121_raw!AG16,0)</f>
        <v>0</v>
      </c>
      <c r="AH16" s="24">
        <f ca="1">ROUND(FIRE1121_raw!AH16,0)</f>
        <v>0</v>
      </c>
      <c r="AI16" s="101">
        <f t="shared" ca="1" si="16"/>
        <v>0</v>
      </c>
      <c r="AJ16" s="46">
        <f t="shared" ca="1" si="17"/>
        <v>0</v>
      </c>
      <c r="AK16" s="72"/>
      <c r="AL16" s="24">
        <f ca="1">ROUND(FIRE1121_raw!AL16,0)</f>
        <v>12</v>
      </c>
      <c r="AM16" s="24">
        <f ca="1">ROUND(FIRE1121_raw!AM16,0)</f>
        <v>0</v>
      </c>
      <c r="AN16" s="24">
        <f ca="1">ROUND(FIRE1121_raw!AN16,0)</f>
        <v>0</v>
      </c>
      <c r="AO16" s="24">
        <f ca="1">ROUND(FIRE1121_raw!AO16,0)</f>
        <v>0</v>
      </c>
      <c r="AP16" s="24">
        <f ca="1">ROUND(FIRE1121_raw!AP16,0)</f>
        <v>0</v>
      </c>
      <c r="AQ16" s="24">
        <f ca="1">ROUND(FIRE1121_raw!AQ16,0)</f>
        <v>0</v>
      </c>
      <c r="AR16" s="101">
        <f t="shared" ca="1" si="19"/>
        <v>0</v>
      </c>
      <c r="AS16" s="46">
        <f t="shared" ca="1" si="20"/>
        <v>0</v>
      </c>
      <c r="AT16" s="72"/>
      <c r="AU16" s="22">
        <f t="shared" ca="1" si="21"/>
        <v>63</v>
      </c>
      <c r="AV16" s="22">
        <f t="shared" ca="1" si="5"/>
        <v>0</v>
      </c>
      <c r="AW16" s="22">
        <f t="shared" ca="1" si="5"/>
        <v>0</v>
      </c>
      <c r="AX16" s="22">
        <f t="shared" ca="1" si="5"/>
        <v>0</v>
      </c>
      <c r="AY16" s="22">
        <f t="shared" ca="1" si="5"/>
        <v>0</v>
      </c>
      <c r="AZ16" s="22">
        <f t="shared" ca="1" si="5"/>
        <v>0</v>
      </c>
      <c r="BA16" s="101">
        <f t="shared" ca="1" si="22"/>
        <v>0</v>
      </c>
      <c r="BB16" s="101">
        <f t="shared" ca="1" si="23"/>
        <v>0</v>
      </c>
      <c r="BC16" s="19"/>
      <c r="BD16" s="19"/>
      <c r="BE16" s="19"/>
      <c r="BF16" s="19"/>
      <c r="BG16" s="19"/>
      <c r="BH16" s="19"/>
      <c r="BI16" s="19"/>
      <c r="BJ16" s="19"/>
      <c r="BK16" s="19"/>
    </row>
    <row r="17" spans="1:63" s="8" customFormat="1" ht="15" customHeight="1" x14ac:dyDescent="0.35">
      <c r="A17" s="2" t="s">
        <v>24</v>
      </c>
      <c r="B17" s="24">
        <f ca="1">ROUND(FIRE1121_raw!B17,0)</f>
        <v>10</v>
      </c>
      <c r="C17" s="24">
        <f ca="1">ROUND(FIRE1121_raw!C17,0)</f>
        <v>0</v>
      </c>
      <c r="D17" s="24">
        <f ca="1">ROUND(FIRE1121_raw!D17,0)</f>
        <v>0</v>
      </c>
      <c r="E17" s="24">
        <f ca="1">ROUND(FIRE1121_raw!E17,0)</f>
        <v>1</v>
      </c>
      <c r="F17" s="24">
        <f ca="1">ROUND(FIRE1121_raw!F17,0)</f>
        <v>0</v>
      </c>
      <c r="G17" s="24">
        <f ca="1">ROUND(FIRE1121_raw!G17,0)</f>
        <v>1</v>
      </c>
      <c r="H17" s="101">
        <f t="shared" ca="1" si="7"/>
        <v>9.0909090909090912E-2</v>
      </c>
      <c r="I17" s="46">
        <f t="shared" ca="1" si="8"/>
        <v>8.3333333333333329E-2</v>
      </c>
      <c r="J17" s="72"/>
      <c r="K17" s="24">
        <f ca="1">ROUND(FIRE1121_raw!K17,0)</f>
        <v>18</v>
      </c>
      <c r="L17" s="24">
        <f ca="1">ROUND(FIRE1121_raw!L17,0)</f>
        <v>0</v>
      </c>
      <c r="M17" s="24">
        <f ca="1">ROUND(FIRE1121_raw!M17,0)</f>
        <v>0</v>
      </c>
      <c r="N17" s="24">
        <f ca="1">ROUND(FIRE1121_raw!N17,0)</f>
        <v>0</v>
      </c>
      <c r="O17" s="24">
        <f ca="1">ROUND(FIRE1121_raw!O17,0)</f>
        <v>0</v>
      </c>
      <c r="P17" s="24">
        <f ca="1">ROUND(FIRE1121_raw!P17,0)</f>
        <v>41</v>
      </c>
      <c r="Q17" s="101">
        <f t="shared" ca="1" si="10"/>
        <v>0</v>
      </c>
      <c r="R17" s="46">
        <f t="shared" ca="1" si="11"/>
        <v>0.69491525423728817</v>
      </c>
      <c r="S17" s="72"/>
      <c r="T17" s="22">
        <f t="shared" ca="1" si="12"/>
        <v>28</v>
      </c>
      <c r="U17" s="22">
        <f t="shared" ca="1" si="2"/>
        <v>0</v>
      </c>
      <c r="V17" s="22">
        <f t="shared" ca="1" si="2"/>
        <v>0</v>
      </c>
      <c r="W17" s="22">
        <f t="shared" ca="1" si="2"/>
        <v>1</v>
      </c>
      <c r="X17" s="22">
        <f t="shared" ca="1" si="2"/>
        <v>0</v>
      </c>
      <c r="Y17" s="22">
        <f t="shared" ca="1" si="2"/>
        <v>42</v>
      </c>
      <c r="Z17" s="101">
        <f t="shared" ca="1" si="13"/>
        <v>3.4482758620689655E-2</v>
      </c>
      <c r="AA17" s="101">
        <f t="shared" ca="1" si="14"/>
        <v>0.59154929577464788</v>
      </c>
      <c r="AB17" s="24"/>
      <c r="AC17" s="24">
        <f ca="1">ROUND(FIRE1121_raw!AC17,0)</f>
        <v>1</v>
      </c>
      <c r="AD17" s="24">
        <f ca="1">ROUND(FIRE1121_raw!AD17,0)</f>
        <v>0</v>
      </c>
      <c r="AE17" s="24">
        <f ca="1">ROUND(FIRE1121_raw!AE17,0)</f>
        <v>0</v>
      </c>
      <c r="AF17" s="24">
        <f ca="1">ROUND(FIRE1121_raw!AF17,0)</f>
        <v>0</v>
      </c>
      <c r="AG17" s="24">
        <f ca="1">ROUND(FIRE1121_raw!AG17,0)</f>
        <v>0</v>
      </c>
      <c r="AH17" s="24">
        <f ca="1">ROUND(FIRE1121_raw!AH17,0)</f>
        <v>2</v>
      </c>
      <c r="AI17" s="101">
        <f t="shared" ca="1" si="16"/>
        <v>0</v>
      </c>
      <c r="AJ17" s="46">
        <f t="shared" ca="1" si="17"/>
        <v>0.66666666666666663</v>
      </c>
      <c r="AK17" s="72"/>
      <c r="AL17" s="24">
        <f ca="1">ROUND(FIRE1121_raw!AL17,0)</f>
        <v>2</v>
      </c>
      <c r="AM17" s="24">
        <f ca="1">ROUND(FIRE1121_raw!AM17,0)</f>
        <v>0</v>
      </c>
      <c r="AN17" s="24">
        <f ca="1">ROUND(FIRE1121_raw!AN17,0)</f>
        <v>0</v>
      </c>
      <c r="AO17" s="24">
        <f ca="1">ROUND(FIRE1121_raw!AO17,0)</f>
        <v>0</v>
      </c>
      <c r="AP17" s="24">
        <f ca="1">ROUND(FIRE1121_raw!AP17,0)</f>
        <v>0</v>
      </c>
      <c r="AQ17" s="24">
        <f ca="1">ROUND(FIRE1121_raw!AQ17,0)</f>
        <v>22</v>
      </c>
      <c r="AR17" s="101">
        <f t="shared" ca="1" si="19"/>
        <v>0</v>
      </c>
      <c r="AS17" s="46">
        <f t="shared" ca="1" si="20"/>
        <v>0.91666666666666663</v>
      </c>
      <c r="AT17" s="72"/>
      <c r="AU17" s="22">
        <f t="shared" ca="1" si="21"/>
        <v>31</v>
      </c>
      <c r="AV17" s="22">
        <f t="shared" ca="1" si="5"/>
        <v>0</v>
      </c>
      <c r="AW17" s="22">
        <f t="shared" ca="1" si="5"/>
        <v>0</v>
      </c>
      <c r="AX17" s="22">
        <f t="shared" ca="1" si="5"/>
        <v>1</v>
      </c>
      <c r="AY17" s="22">
        <f t="shared" ca="1" si="5"/>
        <v>0</v>
      </c>
      <c r="AZ17" s="22">
        <f t="shared" ca="1" si="5"/>
        <v>66</v>
      </c>
      <c r="BA17" s="101">
        <f t="shared" ca="1" si="22"/>
        <v>3.125E-2</v>
      </c>
      <c r="BB17" s="101">
        <f t="shared" ca="1" si="23"/>
        <v>0.67346938775510201</v>
      </c>
      <c r="BC17" s="19"/>
      <c r="BD17" s="19"/>
      <c r="BE17" s="19"/>
      <c r="BF17" s="19"/>
      <c r="BG17" s="19"/>
      <c r="BH17" s="19"/>
      <c r="BI17" s="19"/>
      <c r="BJ17" s="19"/>
      <c r="BK17" s="19"/>
    </row>
    <row r="18" spans="1:63" s="8" customFormat="1" ht="15" customHeight="1" x14ac:dyDescent="0.35">
      <c r="A18" s="2" t="s">
        <v>25</v>
      </c>
      <c r="B18" s="24">
        <f ca="1">ROUND(FIRE1121_raw!B18,0)</f>
        <v>2</v>
      </c>
      <c r="C18" s="24">
        <f ca="1">ROUND(FIRE1121_raw!C18,0)</f>
        <v>0</v>
      </c>
      <c r="D18" s="24">
        <f ca="1">ROUND(FIRE1121_raw!D18,0)</f>
        <v>0</v>
      </c>
      <c r="E18" s="24">
        <f ca="1">ROUND(FIRE1121_raw!E18,0)</f>
        <v>0</v>
      </c>
      <c r="F18" s="24">
        <f ca="1">ROUND(FIRE1121_raw!F18,0)</f>
        <v>0</v>
      </c>
      <c r="G18" s="24">
        <f ca="1">ROUND(FIRE1121_raw!G18,0)</f>
        <v>6</v>
      </c>
      <c r="H18" s="101">
        <f t="shared" ca="1" si="7"/>
        <v>0</v>
      </c>
      <c r="I18" s="46">
        <f t="shared" ca="1" si="8"/>
        <v>0.75</v>
      </c>
      <c r="J18" s="72"/>
      <c r="K18" s="24">
        <f ca="1">ROUND(FIRE1121_raw!K18,0)</f>
        <v>2</v>
      </c>
      <c r="L18" s="24">
        <f ca="1">ROUND(FIRE1121_raw!L18,0)</f>
        <v>0</v>
      </c>
      <c r="M18" s="24">
        <f ca="1">ROUND(FIRE1121_raw!M18,0)</f>
        <v>0</v>
      </c>
      <c r="N18" s="24">
        <f ca="1">ROUND(FIRE1121_raw!N18,0)</f>
        <v>0</v>
      </c>
      <c r="O18" s="24">
        <f ca="1">ROUND(FIRE1121_raw!O18,0)</f>
        <v>0</v>
      </c>
      <c r="P18" s="24">
        <f ca="1">ROUND(FIRE1121_raw!P18,0)</f>
        <v>15</v>
      </c>
      <c r="Q18" s="101">
        <f t="shared" ca="1" si="10"/>
        <v>0</v>
      </c>
      <c r="R18" s="46">
        <f t="shared" ca="1" si="11"/>
        <v>0.88235294117647056</v>
      </c>
      <c r="S18" s="72"/>
      <c r="T18" s="22">
        <f t="shared" ca="1" si="12"/>
        <v>4</v>
      </c>
      <c r="U18" s="22">
        <f t="shared" ca="1" si="2"/>
        <v>0</v>
      </c>
      <c r="V18" s="22">
        <f t="shared" ca="1" si="2"/>
        <v>0</v>
      </c>
      <c r="W18" s="22">
        <f t="shared" ca="1" si="2"/>
        <v>0</v>
      </c>
      <c r="X18" s="22">
        <f t="shared" ca="1" si="2"/>
        <v>0</v>
      </c>
      <c r="Y18" s="22">
        <f t="shared" ca="1" si="2"/>
        <v>21</v>
      </c>
      <c r="Z18" s="101">
        <f t="shared" ca="1" si="13"/>
        <v>0</v>
      </c>
      <c r="AA18" s="101">
        <f t="shared" ca="1" si="14"/>
        <v>0.84</v>
      </c>
      <c r="AB18" s="24"/>
      <c r="AC18" s="24">
        <f ca="1">ROUND(FIRE1121_raw!AC18,0)</f>
        <v>0</v>
      </c>
      <c r="AD18" s="24">
        <f ca="1">ROUND(FIRE1121_raw!AD18,0)</f>
        <v>0</v>
      </c>
      <c r="AE18" s="24">
        <f ca="1">ROUND(FIRE1121_raw!AE18,0)</f>
        <v>0</v>
      </c>
      <c r="AF18" s="24">
        <f ca="1">ROUND(FIRE1121_raw!AF18,0)</f>
        <v>0</v>
      </c>
      <c r="AG18" s="24">
        <f ca="1">ROUND(FIRE1121_raw!AG18,0)</f>
        <v>0</v>
      </c>
      <c r="AH18" s="24">
        <f ca="1">ROUND(FIRE1121_raw!AH18,0)</f>
        <v>0</v>
      </c>
      <c r="AI18" s="101" t="str">
        <f t="shared" ca="1" si="16"/>
        <v>-</v>
      </c>
      <c r="AJ18" s="46" t="str">
        <f t="shared" ca="1" si="17"/>
        <v>-</v>
      </c>
      <c r="AK18" s="72"/>
      <c r="AL18" s="24">
        <f ca="1">ROUND(FIRE1121_raw!AL18,0)</f>
        <v>4</v>
      </c>
      <c r="AM18" s="24">
        <f ca="1">ROUND(FIRE1121_raw!AM18,0)</f>
        <v>0</v>
      </c>
      <c r="AN18" s="24">
        <f ca="1">ROUND(FIRE1121_raw!AN18,0)</f>
        <v>0</v>
      </c>
      <c r="AO18" s="24">
        <f ca="1">ROUND(FIRE1121_raw!AO18,0)</f>
        <v>0</v>
      </c>
      <c r="AP18" s="24">
        <f ca="1">ROUND(FIRE1121_raw!AP18,0)</f>
        <v>0</v>
      </c>
      <c r="AQ18" s="24">
        <f ca="1">ROUND(FIRE1121_raw!AQ18,0)</f>
        <v>1</v>
      </c>
      <c r="AR18" s="101">
        <f t="shared" ca="1" si="19"/>
        <v>0</v>
      </c>
      <c r="AS18" s="46">
        <f t="shared" ca="1" si="20"/>
        <v>0.2</v>
      </c>
      <c r="AT18" s="72"/>
      <c r="AU18" s="22">
        <f t="shared" ca="1" si="21"/>
        <v>8</v>
      </c>
      <c r="AV18" s="22">
        <f t="shared" ca="1" si="5"/>
        <v>0</v>
      </c>
      <c r="AW18" s="22">
        <f t="shared" ca="1" si="5"/>
        <v>0</v>
      </c>
      <c r="AX18" s="22">
        <f t="shared" ca="1" si="5"/>
        <v>0</v>
      </c>
      <c r="AY18" s="22">
        <f t="shared" ca="1" si="5"/>
        <v>0</v>
      </c>
      <c r="AZ18" s="22">
        <f t="shared" ca="1" si="5"/>
        <v>22</v>
      </c>
      <c r="BA18" s="101">
        <f t="shared" ca="1" si="22"/>
        <v>0</v>
      </c>
      <c r="BB18" s="101">
        <f t="shared" ca="1" si="23"/>
        <v>0.73333333333333328</v>
      </c>
      <c r="BC18" s="19"/>
      <c r="BD18" s="19"/>
      <c r="BE18" s="19"/>
      <c r="BF18" s="19"/>
      <c r="BG18" s="19"/>
      <c r="BH18" s="19"/>
      <c r="BI18" s="19"/>
      <c r="BJ18" s="19"/>
      <c r="BK18" s="19"/>
    </row>
    <row r="19" spans="1:63" s="8" customFormat="1" ht="15" customHeight="1" x14ac:dyDescent="0.35">
      <c r="A19" s="26" t="s">
        <v>26</v>
      </c>
      <c r="B19" s="24">
        <f ca="1">ROUND(FIRE1121_raw!B19,0)</f>
        <v>28</v>
      </c>
      <c r="C19" s="24">
        <f ca="1">ROUND(FIRE1121_raw!C19,0)</f>
        <v>0</v>
      </c>
      <c r="D19" s="24">
        <f ca="1">ROUND(FIRE1121_raw!D19,0)</f>
        <v>0</v>
      </c>
      <c r="E19" s="24">
        <f ca="1">ROUND(FIRE1121_raw!E19,0)</f>
        <v>0</v>
      </c>
      <c r="F19" s="24">
        <f ca="1">ROUND(FIRE1121_raw!F19,0)</f>
        <v>1</v>
      </c>
      <c r="G19" s="24">
        <f ca="1">ROUND(FIRE1121_raw!G19,0)</f>
        <v>2</v>
      </c>
      <c r="H19" s="101">
        <f t="shared" ca="1" si="7"/>
        <v>3.4482758620689655E-2</v>
      </c>
      <c r="I19" s="46">
        <f t="shared" ca="1" si="8"/>
        <v>6.4516129032258063E-2</v>
      </c>
      <c r="J19" s="72"/>
      <c r="K19" s="24">
        <f ca="1">ROUND(FIRE1121_raw!K19,0)</f>
        <v>30</v>
      </c>
      <c r="L19" s="24">
        <f ca="1">ROUND(FIRE1121_raw!L19,0)</f>
        <v>0</v>
      </c>
      <c r="M19" s="24">
        <f ca="1">ROUND(FIRE1121_raw!M19,0)</f>
        <v>0</v>
      </c>
      <c r="N19" s="24">
        <f ca="1">ROUND(FIRE1121_raw!N19,0)</f>
        <v>0</v>
      </c>
      <c r="O19" s="24">
        <f ca="1">ROUND(FIRE1121_raw!O19,0)</f>
        <v>0</v>
      </c>
      <c r="P19" s="24">
        <f ca="1">ROUND(FIRE1121_raw!P19,0)</f>
        <v>0</v>
      </c>
      <c r="Q19" s="101">
        <f t="shared" ca="1" si="10"/>
        <v>0</v>
      </c>
      <c r="R19" s="46">
        <f t="shared" ca="1" si="11"/>
        <v>0</v>
      </c>
      <c r="S19" s="72"/>
      <c r="T19" s="22">
        <f t="shared" ca="1" si="12"/>
        <v>58</v>
      </c>
      <c r="U19" s="22">
        <f t="shared" ca="1" si="2"/>
        <v>0</v>
      </c>
      <c r="V19" s="22">
        <f t="shared" ca="1" si="2"/>
        <v>0</v>
      </c>
      <c r="W19" s="22">
        <f t="shared" ca="1" si="2"/>
        <v>0</v>
      </c>
      <c r="X19" s="22">
        <f t="shared" ca="1" si="2"/>
        <v>1</v>
      </c>
      <c r="Y19" s="22">
        <f t="shared" ca="1" si="2"/>
        <v>2</v>
      </c>
      <c r="Z19" s="101">
        <f t="shared" ca="1" si="13"/>
        <v>1.6949152542372881E-2</v>
      </c>
      <c r="AA19" s="101">
        <f t="shared" ca="1" si="14"/>
        <v>3.2786885245901641E-2</v>
      </c>
      <c r="AB19" s="24"/>
      <c r="AC19" s="24">
        <f ca="1">ROUND(FIRE1121_raw!AC19,0)</f>
        <v>0</v>
      </c>
      <c r="AD19" s="24">
        <f ca="1">ROUND(FIRE1121_raw!AD19,0)</f>
        <v>0</v>
      </c>
      <c r="AE19" s="24">
        <f ca="1">ROUND(FIRE1121_raw!AE19,0)</f>
        <v>0</v>
      </c>
      <c r="AF19" s="24">
        <f ca="1">ROUND(FIRE1121_raw!AF19,0)</f>
        <v>0</v>
      </c>
      <c r="AG19" s="24">
        <f ca="1">ROUND(FIRE1121_raw!AG19,0)</f>
        <v>0</v>
      </c>
      <c r="AH19" s="24">
        <f ca="1">ROUND(FIRE1121_raw!AH19,0)</f>
        <v>0</v>
      </c>
      <c r="AI19" s="101" t="str">
        <f t="shared" ca="1" si="16"/>
        <v>-</v>
      </c>
      <c r="AJ19" s="46" t="str">
        <f t="shared" ca="1" si="17"/>
        <v>-</v>
      </c>
      <c r="AK19" s="72"/>
      <c r="AL19" s="24">
        <f ca="1">ROUND(FIRE1121_raw!AL19,0)</f>
        <v>27</v>
      </c>
      <c r="AM19" s="24">
        <f ca="1">ROUND(FIRE1121_raw!AM19,0)</f>
        <v>0</v>
      </c>
      <c r="AN19" s="24">
        <f ca="1">ROUND(FIRE1121_raw!AN19,0)</f>
        <v>1</v>
      </c>
      <c r="AO19" s="24">
        <f ca="1">ROUND(FIRE1121_raw!AO19,0)</f>
        <v>0</v>
      </c>
      <c r="AP19" s="24">
        <f ca="1">ROUND(FIRE1121_raw!AP19,0)</f>
        <v>0</v>
      </c>
      <c r="AQ19" s="24">
        <f ca="1">ROUND(FIRE1121_raw!AQ19,0)</f>
        <v>2</v>
      </c>
      <c r="AR19" s="101">
        <f t="shared" ca="1" si="19"/>
        <v>3.5714285714285712E-2</v>
      </c>
      <c r="AS19" s="46">
        <f t="shared" ca="1" si="20"/>
        <v>6.6666666666666666E-2</v>
      </c>
      <c r="AT19" s="72"/>
      <c r="AU19" s="22">
        <f t="shared" ca="1" si="21"/>
        <v>85</v>
      </c>
      <c r="AV19" s="22">
        <f t="shared" ca="1" si="5"/>
        <v>0</v>
      </c>
      <c r="AW19" s="22">
        <f t="shared" ca="1" si="5"/>
        <v>1</v>
      </c>
      <c r="AX19" s="22">
        <f t="shared" ca="1" si="5"/>
        <v>0</v>
      </c>
      <c r="AY19" s="22">
        <f t="shared" ca="1" si="5"/>
        <v>1</v>
      </c>
      <c r="AZ19" s="22">
        <f t="shared" ca="1" si="5"/>
        <v>4</v>
      </c>
      <c r="BA19" s="101">
        <f t="shared" ca="1" si="22"/>
        <v>2.2988505747126436E-2</v>
      </c>
      <c r="BB19" s="101">
        <f t="shared" ca="1" si="23"/>
        <v>4.3956043956043959E-2</v>
      </c>
      <c r="BC19" s="19"/>
      <c r="BD19" s="19"/>
      <c r="BE19" s="19"/>
      <c r="BF19" s="19"/>
      <c r="BG19" s="19"/>
      <c r="BH19" s="19"/>
      <c r="BI19" s="19"/>
      <c r="BJ19" s="19"/>
      <c r="BK19" s="19"/>
    </row>
    <row r="20" spans="1:63" s="8" customFormat="1" ht="15" customHeight="1" x14ac:dyDescent="0.35">
      <c r="A20" s="26" t="s">
        <v>27</v>
      </c>
      <c r="B20" s="24">
        <f ca="1">ROUND(FIRE1121_raw!B20,0)</f>
        <v>4</v>
      </c>
      <c r="C20" s="24">
        <f ca="1">ROUND(FIRE1121_raw!C20,0)</f>
        <v>0</v>
      </c>
      <c r="D20" s="24">
        <f ca="1">ROUND(FIRE1121_raw!D20,0)</f>
        <v>0</v>
      </c>
      <c r="E20" s="24">
        <f ca="1">ROUND(FIRE1121_raw!E20,0)</f>
        <v>0</v>
      </c>
      <c r="F20" s="24">
        <f ca="1">ROUND(FIRE1121_raw!F20,0)</f>
        <v>0</v>
      </c>
      <c r="G20" s="24">
        <f ca="1">ROUND(FIRE1121_raw!G20,0)</f>
        <v>4</v>
      </c>
      <c r="H20" s="101">
        <f t="shared" ca="1" si="7"/>
        <v>0</v>
      </c>
      <c r="I20" s="46">
        <f t="shared" ca="1" si="8"/>
        <v>0.5</v>
      </c>
      <c r="J20" s="72"/>
      <c r="K20" s="24">
        <f ca="1">ROUND(FIRE1121_raw!K20,0)</f>
        <v>123</v>
      </c>
      <c r="L20" s="24">
        <f ca="1">ROUND(FIRE1121_raw!L20,0)</f>
        <v>2</v>
      </c>
      <c r="M20" s="24">
        <f ca="1">ROUND(FIRE1121_raw!M20,0)</f>
        <v>0</v>
      </c>
      <c r="N20" s="24">
        <f ca="1">ROUND(FIRE1121_raw!N20,0)</f>
        <v>0</v>
      </c>
      <c r="O20" s="24">
        <f ca="1">ROUND(FIRE1121_raw!O20,0)</f>
        <v>1</v>
      </c>
      <c r="P20" s="24">
        <f ca="1">ROUND(FIRE1121_raw!P20,0)</f>
        <v>3</v>
      </c>
      <c r="Q20" s="101">
        <f t="shared" ca="1" si="10"/>
        <v>2.3809523809523808E-2</v>
      </c>
      <c r="R20" s="46">
        <f t="shared" ca="1" si="11"/>
        <v>2.3255813953488372E-2</v>
      </c>
      <c r="S20" s="72"/>
      <c r="T20" s="22">
        <f t="shared" ca="1" si="12"/>
        <v>127</v>
      </c>
      <c r="U20" s="22">
        <f t="shared" ca="1" si="2"/>
        <v>2</v>
      </c>
      <c r="V20" s="22">
        <f t="shared" ca="1" si="2"/>
        <v>0</v>
      </c>
      <c r="W20" s="22">
        <f t="shared" ca="1" si="2"/>
        <v>0</v>
      </c>
      <c r="X20" s="22">
        <f t="shared" ca="1" si="2"/>
        <v>1</v>
      </c>
      <c r="Y20" s="22">
        <f t="shared" ca="1" si="2"/>
        <v>7</v>
      </c>
      <c r="Z20" s="101">
        <f t="shared" ca="1" si="13"/>
        <v>2.3076923076923078E-2</v>
      </c>
      <c r="AA20" s="101">
        <f t="shared" ca="1" si="14"/>
        <v>5.1094890510948905E-2</v>
      </c>
      <c r="AB20" s="24"/>
      <c r="AC20" s="24">
        <f ca="1">ROUND(FIRE1121_raw!AC20,0)</f>
        <v>0</v>
      </c>
      <c r="AD20" s="24">
        <f ca="1">ROUND(FIRE1121_raw!AD20,0)</f>
        <v>0</v>
      </c>
      <c r="AE20" s="24">
        <f ca="1">ROUND(FIRE1121_raw!AE20,0)</f>
        <v>0</v>
      </c>
      <c r="AF20" s="24">
        <f ca="1">ROUND(FIRE1121_raw!AF20,0)</f>
        <v>0</v>
      </c>
      <c r="AG20" s="24">
        <f ca="1">ROUND(FIRE1121_raw!AG20,0)</f>
        <v>0</v>
      </c>
      <c r="AH20" s="24">
        <f ca="1">ROUND(FIRE1121_raw!AH20,0)</f>
        <v>0</v>
      </c>
      <c r="AI20" s="101" t="str">
        <f t="shared" ca="1" si="16"/>
        <v>-</v>
      </c>
      <c r="AJ20" s="46" t="str">
        <f t="shared" ca="1" si="17"/>
        <v>-</v>
      </c>
      <c r="AK20" s="72"/>
      <c r="AL20" s="24">
        <f ca="1">ROUND(FIRE1121_raw!AL20,0)</f>
        <v>25</v>
      </c>
      <c r="AM20" s="24">
        <f ca="1">ROUND(FIRE1121_raw!AM20,0)</f>
        <v>0</v>
      </c>
      <c r="AN20" s="24">
        <f ca="1">ROUND(FIRE1121_raw!AN20,0)</f>
        <v>0</v>
      </c>
      <c r="AO20" s="24">
        <f ca="1">ROUND(FIRE1121_raw!AO20,0)</f>
        <v>0</v>
      </c>
      <c r="AP20" s="24">
        <f ca="1">ROUND(FIRE1121_raw!AP20,0)</f>
        <v>0</v>
      </c>
      <c r="AQ20" s="24">
        <f ca="1">ROUND(FIRE1121_raw!AQ20,0)</f>
        <v>2</v>
      </c>
      <c r="AR20" s="101">
        <f t="shared" ca="1" si="19"/>
        <v>0</v>
      </c>
      <c r="AS20" s="46">
        <f t="shared" ca="1" si="20"/>
        <v>7.407407407407407E-2</v>
      </c>
      <c r="AT20" s="72"/>
      <c r="AU20" s="22">
        <f t="shared" ca="1" si="21"/>
        <v>152</v>
      </c>
      <c r="AV20" s="22">
        <f t="shared" ca="1" si="5"/>
        <v>2</v>
      </c>
      <c r="AW20" s="22">
        <f t="shared" ca="1" si="5"/>
        <v>0</v>
      </c>
      <c r="AX20" s="22">
        <f t="shared" ca="1" si="5"/>
        <v>0</v>
      </c>
      <c r="AY20" s="22">
        <f t="shared" ca="1" si="5"/>
        <v>1</v>
      </c>
      <c r="AZ20" s="22">
        <f t="shared" ca="1" si="5"/>
        <v>9</v>
      </c>
      <c r="BA20" s="101">
        <f t="shared" ca="1" si="22"/>
        <v>1.935483870967742E-2</v>
      </c>
      <c r="BB20" s="101">
        <f t="shared" ca="1" si="23"/>
        <v>5.4878048780487805E-2</v>
      </c>
      <c r="BC20" s="19"/>
      <c r="BD20" s="19"/>
      <c r="BE20" s="19"/>
      <c r="BF20" s="19"/>
      <c r="BG20" s="19"/>
      <c r="BH20" s="19"/>
      <c r="BI20" s="19"/>
      <c r="BJ20" s="19"/>
      <c r="BK20" s="19"/>
    </row>
    <row r="21" spans="1:63" s="8" customFormat="1" ht="15" customHeight="1" x14ac:dyDescent="0.35">
      <c r="A21" s="2" t="s">
        <v>28</v>
      </c>
      <c r="B21" s="24">
        <f ca="1">ROUND(FIRE1121_raw!B21,0)</f>
        <v>10</v>
      </c>
      <c r="C21" s="24">
        <f ca="1">ROUND(FIRE1121_raw!C21,0)</f>
        <v>0</v>
      </c>
      <c r="D21" s="24">
        <f ca="1">ROUND(FIRE1121_raw!D21,0)</f>
        <v>0</v>
      </c>
      <c r="E21" s="24">
        <f ca="1">ROUND(FIRE1121_raw!E21,0)</f>
        <v>0</v>
      </c>
      <c r="F21" s="24">
        <f ca="1">ROUND(FIRE1121_raw!F21,0)</f>
        <v>0</v>
      </c>
      <c r="G21" s="24">
        <f ca="1">ROUND(FIRE1121_raw!G21,0)</f>
        <v>22</v>
      </c>
      <c r="H21" s="101">
        <f t="shared" ca="1" si="7"/>
        <v>0</v>
      </c>
      <c r="I21" s="46">
        <f t="shared" ca="1" si="8"/>
        <v>0.6875</v>
      </c>
      <c r="J21" s="96"/>
      <c r="K21" s="24">
        <f ca="1">ROUND(FIRE1121_raw!K21,0)</f>
        <v>60</v>
      </c>
      <c r="L21" s="24">
        <f ca="1">ROUND(FIRE1121_raw!L21,0)</f>
        <v>0</v>
      </c>
      <c r="M21" s="24">
        <f ca="1">ROUND(FIRE1121_raw!M21,0)</f>
        <v>0</v>
      </c>
      <c r="N21" s="24">
        <f ca="1">ROUND(FIRE1121_raw!N21,0)</f>
        <v>0</v>
      </c>
      <c r="O21" s="24">
        <f ca="1">ROUND(FIRE1121_raw!O21,0)</f>
        <v>0</v>
      </c>
      <c r="P21" s="24">
        <f ca="1">ROUND(FIRE1121_raw!P21,0)</f>
        <v>7</v>
      </c>
      <c r="Q21" s="101">
        <f t="shared" ca="1" si="10"/>
        <v>0</v>
      </c>
      <c r="R21" s="46">
        <f t="shared" ca="1" si="11"/>
        <v>0.1044776119402985</v>
      </c>
      <c r="S21" s="72"/>
      <c r="T21" s="22">
        <f t="shared" ca="1" si="12"/>
        <v>70</v>
      </c>
      <c r="U21" s="22">
        <f t="shared" ca="1" si="2"/>
        <v>0</v>
      </c>
      <c r="V21" s="22">
        <f t="shared" ca="1" si="2"/>
        <v>0</v>
      </c>
      <c r="W21" s="22">
        <f t="shared" ca="1" si="2"/>
        <v>0</v>
      </c>
      <c r="X21" s="22">
        <f t="shared" ca="1" si="2"/>
        <v>0</v>
      </c>
      <c r="Y21" s="22">
        <f t="shared" ca="1" si="2"/>
        <v>29</v>
      </c>
      <c r="Z21" s="101">
        <f t="shared" ca="1" si="13"/>
        <v>0</v>
      </c>
      <c r="AA21" s="101">
        <f t="shared" ca="1" si="14"/>
        <v>0.29292929292929293</v>
      </c>
      <c r="AB21" s="24"/>
      <c r="AC21" s="24">
        <f ca="1">ROUND(FIRE1121_raw!AC21,0)</f>
        <v>0</v>
      </c>
      <c r="AD21" s="24">
        <f ca="1">ROUND(FIRE1121_raw!AD21,0)</f>
        <v>0</v>
      </c>
      <c r="AE21" s="24">
        <f ca="1">ROUND(FIRE1121_raw!AE21,0)</f>
        <v>0</v>
      </c>
      <c r="AF21" s="24">
        <f ca="1">ROUND(FIRE1121_raw!AF21,0)</f>
        <v>0</v>
      </c>
      <c r="AG21" s="24">
        <f ca="1">ROUND(FIRE1121_raw!AG21,0)</f>
        <v>0</v>
      </c>
      <c r="AH21" s="24">
        <f ca="1">ROUND(FIRE1121_raw!AH21,0)</f>
        <v>0</v>
      </c>
      <c r="AI21" s="101" t="str">
        <f t="shared" ca="1" si="16"/>
        <v>-</v>
      </c>
      <c r="AJ21" s="46" t="str">
        <f t="shared" ca="1" si="17"/>
        <v>-</v>
      </c>
      <c r="AK21" s="72"/>
      <c r="AL21" s="24">
        <f ca="1">ROUND(FIRE1121_raw!AL21,0)</f>
        <v>51</v>
      </c>
      <c r="AM21" s="24">
        <f ca="1">ROUND(FIRE1121_raw!AM21,0)</f>
        <v>0</v>
      </c>
      <c r="AN21" s="24">
        <f ca="1">ROUND(FIRE1121_raw!AN21,0)</f>
        <v>0</v>
      </c>
      <c r="AO21" s="24">
        <f ca="1">ROUND(FIRE1121_raw!AO21,0)</f>
        <v>0</v>
      </c>
      <c r="AP21" s="24">
        <f ca="1">ROUND(FIRE1121_raw!AP21,0)</f>
        <v>0</v>
      </c>
      <c r="AQ21" s="24">
        <f ca="1">ROUND(FIRE1121_raw!AQ21,0)</f>
        <v>5</v>
      </c>
      <c r="AR21" s="101">
        <f t="shared" ca="1" si="19"/>
        <v>0</v>
      </c>
      <c r="AS21" s="46">
        <f t="shared" ca="1" si="20"/>
        <v>8.9285714285714288E-2</v>
      </c>
      <c r="AT21" s="72"/>
      <c r="AU21" s="22">
        <f t="shared" ca="1" si="21"/>
        <v>121</v>
      </c>
      <c r="AV21" s="22">
        <f t="shared" ca="1" si="5"/>
        <v>0</v>
      </c>
      <c r="AW21" s="22">
        <f t="shared" ca="1" si="5"/>
        <v>0</v>
      </c>
      <c r="AX21" s="22">
        <f t="shared" ca="1" si="5"/>
        <v>0</v>
      </c>
      <c r="AY21" s="22">
        <f t="shared" ca="1" si="5"/>
        <v>0</v>
      </c>
      <c r="AZ21" s="22">
        <f t="shared" ca="1" si="5"/>
        <v>34</v>
      </c>
      <c r="BA21" s="101">
        <f t="shared" ca="1" si="22"/>
        <v>0</v>
      </c>
      <c r="BB21" s="101">
        <f t="shared" ca="1" si="23"/>
        <v>0.21935483870967742</v>
      </c>
      <c r="BC21" s="19"/>
      <c r="BD21" s="19"/>
      <c r="BE21" s="19"/>
      <c r="BF21" s="19"/>
      <c r="BG21" s="19"/>
      <c r="BH21" s="19"/>
      <c r="BI21" s="19"/>
      <c r="BJ21" s="19"/>
      <c r="BK21" s="19"/>
    </row>
    <row r="22" spans="1:63" s="8" customFormat="1" ht="15" customHeight="1" x14ac:dyDescent="0.35">
      <c r="A22" s="2" t="s">
        <v>29</v>
      </c>
      <c r="B22" s="24">
        <f ca="1">ROUND(FIRE1121_raw!B22,0)</f>
        <v>0</v>
      </c>
      <c r="C22" s="24">
        <f ca="1">ROUND(FIRE1121_raw!C22,0)</f>
        <v>0</v>
      </c>
      <c r="D22" s="24">
        <f ca="1">ROUND(FIRE1121_raw!D22,0)</f>
        <v>0</v>
      </c>
      <c r="E22" s="24">
        <f ca="1">ROUND(FIRE1121_raw!E22,0)</f>
        <v>0</v>
      </c>
      <c r="F22" s="24">
        <f ca="1">ROUND(FIRE1121_raw!F22,0)</f>
        <v>0</v>
      </c>
      <c r="G22" s="24">
        <f ca="1">ROUND(FIRE1121_raw!G22,0)</f>
        <v>0</v>
      </c>
      <c r="H22" s="101" t="str">
        <f t="shared" ca="1" si="7"/>
        <v>-</v>
      </c>
      <c r="I22" s="46" t="str">
        <f t="shared" ca="1" si="8"/>
        <v>-</v>
      </c>
      <c r="J22" s="72"/>
      <c r="K22" s="24">
        <f ca="1">ROUND(FIRE1121_raw!K22,0)</f>
        <v>6</v>
      </c>
      <c r="L22" s="24">
        <f ca="1">ROUND(FIRE1121_raw!L22,0)</f>
        <v>0</v>
      </c>
      <c r="M22" s="24">
        <f ca="1">ROUND(FIRE1121_raw!M22,0)</f>
        <v>0</v>
      </c>
      <c r="N22" s="24">
        <f ca="1">ROUND(FIRE1121_raw!N22,0)</f>
        <v>0</v>
      </c>
      <c r="O22" s="24">
        <f ca="1">ROUND(FIRE1121_raw!O22,0)</f>
        <v>0</v>
      </c>
      <c r="P22" s="24">
        <f ca="1">ROUND(FIRE1121_raw!P22,0)</f>
        <v>16</v>
      </c>
      <c r="Q22" s="101">
        <f t="shared" ca="1" si="10"/>
        <v>0</v>
      </c>
      <c r="R22" s="46">
        <f t="shared" ca="1" si="11"/>
        <v>0.72727272727272729</v>
      </c>
      <c r="S22" s="72"/>
      <c r="T22" s="22">
        <f t="shared" ca="1" si="12"/>
        <v>6</v>
      </c>
      <c r="U22" s="22">
        <f t="shared" ca="1" si="2"/>
        <v>0</v>
      </c>
      <c r="V22" s="22">
        <f t="shared" ca="1" si="2"/>
        <v>0</v>
      </c>
      <c r="W22" s="22">
        <f t="shared" ca="1" si="2"/>
        <v>0</v>
      </c>
      <c r="X22" s="22">
        <f t="shared" ca="1" si="2"/>
        <v>0</v>
      </c>
      <c r="Y22" s="22">
        <f t="shared" ca="1" si="2"/>
        <v>16</v>
      </c>
      <c r="Z22" s="101">
        <f t="shared" ca="1" si="13"/>
        <v>0</v>
      </c>
      <c r="AA22" s="101">
        <f t="shared" ca="1" si="14"/>
        <v>0.72727272727272729</v>
      </c>
      <c r="AB22" s="24"/>
      <c r="AC22" s="24">
        <f ca="1">ROUND(FIRE1121_raw!AC22,0)</f>
        <v>0</v>
      </c>
      <c r="AD22" s="24">
        <f ca="1">ROUND(FIRE1121_raw!AD22,0)</f>
        <v>0</v>
      </c>
      <c r="AE22" s="24">
        <f ca="1">ROUND(FIRE1121_raw!AE22,0)</f>
        <v>0</v>
      </c>
      <c r="AF22" s="24">
        <f ca="1">ROUND(FIRE1121_raw!AF22,0)</f>
        <v>0</v>
      </c>
      <c r="AG22" s="24">
        <f ca="1">ROUND(FIRE1121_raw!AG22,0)</f>
        <v>0</v>
      </c>
      <c r="AH22" s="24">
        <f ca="1">ROUND(FIRE1121_raw!AH22,0)</f>
        <v>0</v>
      </c>
      <c r="AI22" s="101" t="str">
        <f t="shared" ca="1" si="16"/>
        <v>-</v>
      </c>
      <c r="AJ22" s="46" t="str">
        <f t="shared" ca="1" si="17"/>
        <v>-</v>
      </c>
      <c r="AK22" s="72"/>
      <c r="AL22" s="24">
        <f ca="1">ROUND(FIRE1121_raw!AL22,0)</f>
        <v>3</v>
      </c>
      <c r="AM22" s="24">
        <f ca="1">ROUND(FIRE1121_raw!AM22,0)</f>
        <v>0</v>
      </c>
      <c r="AN22" s="24">
        <f ca="1">ROUND(FIRE1121_raw!AN22,0)</f>
        <v>0</v>
      </c>
      <c r="AO22" s="24">
        <f ca="1">ROUND(FIRE1121_raw!AO22,0)</f>
        <v>0</v>
      </c>
      <c r="AP22" s="24">
        <f ca="1">ROUND(FIRE1121_raw!AP22,0)</f>
        <v>0</v>
      </c>
      <c r="AQ22" s="24">
        <f ca="1">ROUND(FIRE1121_raw!AQ22,0)</f>
        <v>8</v>
      </c>
      <c r="AR22" s="101">
        <f t="shared" ca="1" si="19"/>
        <v>0</v>
      </c>
      <c r="AS22" s="46">
        <f t="shared" ca="1" si="20"/>
        <v>0.72727272727272729</v>
      </c>
      <c r="AT22" s="72"/>
      <c r="AU22" s="22">
        <f t="shared" ca="1" si="21"/>
        <v>9</v>
      </c>
      <c r="AV22" s="22">
        <f t="shared" ca="1" si="5"/>
        <v>0</v>
      </c>
      <c r="AW22" s="22">
        <f t="shared" ca="1" si="5"/>
        <v>0</v>
      </c>
      <c r="AX22" s="22">
        <f t="shared" ca="1" si="5"/>
        <v>0</v>
      </c>
      <c r="AY22" s="22">
        <f t="shared" ca="1" si="5"/>
        <v>0</v>
      </c>
      <c r="AZ22" s="22">
        <f t="shared" ca="1" si="5"/>
        <v>24</v>
      </c>
      <c r="BA22" s="101">
        <f t="shared" ca="1" si="22"/>
        <v>0</v>
      </c>
      <c r="BB22" s="101">
        <f t="shared" ca="1" si="23"/>
        <v>0.72727272727272729</v>
      </c>
      <c r="BC22" s="19"/>
      <c r="BD22" s="19"/>
      <c r="BE22" s="19"/>
      <c r="BF22" s="19"/>
      <c r="BG22" s="19"/>
      <c r="BH22" s="19"/>
      <c r="BI22" s="19"/>
      <c r="BJ22" s="19"/>
      <c r="BK22" s="19"/>
    </row>
    <row r="23" spans="1:63" s="8" customFormat="1" ht="15" customHeight="1" x14ac:dyDescent="0.35">
      <c r="A23" s="2" t="s">
        <v>30</v>
      </c>
      <c r="B23" s="24">
        <f ca="1">ROUND(FIRE1121_raw!B23,0)</f>
        <v>2</v>
      </c>
      <c r="C23" s="24">
        <f ca="1">ROUND(FIRE1121_raw!C23,0)</f>
        <v>0</v>
      </c>
      <c r="D23" s="24">
        <f ca="1">ROUND(FIRE1121_raw!D23,0)</f>
        <v>0</v>
      </c>
      <c r="E23" s="24">
        <f ca="1">ROUND(FIRE1121_raw!E23,0)</f>
        <v>0</v>
      </c>
      <c r="F23" s="24">
        <f ca="1">ROUND(FIRE1121_raw!F23,0)</f>
        <v>0</v>
      </c>
      <c r="G23" s="24">
        <f ca="1">ROUND(FIRE1121_raw!G23,0)</f>
        <v>0</v>
      </c>
      <c r="H23" s="101">
        <f t="shared" ca="1" si="7"/>
        <v>0</v>
      </c>
      <c r="I23" s="46">
        <f t="shared" ca="1" si="8"/>
        <v>0</v>
      </c>
      <c r="J23" s="72"/>
      <c r="K23" s="24">
        <f ca="1">ROUND(FIRE1121_raw!K23,0)</f>
        <v>26</v>
      </c>
      <c r="L23" s="24">
        <f ca="1">ROUND(FIRE1121_raw!L23,0)</f>
        <v>1</v>
      </c>
      <c r="M23" s="24">
        <f ca="1">ROUND(FIRE1121_raw!M23,0)</f>
        <v>0</v>
      </c>
      <c r="N23" s="24">
        <f ca="1">ROUND(FIRE1121_raw!N23,0)</f>
        <v>0</v>
      </c>
      <c r="O23" s="24">
        <f ca="1">ROUND(FIRE1121_raw!O23,0)</f>
        <v>0</v>
      </c>
      <c r="P23" s="24">
        <f ca="1">ROUND(FIRE1121_raw!P23,0)</f>
        <v>0</v>
      </c>
      <c r="Q23" s="101">
        <f t="shared" ca="1" si="10"/>
        <v>3.7037037037037035E-2</v>
      </c>
      <c r="R23" s="46">
        <f t="shared" ca="1" si="11"/>
        <v>0</v>
      </c>
      <c r="S23" s="72"/>
      <c r="T23" s="22">
        <f t="shared" ca="1" si="12"/>
        <v>28</v>
      </c>
      <c r="U23" s="22">
        <f t="shared" ca="1" si="2"/>
        <v>1</v>
      </c>
      <c r="V23" s="22">
        <f t="shared" ca="1" si="2"/>
        <v>0</v>
      </c>
      <c r="W23" s="22">
        <f t="shared" ca="1" si="2"/>
        <v>0</v>
      </c>
      <c r="X23" s="22">
        <f t="shared" ca="1" si="2"/>
        <v>0</v>
      </c>
      <c r="Y23" s="22">
        <f t="shared" ca="1" si="2"/>
        <v>0</v>
      </c>
      <c r="Z23" s="101">
        <f t="shared" ca="1" si="13"/>
        <v>3.4482758620689655E-2</v>
      </c>
      <c r="AA23" s="101">
        <f t="shared" ca="1" si="14"/>
        <v>0</v>
      </c>
      <c r="AB23" s="24"/>
      <c r="AC23" s="24">
        <f ca="1">ROUND(FIRE1121_raw!AC23,0)</f>
        <v>2</v>
      </c>
      <c r="AD23" s="24">
        <f ca="1">ROUND(FIRE1121_raw!AD23,0)</f>
        <v>0</v>
      </c>
      <c r="AE23" s="24">
        <f ca="1">ROUND(FIRE1121_raw!AE23,0)</f>
        <v>0</v>
      </c>
      <c r="AF23" s="24">
        <f ca="1">ROUND(FIRE1121_raw!AF23,0)</f>
        <v>0</v>
      </c>
      <c r="AG23" s="24">
        <f ca="1">ROUND(FIRE1121_raw!AG23,0)</f>
        <v>0</v>
      </c>
      <c r="AH23" s="24">
        <f ca="1">ROUND(FIRE1121_raw!AH23,0)</f>
        <v>0</v>
      </c>
      <c r="AI23" s="101">
        <f t="shared" ca="1" si="16"/>
        <v>0</v>
      </c>
      <c r="AJ23" s="46">
        <f t="shared" ca="1" si="17"/>
        <v>0</v>
      </c>
      <c r="AK23" s="72"/>
      <c r="AL23" s="24">
        <f ca="1">ROUND(FIRE1121_raw!AL23,0)</f>
        <v>23</v>
      </c>
      <c r="AM23" s="24">
        <f ca="1">ROUND(FIRE1121_raw!AM23,0)</f>
        <v>0</v>
      </c>
      <c r="AN23" s="24">
        <f ca="1">ROUND(FIRE1121_raw!AN23,0)</f>
        <v>0</v>
      </c>
      <c r="AO23" s="24">
        <f ca="1">ROUND(FIRE1121_raw!AO23,0)</f>
        <v>1</v>
      </c>
      <c r="AP23" s="24">
        <f ca="1">ROUND(FIRE1121_raw!AP23,0)</f>
        <v>0</v>
      </c>
      <c r="AQ23" s="24">
        <f ca="1">ROUND(FIRE1121_raw!AQ23,0)</f>
        <v>2</v>
      </c>
      <c r="AR23" s="101">
        <f t="shared" ca="1" si="19"/>
        <v>4.1666666666666664E-2</v>
      </c>
      <c r="AS23" s="46">
        <f t="shared" ca="1" si="20"/>
        <v>7.6923076923076927E-2</v>
      </c>
      <c r="AT23" s="72"/>
      <c r="AU23" s="22">
        <f t="shared" ca="1" si="21"/>
        <v>53</v>
      </c>
      <c r="AV23" s="22">
        <f t="shared" ca="1" si="5"/>
        <v>1</v>
      </c>
      <c r="AW23" s="22">
        <f t="shared" ca="1" si="5"/>
        <v>0</v>
      </c>
      <c r="AX23" s="22">
        <f t="shared" ca="1" si="5"/>
        <v>1</v>
      </c>
      <c r="AY23" s="22">
        <f t="shared" ca="1" si="5"/>
        <v>0</v>
      </c>
      <c r="AZ23" s="22">
        <f t="shared" ca="1" si="5"/>
        <v>2</v>
      </c>
      <c r="BA23" s="101">
        <f t="shared" ca="1" si="22"/>
        <v>3.6363636363636362E-2</v>
      </c>
      <c r="BB23" s="101">
        <f t="shared" ca="1" si="23"/>
        <v>3.5087719298245612E-2</v>
      </c>
      <c r="BC23" s="19"/>
      <c r="BD23" s="19"/>
      <c r="BE23" s="19"/>
      <c r="BF23" s="19"/>
      <c r="BG23" s="19"/>
      <c r="BH23" s="19"/>
      <c r="BI23" s="19"/>
      <c r="BJ23" s="19"/>
      <c r="BK23" s="19"/>
    </row>
    <row r="24" spans="1:63" s="8" customFormat="1" ht="15" customHeight="1" x14ac:dyDescent="0.35">
      <c r="A24" s="2" t="s">
        <v>31</v>
      </c>
      <c r="B24" s="24">
        <f ca="1">ROUND(FIRE1121_raw!B24,0)</f>
        <v>33</v>
      </c>
      <c r="C24" s="24">
        <f ca="1">ROUND(FIRE1121_raw!C24,0)</f>
        <v>0</v>
      </c>
      <c r="D24" s="24">
        <f ca="1">ROUND(FIRE1121_raw!D24,0)</f>
        <v>1</v>
      </c>
      <c r="E24" s="24">
        <f ca="1">ROUND(FIRE1121_raw!E24,0)</f>
        <v>0</v>
      </c>
      <c r="F24" s="24">
        <f ca="1">ROUND(FIRE1121_raw!F24,0)</f>
        <v>0</v>
      </c>
      <c r="G24" s="24">
        <f ca="1">ROUND(FIRE1121_raw!G24,0)</f>
        <v>23</v>
      </c>
      <c r="H24" s="101">
        <f t="shared" ca="1" si="7"/>
        <v>2.9411764705882353E-2</v>
      </c>
      <c r="I24" s="46">
        <f t="shared" ca="1" si="8"/>
        <v>0.40350877192982454</v>
      </c>
      <c r="J24" s="72"/>
      <c r="K24" s="24">
        <f ca="1">ROUND(FIRE1121_raw!K24,0)</f>
        <v>32</v>
      </c>
      <c r="L24" s="24">
        <f ca="1">ROUND(FIRE1121_raw!L24,0)</f>
        <v>0</v>
      </c>
      <c r="M24" s="24">
        <f ca="1">ROUND(FIRE1121_raw!M24,0)</f>
        <v>0</v>
      </c>
      <c r="N24" s="24">
        <f ca="1">ROUND(FIRE1121_raw!N24,0)</f>
        <v>1</v>
      </c>
      <c r="O24" s="24">
        <f ca="1">ROUND(FIRE1121_raw!O24,0)</f>
        <v>0</v>
      </c>
      <c r="P24" s="24">
        <f ca="1">ROUND(FIRE1121_raw!P24,0)</f>
        <v>29</v>
      </c>
      <c r="Q24" s="101">
        <f t="shared" ca="1" si="10"/>
        <v>3.0303030303030304E-2</v>
      </c>
      <c r="R24" s="46">
        <f t="shared" ca="1" si="11"/>
        <v>0.46774193548387094</v>
      </c>
      <c r="S24" s="72"/>
      <c r="T24" s="22">
        <f t="shared" ca="1" si="12"/>
        <v>65</v>
      </c>
      <c r="U24" s="22">
        <f t="shared" ca="1" si="12"/>
        <v>0</v>
      </c>
      <c r="V24" s="22">
        <f t="shared" ca="1" si="12"/>
        <v>1</v>
      </c>
      <c r="W24" s="22">
        <f t="shared" ca="1" si="12"/>
        <v>1</v>
      </c>
      <c r="X24" s="22">
        <f t="shared" ca="1" si="12"/>
        <v>0</v>
      </c>
      <c r="Y24" s="22">
        <f t="shared" ca="1" si="12"/>
        <v>52</v>
      </c>
      <c r="Z24" s="101">
        <f t="shared" ca="1" si="13"/>
        <v>2.9850746268656716E-2</v>
      </c>
      <c r="AA24" s="101">
        <f t="shared" ca="1" si="14"/>
        <v>0.43697478991596639</v>
      </c>
      <c r="AB24" s="24"/>
      <c r="AC24" s="24">
        <f ca="1">ROUND(FIRE1121_raw!AC24,0)</f>
        <v>1</v>
      </c>
      <c r="AD24" s="24">
        <f ca="1">ROUND(FIRE1121_raw!AD24,0)</f>
        <v>0</v>
      </c>
      <c r="AE24" s="24">
        <f ca="1">ROUND(FIRE1121_raw!AE24,0)</f>
        <v>0</v>
      </c>
      <c r="AF24" s="24">
        <f ca="1">ROUND(FIRE1121_raw!AF24,0)</f>
        <v>0</v>
      </c>
      <c r="AG24" s="24">
        <f ca="1">ROUND(FIRE1121_raw!AG24,0)</f>
        <v>0</v>
      </c>
      <c r="AH24" s="24">
        <f ca="1">ROUND(FIRE1121_raw!AH24,0)</f>
        <v>2</v>
      </c>
      <c r="AI24" s="101">
        <f t="shared" ca="1" si="16"/>
        <v>0</v>
      </c>
      <c r="AJ24" s="46">
        <f t="shared" ca="1" si="17"/>
        <v>0.66666666666666663</v>
      </c>
      <c r="AK24" s="72"/>
      <c r="AL24" s="24">
        <f ca="1">ROUND(FIRE1121_raw!AL24,0)</f>
        <v>15</v>
      </c>
      <c r="AM24" s="24">
        <f ca="1">ROUND(FIRE1121_raw!AM24,0)</f>
        <v>0</v>
      </c>
      <c r="AN24" s="24">
        <f ca="1">ROUND(FIRE1121_raw!AN24,0)</f>
        <v>0</v>
      </c>
      <c r="AO24" s="24">
        <f ca="1">ROUND(FIRE1121_raw!AO24,0)</f>
        <v>0</v>
      </c>
      <c r="AP24" s="24">
        <f ca="1">ROUND(FIRE1121_raw!AP24,0)</f>
        <v>0</v>
      </c>
      <c r="AQ24" s="24">
        <f ca="1">ROUND(FIRE1121_raw!AQ24,0)</f>
        <v>16</v>
      </c>
      <c r="AR24" s="101">
        <f t="shared" ca="1" si="19"/>
        <v>0</v>
      </c>
      <c r="AS24" s="46">
        <f t="shared" ca="1" si="20"/>
        <v>0.5161290322580645</v>
      </c>
      <c r="AT24" s="72"/>
      <c r="AU24" s="22">
        <f t="shared" ca="1" si="21"/>
        <v>81</v>
      </c>
      <c r="AV24" s="22">
        <f t="shared" ca="1" si="21"/>
        <v>0</v>
      </c>
      <c r="AW24" s="22">
        <f t="shared" ca="1" si="21"/>
        <v>1</v>
      </c>
      <c r="AX24" s="22">
        <f t="shared" ca="1" si="21"/>
        <v>1</v>
      </c>
      <c r="AY24" s="22">
        <f t="shared" ca="1" si="21"/>
        <v>0</v>
      </c>
      <c r="AZ24" s="22">
        <f t="shared" ca="1" si="21"/>
        <v>70</v>
      </c>
      <c r="BA24" s="101">
        <f t="shared" ca="1" si="22"/>
        <v>2.4096385542168676E-2</v>
      </c>
      <c r="BB24" s="101">
        <f t="shared" ca="1" si="23"/>
        <v>0.45751633986928103</v>
      </c>
      <c r="BC24" s="19"/>
      <c r="BD24" s="19"/>
      <c r="BE24" s="19"/>
      <c r="BF24" s="19"/>
      <c r="BG24" s="19"/>
      <c r="BH24" s="19"/>
      <c r="BI24" s="19"/>
      <c r="BJ24" s="19"/>
      <c r="BK24" s="19"/>
    </row>
    <row r="25" spans="1:63" s="8" customFormat="1" ht="15" customHeight="1" x14ac:dyDescent="0.35">
      <c r="A25" s="2" t="s">
        <v>32</v>
      </c>
      <c r="B25" s="24">
        <f ca="1">ROUND(FIRE1121_raw!B25,0)</f>
        <v>7</v>
      </c>
      <c r="C25" s="24">
        <f ca="1">ROUND(FIRE1121_raw!C25,0)</f>
        <v>0</v>
      </c>
      <c r="D25" s="24">
        <f ca="1">ROUND(FIRE1121_raw!D25,0)</f>
        <v>0</v>
      </c>
      <c r="E25" s="24">
        <f ca="1">ROUND(FIRE1121_raw!E25,0)</f>
        <v>0</v>
      </c>
      <c r="F25" s="24">
        <f ca="1">ROUND(FIRE1121_raw!F25,0)</f>
        <v>0</v>
      </c>
      <c r="G25" s="24">
        <f ca="1">ROUND(FIRE1121_raw!G25,0)</f>
        <v>0</v>
      </c>
      <c r="H25" s="101">
        <f t="shared" ca="1" si="7"/>
        <v>0</v>
      </c>
      <c r="I25" s="46">
        <f t="shared" ca="1" si="8"/>
        <v>0</v>
      </c>
      <c r="J25" s="72"/>
      <c r="K25" s="24">
        <f ca="1">ROUND(FIRE1121_raw!K25,0)</f>
        <v>29</v>
      </c>
      <c r="L25" s="24">
        <f ca="1">ROUND(FIRE1121_raw!L25,0)</f>
        <v>0</v>
      </c>
      <c r="M25" s="24">
        <f ca="1">ROUND(FIRE1121_raw!M25,0)</f>
        <v>1</v>
      </c>
      <c r="N25" s="24">
        <f ca="1">ROUND(FIRE1121_raw!N25,0)</f>
        <v>0</v>
      </c>
      <c r="O25" s="24">
        <f ca="1">ROUND(FIRE1121_raw!O25,0)</f>
        <v>0</v>
      </c>
      <c r="P25" s="24">
        <f ca="1">ROUND(FIRE1121_raw!P25,0)</f>
        <v>21</v>
      </c>
      <c r="Q25" s="101">
        <f t="shared" ca="1" si="10"/>
        <v>3.3333333333333333E-2</v>
      </c>
      <c r="R25" s="46">
        <f t="shared" ca="1" si="11"/>
        <v>0.41176470588235292</v>
      </c>
      <c r="S25" s="72"/>
      <c r="T25" s="22">
        <f t="shared" ca="1" si="12"/>
        <v>36</v>
      </c>
      <c r="U25" s="22">
        <f t="shared" ca="1" si="12"/>
        <v>0</v>
      </c>
      <c r="V25" s="22">
        <f t="shared" ca="1" si="12"/>
        <v>1</v>
      </c>
      <c r="W25" s="22">
        <f t="shared" ca="1" si="12"/>
        <v>0</v>
      </c>
      <c r="X25" s="22">
        <f t="shared" ca="1" si="12"/>
        <v>0</v>
      </c>
      <c r="Y25" s="22">
        <f t="shared" ca="1" si="12"/>
        <v>21</v>
      </c>
      <c r="Z25" s="101">
        <f t="shared" ca="1" si="13"/>
        <v>2.7027027027027029E-2</v>
      </c>
      <c r="AA25" s="101">
        <f t="shared" ca="1" si="14"/>
        <v>0.36206896551724138</v>
      </c>
      <c r="AB25" s="24"/>
      <c r="AC25" s="24">
        <f ca="1">ROUND(FIRE1121_raw!AC25,0)</f>
        <v>0</v>
      </c>
      <c r="AD25" s="24">
        <f ca="1">ROUND(FIRE1121_raw!AD25,0)</f>
        <v>0</v>
      </c>
      <c r="AE25" s="24">
        <f ca="1">ROUND(FIRE1121_raw!AE25,0)</f>
        <v>0</v>
      </c>
      <c r="AF25" s="24">
        <f ca="1">ROUND(FIRE1121_raw!AF25,0)</f>
        <v>0</v>
      </c>
      <c r="AG25" s="24">
        <f ca="1">ROUND(FIRE1121_raw!AG25,0)</f>
        <v>0</v>
      </c>
      <c r="AH25" s="24">
        <f ca="1">ROUND(FIRE1121_raw!AH25,0)</f>
        <v>0</v>
      </c>
      <c r="AI25" s="101" t="str">
        <f t="shared" ca="1" si="16"/>
        <v>-</v>
      </c>
      <c r="AJ25" s="46" t="str">
        <f t="shared" ca="1" si="17"/>
        <v>-</v>
      </c>
      <c r="AK25" s="72"/>
      <c r="AL25" s="24">
        <f ca="1">ROUND(FIRE1121_raw!AL25,0)</f>
        <v>5</v>
      </c>
      <c r="AM25" s="24">
        <f ca="1">ROUND(FIRE1121_raw!AM25,0)</f>
        <v>0</v>
      </c>
      <c r="AN25" s="24">
        <f ca="1">ROUND(FIRE1121_raw!AN25,0)</f>
        <v>0</v>
      </c>
      <c r="AO25" s="24">
        <f ca="1">ROUND(FIRE1121_raw!AO25,0)</f>
        <v>0</v>
      </c>
      <c r="AP25" s="24">
        <f ca="1">ROUND(FIRE1121_raw!AP25,0)</f>
        <v>0</v>
      </c>
      <c r="AQ25" s="24">
        <f ca="1">ROUND(FIRE1121_raw!AQ25,0)</f>
        <v>0</v>
      </c>
      <c r="AR25" s="101">
        <f t="shared" ca="1" si="19"/>
        <v>0</v>
      </c>
      <c r="AS25" s="46">
        <f t="shared" ca="1" si="20"/>
        <v>0</v>
      </c>
      <c r="AT25" s="72"/>
      <c r="AU25" s="22">
        <f t="shared" ca="1" si="21"/>
        <v>41</v>
      </c>
      <c r="AV25" s="22">
        <f t="shared" ca="1" si="21"/>
        <v>0</v>
      </c>
      <c r="AW25" s="22">
        <f t="shared" ca="1" si="21"/>
        <v>1</v>
      </c>
      <c r="AX25" s="22">
        <f t="shared" ca="1" si="21"/>
        <v>0</v>
      </c>
      <c r="AY25" s="22">
        <f t="shared" ca="1" si="21"/>
        <v>0</v>
      </c>
      <c r="AZ25" s="22">
        <f t="shared" ca="1" si="21"/>
        <v>21</v>
      </c>
      <c r="BA25" s="101">
        <f t="shared" ca="1" si="22"/>
        <v>2.3809523809523808E-2</v>
      </c>
      <c r="BB25" s="101">
        <f t="shared" ca="1" si="23"/>
        <v>0.33333333333333331</v>
      </c>
      <c r="BC25" s="19"/>
      <c r="BD25" s="19"/>
      <c r="BE25" s="19"/>
      <c r="BF25" s="19"/>
      <c r="BG25" s="19"/>
      <c r="BH25" s="19"/>
      <c r="BI25" s="19"/>
      <c r="BJ25" s="19"/>
      <c r="BK25" s="19"/>
    </row>
    <row r="26" spans="1:63" s="8" customFormat="1" ht="15" customHeight="1" x14ac:dyDescent="0.35">
      <c r="A26" s="2" t="s">
        <v>33</v>
      </c>
      <c r="B26" s="24">
        <f ca="1">ROUND(FIRE1121_raw!B26,0)</f>
        <v>37</v>
      </c>
      <c r="C26" s="24">
        <f ca="1">ROUND(FIRE1121_raw!C26,0)</f>
        <v>0</v>
      </c>
      <c r="D26" s="24">
        <f ca="1">ROUND(FIRE1121_raw!D26,0)</f>
        <v>0</v>
      </c>
      <c r="E26" s="24">
        <f ca="1">ROUND(FIRE1121_raw!E26,0)</f>
        <v>0</v>
      </c>
      <c r="F26" s="24">
        <f ca="1">ROUND(FIRE1121_raw!F26,0)</f>
        <v>0</v>
      </c>
      <c r="G26" s="24">
        <f ca="1">ROUND(FIRE1121_raw!G26,0)</f>
        <v>22</v>
      </c>
      <c r="H26" s="101">
        <f t="shared" ca="1" si="7"/>
        <v>0</v>
      </c>
      <c r="I26" s="46">
        <f t="shared" ca="1" si="8"/>
        <v>0.3728813559322034</v>
      </c>
      <c r="J26" s="72"/>
      <c r="K26" s="24">
        <f ca="1">ROUND(FIRE1121_raw!K26,0)</f>
        <v>104</v>
      </c>
      <c r="L26" s="24">
        <f ca="1">ROUND(FIRE1121_raw!L26,0)</f>
        <v>0</v>
      </c>
      <c r="M26" s="24">
        <f ca="1">ROUND(FIRE1121_raw!M26,0)</f>
        <v>0</v>
      </c>
      <c r="N26" s="24">
        <f ca="1">ROUND(FIRE1121_raw!N26,0)</f>
        <v>1</v>
      </c>
      <c r="O26" s="24">
        <f ca="1">ROUND(FIRE1121_raw!O26,0)</f>
        <v>0</v>
      </c>
      <c r="P26" s="24">
        <f ca="1">ROUND(FIRE1121_raw!P26,0)</f>
        <v>5</v>
      </c>
      <c r="Q26" s="101">
        <f t="shared" ca="1" si="10"/>
        <v>9.5238095238095247E-3</v>
      </c>
      <c r="R26" s="46">
        <f t="shared" ca="1" si="11"/>
        <v>4.5454545454545456E-2</v>
      </c>
      <c r="S26" s="72"/>
      <c r="T26" s="22">
        <f t="shared" ca="1" si="12"/>
        <v>141</v>
      </c>
      <c r="U26" s="22">
        <f t="shared" ca="1" si="12"/>
        <v>0</v>
      </c>
      <c r="V26" s="22">
        <f t="shared" ca="1" si="12"/>
        <v>0</v>
      </c>
      <c r="W26" s="22">
        <f t="shared" ca="1" si="12"/>
        <v>1</v>
      </c>
      <c r="X26" s="22">
        <f t="shared" ca="1" si="12"/>
        <v>0</v>
      </c>
      <c r="Y26" s="22">
        <f t="shared" ca="1" si="12"/>
        <v>27</v>
      </c>
      <c r="Z26" s="101">
        <f t="shared" ca="1" si="13"/>
        <v>7.0422535211267607E-3</v>
      </c>
      <c r="AA26" s="101">
        <f t="shared" ca="1" si="14"/>
        <v>0.15976331360946747</v>
      </c>
      <c r="AB26" s="24"/>
      <c r="AC26" s="24">
        <f ca="1">ROUND(FIRE1121_raw!AC26,0)</f>
        <v>3</v>
      </c>
      <c r="AD26" s="24">
        <f ca="1">ROUND(FIRE1121_raw!AD26,0)</f>
        <v>0</v>
      </c>
      <c r="AE26" s="24">
        <f ca="1">ROUND(FIRE1121_raw!AE26,0)</f>
        <v>0</v>
      </c>
      <c r="AF26" s="24">
        <f ca="1">ROUND(FIRE1121_raw!AF26,0)</f>
        <v>0</v>
      </c>
      <c r="AG26" s="24">
        <f ca="1">ROUND(FIRE1121_raw!AG26,0)</f>
        <v>0</v>
      </c>
      <c r="AH26" s="24">
        <f ca="1">ROUND(FIRE1121_raw!AH26,0)</f>
        <v>0</v>
      </c>
      <c r="AI26" s="101">
        <f t="shared" ca="1" si="16"/>
        <v>0</v>
      </c>
      <c r="AJ26" s="46">
        <f t="shared" ca="1" si="17"/>
        <v>0</v>
      </c>
      <c r="AK26" s="72"/>
      <c r="AL26" s="24">
        <f ca="1">ROUND(FIRE1121_raw!AL26,0)</f>
        <v>26</v>
      </c>
      <c r="AM26" s="24">
        <f ca="1">ROUND(FIRE1121_raw!AM26,0)</f>
        <v>0</v>
      </c>
      <c r="AN26" s="24">
        <f ca="1">ROUND(FIRE1121_raw!AN26,0)</f>
        <v>0</v>
      </c>
      <c r="AO26" s="24">
        <f ca="1">ROUND(FIRE1121_raw!AO26,0)</f>
        <v>0</v>
      </c>
      <c r="AP26" s="24">
        <f ca="1">ROUND(FIRE1121_raw!AP26,0)</f>
        <v>0</v>
      </c>
      <c r="AQ26" s="24">
        <f ca="1">ROUND(FIRE1121_raw!AQ26,0)</f>
        <v>2</v>
      </c>
      <c r="AR26" s="101">
        <f t="shared" ca="1" si="19"/>
        <v>0</v>
      </c>
      <c r="AS26" s="46">
        <f t="shared" ca="1" si="20"/>
        <v>7.1428571428571425E-2</v>
      </c>
      <c r="AT26" s="72"/>
      <c r="AU26" s="22">
        <f t="shared" ca="1" si="21"/>
        <v>170</v>
      </c>
      <c r="AV26" s="22">
        <f t="shared" ca="1" si="21"/>
        <v>0</v>
      </c>
      <c r="AW26" s="22">
        <f t="shared" ca="1" si="21"/>
        <v>0</v>
      </c>
      <c r="AX26" s="22">
        <f t="shared" ca="1" si="21"/>
        <v>1</v>
      </c>
      <c r="AY26" s="22">
        <f t="shared" ca="1" si="21"/>
        <v>0</v>
      </c>
      <c r="AZ26" s="22">
        <f t="shared" ca="1" si="21"/>
        <v>29</v>
      </c>
      <c r="BA26" s="101">
        <f t="shared" ca="1" si="22"/>
        <v>5.8479532163742687E-3</v>
      </c>
      <c r="BB26" s="101">
        <f t="shared" ca="1" si="23"/>
        <v>0.14499999999999999</v>
      </c>
      <c r="BC26" s="19"/>
      <c r="BD26" s="19"/>
      <c r="BE26" s="19"/>
      <c r="BF26" s="19"/>
      <c r="BG26" s="19"/>
      <c r="BH26" s="19"/>
      <c r="BI26" s="19"/>
      <c r="BJ26" s="19"/>
      <c r="BK26" s="19"/>
    </row>
    <row r="27" spans="1:63" s="8" customFormat="1" ht="15" customHeight="1" x14ac:dyDescent="0.35">
      <c r="A27" s="2" t="s">
        <v>34</v>
      </c>
      <c r="B27" s="24">
        <f ca="1">ROUND(FIRE1121_raw!B27,0)</f>
        <v>23</v>
      </c>
      <c r="C27" s="24">
        <f ca="1">ROUND(FIRE1121_raw!C27,0)</f>
        <v>1</v>
      </c>
      <c r="D27" s="24">
        <f ca="1">ROUND(FIRE1121_raw!D27,0)</f>
        <v>0</v>
      </c>
      <c r="E27" s="24">
        <f ca="1">ROUND(FIRE1121_raw!E27,0)</f>
        <v>0</v>
      </c>
      <c r="F27" s="24">
        <f ca="1">ROUND(FIRE1121_raw!F27,0)</f>
        <v>0</v>
      </c>
      <c r="G27" s="24">
        <f ca="1">ROUND(FIRE1121_raw!G27,0)</f>
        <v>1</v>
      </c>
      <c r="H27" s="101">
        <f t="shared" ca="1" si="7"/>
        <v>4.1666666666666664E-2</v>
      </c>
      <c r="I27" s="46">
        <f t="shared" ca="1" si="8"/>
        <v>0.04</v>
      </c>
      <c r="J27" s="72"/>
      <c r="K27" s="24">
        <f ca="1">ROUND(FIRE1121_raw!K27,0)</f>
        <v>54</v>
      </c>
      <c r="L27" s="24">
        <f ca="1">ROUND(FIRE1121_raw!L27,0)</f>
        <v>0</v>
      </c>
      <c r="M27" s="24">
        <f ca="1">ROUND(FIRE1121_raw!M27,0)</f>
        <v>0</v>
      </c>
      <c r="N27" s="24">
        <f ca="1">ROUND(FIRE1121_raw!N27,0)</f>
        <v>0</v>
      </c>
      <c r="O27" s="24">
        <f ca="1">ROUND(FIRE1121_raw!O27,0)</f>
        <v>0</v>
      </c>
      <c r="P27" s="24">
        <f ca="1">ROUND(FIRE1121_raw!P27,0)</f>
        <v>9</v>
      </c>
      <c r="Q27" s="101">
        <f t="shared" ca="1" si="10"/>
        <v>0</v>
      </c>
      <c r="R27" s="46">
        <f t="shared" ca="1" si="11"/>
        <v>0.14285714285714285</v>
      </c>
      <c r="S27" s="72"/>
      <c r="T27" s="22">
        <f t="shared" ca="1" si="12"/>
        <v>77</v>
      </c>
      <c r="U27" s="22">
        <f t="shared" ca="1" si="12"/>
        <v>1</v>
      </c>
      <c r="V27" s="22">
        <f t="shared" ca="1" si="12"/>
        <v>0</v>
      </c>
      <c r="W27" s="22">
        <f t="shared" ca="1" si="12"/>
        <v>0</v>
      </c>
      <c r="X27" s="22">
        <f t="shared" ca="1" si="12"/>
        <v>0</v>
      </c>
      <c r="Y27" s="22">
        <f t="shared" ca="1" si="12"/>
        <v>10</v>
      </c>
      <c r="Z27" s="101">
        <f t="shared" ca="1" si="13"/>
        <v>1.282051282051282E-2</v>
      </c>
      <c r="AA27" s="101">
        <f t="shared" ca="1" si="14"/>
        <v>0.11363636363636363</v>
      </c>
      <c r="AB27" s="24"/>
      <c r="AC27" s="24">
        <f ca="1">ROUND(FIRE1121_raw!AC27,0)</f>
        <v>2</v>
      </c>
      <c r="AD27" s="24">
        <f ca="1">ROUND(FIRE1121_raw!AD27,0)</f>
        <v>0</v>
      </c>
      <c r="AE27" s="24">
        <f ca="1">ROUND(FIRE1121_raw!AE27,0)</f>
        <v>0</v>
      </c>
      <c r="AF27" s="24">
        <f ca="1">ROUND(FIRE1121_raw!AF27,0)</f>
        <v>0</v>
      </c>
      <c r="AG27" s="24">
        <f ca="1">ROUND(FIRE1121_raw!AG27,0)</f>
        <v>0</v>
      </c>
      <c r="AH27" s="24">
        <f ca="1">ROUND(FIRE1121_raw!AH27,0)</f>
        <v>0</v>
      </c>
      <c r="AI27" s="101">
        <f t="shared" ca="1" si="16"/>
        <v>0</v>
      </c>
      <c r="AJ27" s="46">
        <f t="shared" ca="1" si="17"/>
        <v>0</v>
      </c>
      <c r="AK27" s="72"/>
      <c r="AL27" s="24">
        <f ca="1">ROUND(FIRE1121_raw!AL27,0)</f>
        <v>21</v>
      </c>
      <c r="AM27" s="24">
        <f ca="1">ROUND(FIRE1121_raw!AM27,0)</f>
        <v>0</v>
      </c>
      <c r="AN27" s="24">
        <f ca="1">ROUND(FIRE1121_raw!AN27,0)</f>
        <v>0</v>
      </c>
      <c r="AO27" s="24">
        <f ca="1">ROUND(FIRE1121_raw!AO27,0)</f>
        <v>1</v>
      </c>
      <c r="AP27" s="24">
        <f ca="1">ROUND(FIRE1121_raw!AP27,0)</f>
        <v>0</v>
      </c>
      <c r="AQ27" s="24">
        <f ca="1">ROUND(FIRE1121_raw!AQ27,0)</f>
        <v>3</v>
      </c>
      <c r="AR27" s="101">
        <f t="shared" ca="1" si="19"/>
        <v>4.5454545454545456E-2</v>
      </c>
      <c r="AS27" s="46">
        <f t="shared" ca="1" si="20"/>
        <v>0.12</v>
      </c>
      <c r="AT27" s="72"/>
      <c r="AU27" s="22">
        <f t="shared" ca="1" si="21"/>
        <v>100</v>
      </c>
      <c r="AV27" s="22">
        <f t="shared" ca="1" si="21"/>
        <v>1</v>
      </c>
      <c r="AW27" s="22">
        <f t="shared" ca="1" si="21"/>
        <v>0</v>
      </c>
      <c r="AX27" s="22">
        <f t="shared" ca="1" si="21"/>
        <v>1</v>
      </c>
      <c r="AY27" s="22">
        <f t="shared" ca="1" si="21"/>
        <v>0</v>
      </c>
      <c r="AZ27" s="22">
        <f t="shared" ca="1" si="21"/>
        <v>13</v>
      </c>
      <c r="BA27" s="101">
        <f t="shared" ca="1" si="22"/>
        <v>1.9607843137254902E-2</v>
      </c>
      <c r="BB27" s="101">
        <f t="shared" ca="1" si="23"/>
        <v>0.11304347826086956</v>
      </c>
      <c r="BC27" s="19"/>
      <c r="BD27" s="19"/>
      <c r="BE27" s="19"/>
      <c r="BF27" s="19"/>
      <c r="BG27" s="19"/>
      <c r="BH27" s="19"/>
      <c r="BI27" s="19"/>
      <c r="BJ27" s="19"/>
      <c r="BK27" s="19"/>
    </row>
    <row r="28" spans="1:63" s="8" customFormat="1" ht="15" customHeight="1" x14ac:dyDescent="0.35">
      <c r="A28" s="2" t="s">
        <v>35</v>
      </c>
      <c r="B28" s="24">
        <f ca="1">ROUND(FIRE1121_raw!B28,0)</f>
        <v>24</v>
      </c>
      <c r="C28" s="24">
        <f ca="1">ROUND(FIRE1121_raw!C28,0)</f>
        <v>2</v>
      </c>
      <c r="D28" s="24">
        <f ca="1">ROUND(FIRE1121_raw!D28,0)</f>
        <v>0</v>
      </c>
      <c r="E28" s="24">
        <f ca="1">ROUND(FIRE1121_raw!E28,0)</f>
        <v>0</v>
      </c>
      <c r="F28" s="24">
        <f ca="1">ROUND(FIRE1121_raw!F28,0)</f>
        <v>0</v>
      </c>
      <c r="G28" s="24">
        <f ca="1">ROUND(FIRE1121_raw!G28,0)</f>
        <v>0</v>
      </c>
      <c r="H28" s="101">
        <f t="shared" ca="1" si="7"/>
        <v>7.6923076923076927E-2</v>
      </c>
      <c r="I28" s="46">
        <f t="shared" ca="1" si="8"/>
        <v>0</v>
      </c>
      <c r="J28" s="72"/>
      <c r="K28" s="24">
        <f ca="1">ROUND(FIRE1121_raw!K28,0)</f>
        <v>21</v>
      </c>
      <c r="L28" s="24">
        <f ca="1">ROUND(FIRE1121_raw!L28,0)</f>
        <v>0</v>
      </c>
      <c r="M28" s="24">
        <f ca="1">ROUND(FIRE1121_raw!M28,0)</f>
        <v>0</v>
      </c>
      <c r="N28" s="24">
        <f ca="1">ROUND(FIRE1121_raw!N28,0)</f>
        <v>0</v>
      </c>
      <c r="O28" s="24">
        <f ca="1">ROUND(FIRE1121_raw!O28,0)</f>
        <v>0</v>
      </c>
      <c r="P28" s="24">
        <f ca="1">ROUND(FIRE1121_raw!P28,0)</f>
        <v>1</v>
      </c>
      <c r="Q28" s="101">
        <f t="shared" ca="1" si="10"/>
        <v>0</v>
      </c>
      <c r="R28" s="46">
        <f t="shared" ca="1" si="11"/>
        <v>4.5454545454545456E-2</v>
      </c>
      <c r="S28" s="72"/>
      <c r="T28" s="22">
        <f t="shared" ca="1" si="12"/>
        <v>45</v>
      </c>
      <c r="U28" s="22">
        <f t="shared" ca="1" si="12"/>
        <v>2</v>
      </c>
      <c r="V28" s="22">
        <f t="shared" ca="1" si="12"/>
        <v>0</v>
      </c>
      <c r="W28" s="22">
        <f t="shared" ca="1" si="12"/>
        <v>0</v>
      </c>
      <c r="X28" s="22">
        <f t="shared" ca="1" si="12"/>
        <v>0</v>
      </c>
      <c r="Y28" s="22">
        <f t="shared" ca="1" si="12"/>
        <v>1</v>
      </c>
      <c r="Z28" s="101">
        <f t="shared" ca="1" si="13"/>
        <v>4.2553191489361701E-2</v>
      </c>
      <c r="AA28" s="101">
        <f t="shared" ca="1" si="14"/>
        <v>2.0833333333333332E-2</v>
      </c>
      <c r="AB28" s="24"/>
      <c r="AC28" s="24">
        <f ca="1">ROUND(FIRE1121_raw!AC28,0)</f>
        <v>0</v>
      </c>
      <c r="AD28" s="24">
        <f ca="1">ROUND(FIRE1121_raw!AD28,0)</f>
        <v>0</v>
      </c>
      <c r="AE28" s="24">
        <f ca="1">ROUND(FIRE1121_raw!AE28,0)</f>
        <v>0</v>
      </c>
      <c r="AF28" s="24">
        <f ca="1">ROUND(FIRE1121_raw!AF28,0)</f>
        <v>0</v>
      </c>
      <c r="AG28" s="24">
        <f ca="1">ROUND(FIRE1121_raw!AG28,0)</f>
        <v>0</v>
      </c>
      <c r="AH28" s="24">
        <f ca="1">ROUND(FIRE1121_raw!AH28,0)</f>
        <v>0</v>
      </c>
      <c r="AI28" s="101" t="str">
        <f t="shared" ca="1" si="16"/>
        <v>-</v>
      </c>
      <c r="AJ28" s="46" t="str">
        <f t="shared" ca="1" si="17"/>
        <v>-</v>
      </c>
      <c r="AK28" s="72"/>
      <c r="AL28" s="24">
        <f ca="1">ROUND(FIRE1121_raw!AL28,0)</f>
        <v>10</v>
      </c>
      <c r="AM28" s="24">
        <f ca="1">ROUND(FIRE1121_raw!AM28,0)</f>
        <v>1</v>
      </c>
      <c r="AN28" s="24">
        <f ca="1">ROUND(FIRE1121_raw!AN28,0)</f>
        <v>0</v>
      </c>
      <c r="AO28" s="24">
        <f ca="1">ROUND(FIRE1121_raw!AO28,0)</f>
        <v>1</v>
      </c>
      <c r="AP28" s="24">
        <f ca="1">ROUND(FIRE1121_raw!AP28,0)</f>
        <v>0</v>
      </c>
      <c r="AQ28" s="24">
        <f ca="1">ROUND(FIRE1121_raw!AQ28,0)</f>
        <v>0</v>
      </c>
      <c r="AR28" s="101">
        <f t="shared" ca="1" si="19"/>
        <v>0.16666666666666666</v>
      </c>
      <c r="AS28" s="46">
        <f t="shared" ca="1" si="20"/>
        <v>0</v>
      </c>
      <c r="AT28" s="72"/>
      <c r="AU28" s="22">
        <f t="shared" ca="1" si="21"/>
        <v>55</v>
      </c>
      <c r="AV28" s="22">
        <f t="shared" ca="1" si="21"/>
        <v>3</v>
      </c>
      <c r="AW28" s="22">
        <f t="shared" ca="1" si="21"/>
        <v>0</v>
      </c>
      <c r="AX28" s="22">
        <f t="shared" ca="1" si="21"/>
        <v>1</v>
      </c>
      <c r="AY28" s="22">
        <f t="shared" ca="1" si="21"/>
        <v>0</v>
      </c>
      <c r="AZ28" s="22">
        <f t="shared" ca="1" si="21"/>
        <v>1</v>
      </c>
      <c r="BA28" s="101">
        <f t="shared" ca="1" si="22"/>
        <v>6.7796610169491525E-2</v>
      </c>
      <c r="BB28" s="101">
        <f t="shared" ca="1" si="23"/>
        <v>1.6666666666666666E-2</v>
      </c>
      <c r="BC28" s="19"/>
      <c r="BD28" s="19"/>
      <c r="BE28" s="19"/>
      <c r="BF28" s="19"/>
      <c r="BG28" s="19"/>
      <c r="BH28" s="19"/>
      <c r="BI28" s="19"/>
      <c r="BJ28" s="19"/>
      <c r="BK28" s="19"/>
    </row>
    <row r="29" spans="1:63" s="8" customFormat="1" ht="15" customHeight="1" x14ac:dyDescent="0.35">
      <c r="A29" s="2" t="s">
        <v>36</v>
      </c>
      <c r="B29" s="24">
        <f ca="1">ROUND(FIRE1121_raw!B29,0)</f>
        <v>21</v>
      </c>
      <c r="C29" s="24">
        <f ca="1">ROUND(FIRE1121_raw!C29,0)</f>
        <v>0</v>
      </c>
      <c r="D29" s="24">
        <f ca="1">ROUND(FIRE1121_raw!D29,0)</f>
        <v>0</v>
      </c>
      <c r="E29" s="24">
        <f ca="1">ROUND(FIRE1121_raw!E29,0)</f>
        <v>0</v>
      </c>
      <c r="F29" s="24">
        <f ca="1">ROUND(FIRE1121_raw!F29,0)</f>
        <v>1</v>
      </c>
      <c r="G29" s="24">
        <f ca="1">ROUND(FIRE1121_raw!G29,0)</f>
        <v>0</v>
      </c>
      <c r="H29" s="101">
        <f t="shared" ca="1" si="7"/>
        <v>4.5454545454545456E-2</v>
      </c>
      <c r="I29" s="46">
        <f t="shared" ca="1" si="8"/>
        <v>0</v>
      </c>
      <c r="J29" s="72"/>
      <c r="K29" s="24">
        <f ca="1">ROUND(FIRE1121_raw!K29,0)</f>
        <v>31</v>
      </c>
      <c r="L29" s="24">
        <f ca="1">ROUND(FIRE1121_raw!L29,0)</f>
        <v>0</v>
      </c>
      <c r="M29" s="24">
        <f ca="1">ROUND(FIRE1121_raw!M29,0)</f>
        <v>0</v>
      </c>
      <c r="N29" s="24">
        <f ca="1">ROUND(FIRE1121_raw!N29,0)</f>
        <v>0</v>
      </c>
      <c r="O29" s="24">
        <f ca="1">ROUND(FIRE1121_raw!O29,0)</f>
        <v>0</v>
      </c>
      <c r="P29" s="24">
        <f ca="1">ROUND(FIRE1121_raw!P29,0)</f>
        <v>0</v>
      </c>
      <c r="Q29" s="101">
        <f t="shared" ca="1" si="10"/>
        <v>0</v>
      </c>
      <c r="R29" s="46">
        <f t="shared" ca="1" si="11"/>
        <v>0</v>
      </c>
      <c r="S29" s="72"/>
      <c r="T29" s="22">
        <f t="shared" ca="1" si="12"/>
        <v>52</v>
      </c>
      <c r="U29" s="22">
        <f t="shared" ca="1" si="12"/>
        <v>0</v>
      </c>
      <c r="V29" s="22">
        <f t="shared" ca="1" si="12"/>
        <v>0</v>
      </c>
      <c r="W29" s="22">
        <f t="shared" ca="1" si="12"/>
        <v>0</v>
      </c>
      <c r="X29" s="22">
        <f t="shared" ca="1" si="12"/>
        <v>1</v>
      </c>
      <c r="Y29" s="22">
        <f t="shared" ca="1" si="12"/>
        <v>0</v>
      </c>
      <c r="Z29" s="101">
        <f t="shared" ca="1" si="13"/>
        <v>1.8867924528301886E-2</v>
      </c>
      <c r="AA29" s="101">
        <f t="shared" ca="1" si="14"/>
        <v>0</v>
      </c>
      <c r="AB29" s="24"/>
      <c r="AC29" s="24">
        <f ca="1">ROUND(FIRE1121_raw!AC29,0)</f>
        <v>4</v>
      </c>
      <c r="AD29" s="24">
        <f ca="1">ROUND(FIRE1121_raw!AD29,0)</f>
        <v>0</v>
      </c>
      <c r="AE29" s="24">
        <f ca="1">ROUND(FIRE1121_raw!AE29,0)</f>
        <v>0</v>
      </c>
      <c r="AF29" s="24">
        <f ca="1">ROUND(FIRE1121_raw!AF29,0)</f>
        <v>0</v>
      </c>
      <c r="AG29" s="24">
        <f ca="1">ROUND(FIRE1121_raw!AG29,0)</f>
        <v>0</v>
      </c>
      <c r="AH29" s="24">
        <f ca="1">ROUND(FIRE1121_raw!AH29,0)</f>
        <v>0</v>
      </c>
      <c r="AI29" s="101">
        <f t="shared" ca="1" si="16"/>
        <v>0</v>
      </c>
      <c r="AJ29" s="46">
        <f t="shared" ca="1" si="17"/>
        <v>0</v>
      </c>
      <c r="AK29" s="72"/>
      <c r="AL29" s="24">
        <f ca="1">ROUND(FIRE1121_raw!AL29,0)</f>
        <v>17</v>
      </c>
      <c r="AM29" s="24">
        <f ca="1">ROUND(FIRE1121_raw!AM29,0)</f>
        <v>0</v>
      </c>
      <c r="AN29" s="24">
        <f ca="1">ROUND(FIRE1121_raw!AN29,0)</f>
        <v>1</v>
      </c>
      <c r="AO29" s="24">
        <f ca="1">ROUND(FIRE1121_raw!AO29,0)</f>
        <v>0</v>
      </c>
      <c r="AP29" s="24">
        <f ca="1">ROUND(FIRE1121_raw!AP29,0)</f>
        <v>0</v>
      </c>
      <c r="AQ29" s="24">
        <f ca="1">ROUND(FIRE1121_raw!AQ29,0)</f>
        <v>0</v>
      </c>
      <c r="AR29" s="101">
        <f t="shared" ca="1" si="19"/>
        <v>5.5555555555555552E-2</v>
      </c>
      <c r="AS29" s="46">
        <f t="shared" ca="1" si="20"/>
        <v>0</v>
      </c>
      <c r="AT29" s="72"/>
      <c r="AU29" s="22">
        <f t="shared" ca="1" si="21"/>
        <v>73</v>
      </c>
      <c r="AV29" s="22">
        <f t="shared" ca="1" si="21"/>
        <v>0</v>
      </c>
      <c r="AW29" s="22">
        <f t="shared" ca="1" si="21"/>
        <v>1</v>
      </c>
      <c r="AX29" s="22">
        <f t="shared" ca="1" si="21"/>
        <v>0</v>
      </c>
      <c r="AY29" s="22">
        <f t="shared" ca="1" si="21"/>
        <v>1</v>
      </c>
      <c r="AZ29" s="22">
        <f t="shared" ca="1" si="21"/>
        <v>0</v>
      </c>
      <c r="BA29" s="101">
        <f t="shared" ca="1" si="22"/>
        <v>2.6666666666666668E-2</v>
      </c>
      <c r="BB29" s="101">
        <f t="shared" ca="1" si="23"/>
        <v>0</v>
      </c>
      <c r="BC29" s="19"/>
      <c r="BD29" s="19"/>
      <c r="BE29" s="19"/>
      <c r="BF29" s="19"/>
      <c r="BG29" s="19"/>
      <c r="BH29" s="19"/>
      <c r="BI29" s="19"/>
      <c r="BJ29" s="19"/>
      <c r="BK29" s="19"/>
    </row>
    <row r="30" spans="1:63" s="8" customFormat="1" ht="15" customHeight="1" x14ac:dyDescent="0.35">
      <c r="A30" s="2" t="s">
        <v>37</v>
      </c>
      <c r="B30" s="24">
        <f ca="1">ROUND(FIRE1121_raw!B30,0)</f>
        <v>0</v>
      </c>
      <c r="C30" s="24">
        <f ca="1">ROUND(FIRE1121_raw!C30,0)</f>
        <v>0</v>
      </c>
      <c r="D30" s="24">
        <f ca="1">ROUND(FIRE1121_raw!D30,0)</f>
        <v>0</v>
      </c>
      <c r="E30" s="24">
        <f ca="1">ROUND(FIRE1121_raw!E30,0)</f>
        <v>0</v>
      </c>
      <c r="F30" s="24">
        <f ca="1">ROUND(FIRE1121_raw!F30,0)</f>
        <v>0</v>
      </c>
      <c r="G30" s="24">
        <f ca="1">ROUND(FIRE1121_raw!G30,0)</f>
        <v>0</v>
      </c>
      <c r="H30" s="101" t="str">
        <f t="shared" ca="1" si="7"/>
        <v>-</v>
      </c>
      <c r="I30" s="46" t="str">
        <f t="shared" ca="1" si="8"/>
        <v>-</v>
      </c>
      <c r="J30" s="72"/>
      <c r="K30" s="24">
        <f ca="1">ROUND(FIRE1121_raw!K30,0)</f>
        <v>9</v>
      </c>
      <c r="L30" s="24">
        <f ca="1">ROUND(FIRE1121_raw!L30,0)</f>
        <v>0</v>
      </c>
      <c r="M30" s="24">
        <f ca="1">ROUND(FIRE1121_raw!M30,0)</f>
        <v>0</v>
      </c>
      <c r="N30" s="24">
        <f ca="1">ROUND(FIRE1121_raw!N30,0)</f>
        <v>0</v>
      </c>
      <c r="O30" s="24">
        <f ca="1">ROUND(FIRE1121_raw!O30,0)</f>
        <v>0</v>
      </c>
      <c r="P30" s="24">
        <f ca="1">ROUND(FIRE1121_raw!P30,0)</f>
        <v>0</v>
      </c>
      <c r="Q30" s="101">
        <f t="shared" ca="1" si="10"/>
        <v>0</v>
      </c>
      <c r="R30" s="46">
        <f t="shared" ca="1" si="11"/>
        <v>0</v>
      </c>
      <c r="S30" s="72"/>
      <c r="T30" s="22">
        <f t="shared" ca="1" si="12"/>
        <v>9</v>
      </c>
      <c r="U30" s="22">
        <f t="shared" ca="1" si="12"/>
        <v>0</v>
      </c>
      <c r="V30" s="22">
        <f t="shared" ca="1" si="12"/>
        <v>0</v>
      </c>
      <c r="W30" s="22">
        <f t="shared" ca="1" si="12"/>
        <v>0</v>
      </c>
      <c r="X30" s="22">
        <f t="shared" ca="1" si="12"/>
        <v>0</v>
      </c>
      <c r="Y30" s="22">
        <f t="shared" ca="1" si="12"/>
        <v>0</v>
      </c>
      <c r="Z30" s="101">
        <f t="shared" ca="1" si="13"/>
        <v>0</v>
      </c>
      <c r="AA30" s="101">
        <f t="shared" ca="1" si="14"/>
        <v>0</v>
      </c>
      <c r="AB30" s="24"/>
      <c r="AC30" s="24">
        <f ca="1">ROUND(FIRE1121_raw!AC30,0)</f>
        <v>0</v>
      </c>
      <c r="AD30" s="24">
        <f ca="1">ROUND(FIRE1121_raw!AD30,0)</f>
        <v>0</v>
      </c>
      <c r="AE30" s="24">
        <f ca="1">ROUND(FIRE1121_raw!AE30,0)</f>
        <v>0</v>
      </c>
      <c r="AF30" s="24">
        <f ca="1">ROUND(FIRE1121_raw!AF30,0)</f>
        <v>0</v>
      </c>
      <c r="AG30" s="24">
        <f ca="1">ROUND(FIRE1121_raw!AG30,0)</f>
        <v>0</v>
      </c>
      <c r="AH30" s="24">
        <f ca="1">ROUND(FIRE1121_raw!AH30,0)</f>
        <v>0</v>
      </c>
      <c r="AI30" s="101" t="str">
        <f t="shared" ca="1" si="16"/>
        <v>-</v>
      </c>
      <c r="AJ30" s="46" t="str">
        <f t="shared" ca="1" si="17"/>
        <v>-</v>
      </c>
      <c r="AK30" s="72"/>
      <c r="AL30" s="24">
        <f ca="1">ROUND(FIRE1121_raw!AL30,0)</f>
        <v>2</v>
      </c>
      <c r="AM30" s="24">
        <f ca="1">ROUND(FIRE1121_raw!AM30,0)</f>
        <v>0</v>
      </c>
      <c r="AN30" s="24">
        <f ca="1">ROUND(FIRE1121_raw!AN30,0)</f>
        <v>0</v>
      </c>
      <c r="AO30" s="24">
        <f ca="1">ROUND(FIRE1121_raw!AO30,0)</f>
        <v>0</v>
      </c>
      <c r="AP30" s="24">
        <f ca="1">ROUND(FIRE1121_raw!AP30,0)</f>
        <v>0</v>
      </c>
      <c r="AQ30" s="24">
        <f ca="1">ROUND(FIRE1121_raw!AQ30,0)</f>
        <v>0</v>
      </c>
      <c r="AR30" s="101">
        <f t="shared" ca="1" si="19"/>
        <v>0</v>
      </c>
      <c r="AS30" s="46">
        <f t="shared" ca="1" si="20"/>
        <v>0</v>
      </c>
      <c r="AT30" s="72"/>
      <c r="AU30" s="22">
        <f t="shared" ca="1" si="21"/>
        <v>11</v>
      </c>
      <c r="AV30" s="22">
        <f t="shared" ca="1" si="21"/>
        <v>0</v>
      </c>
      <c r="AW30" s="22">
        <f t="shared" ca="1" si="21"/>
        <v>0</v>
      </c>
      <c r="AX30" s="22">
        <f t="shared" ca="1" si="21"/>
        <v>0</v>
      </c>
      <c r="AY30" s="22">
        <f t="shared" ca="1" si="21"/>
        <v>0</v>
      </c>
      <c r="AZ30" s="22">
        <f t="shared" ca="1" si="21"/>
        <v>0</v>
      </c>
      <c r="BA30" s="101">
        <f t="shared" ca="1" si="22"/>
        <v>0</v>
      </c>
      <c r="BB30" s="101">
        <f t="shared" ca="1" si="23"/>
        <v>0</v>
      </c>
      <c r="BC30" s="19"/>
      <c r="BD30" s="19"/>
      <c r="BE30" s="19"/>
      <c r="BF30" s="19"/>
      <c r="BG30" s="19"/>
      <c r="BH30" s="19"/>
      <c r="BI30" s="19"/>
      <c r="BJ30" s="19"/>
      <c r="BK30" s="19"/>
    </row>
    <row r="31" spans="1:63" s="8" customFormat="1" ht="15" customHeight="1" x14ac:dyDescent="0.35">
      <c r="A31" s="3" t="s">
        <v>38</v>
      </c>
      <c r="B31" s="24">
        <f ca="1">ROUND(FIRE1121_raw!B31,0)</f>
        <v>13</v>
      </c>
      <c r="C31" s="24">
        <f ca="1">ROUND(FIRE1121_raw!C31,0)</f>
        <v>0</v>
      </c>
      <c r="D31" s="24">
        <f ca="1">ROUND(FIRE1121_raw!D31,0)</f>
        <v>0</v>
      </c>
      <c r="E31" s="24">
        <f ca="1">ROUND(FIRE1121_raw!E31,0)</f>
        <v>0</v>
      </c>
      <c r="F31" s="24">
        <f ca="1">ROUND(FIRE1121_raw!F31,0)</f>
        <v>0</v>
      </c>
      <c r="G31" s="24">
        <f ca="1">ROUND(FIRE1121_raw!G31,0)</f>
        <v>20</v>
      </c>
      <c r="H31" s="101">
        <f t="shared" ca="1" si="7"/>
        <v>0</v>
      </c>
      <c r="I31" s="46">
        <f t="shared" ca="1" si="8"/>
        <v>0.60606060606060608</v>
      </c>
      <c r="J31" s="72"/>
      <c r="K31" s="24">
        <f ca="1">ROUND(FIRE1121_raw!K31,0)</f>
        <v>15</v>
      </c>
      <c r="L31" s="24">
        <f ca="1">ROUND(FIRE1121_raw!L31,0)</f>
        <v>0</v>
      </c>
      <c r="M31" s="24">
        <f ca="1">ROUND(FIRE1121_raw!M31,0)</f>
        <v>0</v>
      </c>
      <c r="N31" s="24">
        <f ca="1">ROUND(FIRE1121_raw!N31,0)</f>
        <v>0</v>
      </c>
      <c r="O31" s="24">
        <f ca="1">ROUND(FIRE1121_raw!O31,0)</f>
        <v>0</v>
      </c>
      <c r="P31" s="24">
        <f ca="1">ROUND(FIRE1121_raw!P31,0)</f>
        <v>87</v>
      </c>
      <c r="Q31" s="101">
        <f t="shared" ca="1" si="10"/>
        <v>0</v>
      </c>
      <c r="R31" s="46">
        <f t="shared" ca="1" si="11"/>
        <v>0.8529411764705882</v>
      </c>
      <c r="S31" s="72"/>
      <c r="T31" s="22">
        <f t="shared" ca="1" si="12"/>
        <v>28</v>
      </c>
      <c r="U31" s="22">
        <f t="shared" ca="1" si="12"/>
        <v>0</v>
      </c>
      <c r="V31" s="22">
        <f t="shared" ca="1" si="12"/>
        <v>0</v>
      </c>
      <c r="W31" s="22">
        <f t="shared" ca="1" si="12"/>
        <v>0</v>
      </c>
      <c r="X31" s="22">
        <f t="shared" ca="1" si="12"/>
        <v>0</v>
      </c>
      <c r="Y31" s="22">
        <f t="shared" ca="1" si="12"/>
        <v>107</v>
      </c>
      <c r="Z31" s="101">
        <f t="shared" ca="1" si="13"/>
        <v>0</v>
      </c>
      <c r="AA31" s="101">
        <f t="shared" ca="1" si="14"/>
        <v>0.79259259259259263</v>
      </c>
      <c r="AB31" s="24"/>
      <c r="AC31" s="24">
        <f ca="1">ROUND(FIRE1121_raw!AC31,0)</f>
        <v>0</v>
      </c>
      <c r="AD31" s="24">
        <f ca="1">ROUND(FIRE1121_raw!AD31,0)</f>
        <v>0</v>
      </c>
      <c r="AE31" s="24">
        <f ca="1">ROUND(FIRE1121_raw!AE31,0)</f>
        <v>0</v>
      </c>
      <c r="AF31" s="24">
        <f ca="1">ROUND(FIRE1121_raw!AF31,0)</f>
        <v>0</v>
      </c>
      <c r="AG31" s="24">
        <f ca="1">ROUND(FIRE1121_raw!AG31,0)</f>
        <v>0</v>
      </c>
      <c r="AH31" s="24">
        <f ca="1">ROUND(FIRE1121_raw!AH31,0)</f>
        <v>1</v>
      </c>
      <c r="AI31" s="101" t="str">
        <f t="shared" ca="1" si="16"/>
        <v>-</v>
      </c>
      <c r="AJ31" s="46">
        <f t="shared" ca="1" si="17"/>
        <v>1</v>
      </c>
      <c r="AK31" s="72"/>
      <c r="AL31" s="24">
        <f ca="1">ROUND(FIRE1121_raw!AL31,0)</f>
        <v>11</v>
      </c>
      <c r="AM31" s="24">
        <f ca="1">ROUND(FIRE1121_raw!AM31,0)</f>
        <v>0</v>
      </c>
      <c r="AN31" s="24">
        <f ca="1">ROUND(FIRE1121_raw!AN31,0)</f>
        <v>0</v>
      </c>
      <c r="AO31" s="24">
        <f ca="1">ROUND(FIRE1121_raw!AO31,0)</f>
        <v>0</v>
      </c>
      <c r="AP31" s="24">
        <f ca="1">ROUND(FIRE1121_raw!AP31,0)</f>
        <v>0</v>
      </c>
      <c r="AQ31" s="24">
        <f ca="1">ROUND(FIRE1121_raw!AQ31,0)</f>
        <v>29</v>
      </c>
      <c r="AR31" s="101">
        <f t="shared" ca="1" si="19"/>
        <v>0</v>
      </c>
      <c r="AS31" s="46">
        <f t="shared" ca="1" si="20"/>
        <v>0.72499999999999998</v>
      </c>
      <c r="AT31" s="72"/>
      <c r="AU31" s="22">
        <f t="shared" ca="1" si="21"/>
        <v>39</v>
      </c>
      <c r="AV31" s="22">
        <f t="shared" ca="1" si="21"/>
        <v>0</v>
      </c>
      <c r="AW31" s="22">
        <f t="shared" ca="1" si="21"/>
        <v>0</v>
      </c>
      <c r="AX31" s="22">
        <f t="shared" ca="1" si="21"/>
        <v>0</v>
      </c>
      <c r="AY31" s="22">
        <f t="shared" ca="1" si="21"/>
        <v>0</v>
      </c>
      <c r="AZ31" s="22">
        <f t="shared" ca="1" si="21"/>
        <v>137</v>
      </c>
      <c r="BA31" s="101">
        <f t="shared" ca="1" si="22"/>
        <v>0</v>
      </c>
      <c r="BB31" s="101">
        <f t="shared" ca="1" si="23"/>
        <v>0.77840909090909094</v>
      </c>
      <c r="BC31" s="19"/>
      <c r="BD31" s="19"/>
      <c r="BE31" s="19"/>
      <c r="BF31" s="19"/>
      <c r="BG31" s="19"/>
      <c r="BH31" s="19"/>
      <c r="BI31" s="19"/>
      <c r="BJ31" s="19"/>
      <c r="BK31" s="19"/>
    </row>
    <row r="32" spans="1:63" s="8" customFormat="1" ht="15" customHeight="1" x14ac:dyDescent="0.35">
      <c r="A32" s="3" t="s">
        <v>39</v>
      </c>
      <c r="B32" s="24">
        <f ca="1">ROUND(FIRE1121_raw!B32,0)</f>
        <v>51</v>
      </c>
      <c r="C32" s="24">
        <f ca="1">ROUND(FIRE1121_raw!C32,0)</f>
        <v>3</v>
      </c>
      <c r="D32" s="24">
        <f ca="1">ROUND(FIRE1121_raw!D32,0)</f>
        <v>1</v>
      </c>
      <c r="E32" s="24">
        <f ca="1">ROUND(FIRE1121_raw!E32,0)</f>
        <v>0</v>
      </c>
      <c r="F32" s="24">
        <f ca="1">ROUND(FIRE1121_raw!F32,0)</f>
        <v>0</v>
      </c>
      <c r="G32" s="24">
        <f ca="1">ROUND(FIRE1121_raw!G32,0)</f>
        <v>0</v>
      </c>
      <c r="H32" s="101">
        <f t="shared" ca="1" si="7"/>
        <v>7.2727272727272724E-2</v>
      </c>
      <c r="I32" s="46">
        <f t="shared" ca="1" si="8"/>
        <v>0</v>
      </c>
      <c r="J32" s="72"/>
      <c r="K32" s="24">
        <f ca="1">ROUND(FIRE1121_raw!K32,0)</f>
        <v>63</v>
      </c>
      <c r="L32" s="24">
        <f ca="1">ROUND(FIRE1121_raw!L32,0)</f>
        <v>0</v>
      </c>
      <c r="M32" s="24">
        <f ca="1">ROUND(FIRE1121_raw!M32,0)</f>
        <v>1</v>
      </c>
      <c r="N32" s="24">
        <f ca="1">ROUND(FIRE1121_raw!N32,0)</f>
        <v>0</v>
      </c>
      <c r="O32" s="24">
        <f ca="1">ROUND(FIRE1121_raw!O32,0)</f>
        <v>1</v>
      </c>
      <c r="P32" s="24">
        <f ca="1">ROUND(FIRE1121_raw!P32,0)</f>
        <v>7</v>
      </c>
      <c r="Q32" s="101">
        <f t="shared" ca="1" si="10"/>
        <v>3.0769230769230771E-2</v>
      </c>
      <c r="R32" s="46">
        <f t="shared" ca="1" si="11"/>
        <v>9.7222222222222224E-2</v>
      </c>
      <c r="S32" s="72"/>
      <c r="T32" s="22">
        <f t="shared" ca="1" si="12"/>
        <v>114</v>
      </c>
      <c r="U32" s="22">
        <f t="shared" ca="1" si="12"/>
        <v>3</v>
      </c>
      <c r="V32" s="22">
        <f t="shared" ca="1" si="12"/>
        <v>2</v>
      </c>
      <c r="W32" s="22">
        <f t="shared" ca="1" si="12"/>
        <v>0</v>
      </c>
      <c r="X32" s="22">
        <f t="shared" ca="1" si="12"/>
        <v>1</v>
      </c>
      <c r="Y32" s="22">
        <f t="shared" ca="1" si="12"/>
        <v>7</v>
      </c>
      <c r="Z32" s="101">
        <f t="shared" ca="1" si="13"/>
        <v>0.05</v>
      </c>
      <c r="AA32" s="101">
        <f t="shared" ca="1" si="14"/>
        <v>5.5118110236220472E-2</v>
      </c>
      <c r="AB32" s="24"/>
      <c r="AC32" s="24">
        <f ca="1">ROUND(FIRE1121_raw!AC32,0)</f>
        <v>0</v>
      </c>
      <c r="AD32" s="24">
        <f ca="1">ROUND(FIRE1121_raw!AD32,0)</f>
        <v>0</v>
      </c>
      <c r="AE32" s="24">
        <f ca="1">ROUND(FIRE1121_raw!AE32,0)</f>
        <v>0</v>
      </c>
      <c r="AF32" s="24">
        <f ca="1">ROUND(FIRE1121_raw!AF32,0)</f>
        <v>0</v>
      </c>
      <c r="AG32" s="24">
        <f ca="1">ROUND(FIRE1121_raw!AG32,0)</f>
        <v>0</v>
      </c>
      <c r="AH32" s="24">
        <f ca="1">ROUND(FIRE1121_raw!AH32,0)</f>
        <v>0</v>
      </c>
      <c r="AI32" s="101" t="str">
        <f t="shared" ca="1" si="16"/>
        <v>-</v>
      </c>
      <c r="AJ32" s="46" t="str">
        <f t="shared" ca="1" si="17"/>
        <v>-</v>
      </c>
      <c r="AK32" s="72"/>
      <c r="AL32" s="24">
        <f ca="1">ROUND(FIRE1121_raw!AL32,0)</f>
        <v>20</v>
      </c>
      <c r="AM32" s="24">
        <f ca="1">ROUND(FIRE1121_raw!AM32,0)</f>
        <v>0</v>
      </c>
      <c r="AN32" s="24">
        <f ca="1">ROUND(FIRE1121_raw!AN32,0)</f>
        <v>2</v>
      </c>
      <c r="AO32" s="24">
        <f ca="1">ROUND(FIRE1121_raw!AO32,0)</f>
        <v>0</v>
      </c>
      <c r="AP32" s="24">
        <f ca="1">ROUND(FIRE1121_raw!AP32,0)</f>
        <v>0</v>
      </c>
      <c r="AQ32" s="24">
        <f ca="1">ROUND(FIRE1121_raw!AQ32,0)</f>
        <v>0</v>
      </c>
      <c r="AR32" s="101">
        <f t="shared" ca="1" si="19"/>
        <v>9.0909090909090912E-2</v>
      </c>
      <c r="AS32" s="46">
        <f t="shared" ca="1" si="20"/>
        <v>0</v>
      </c>
      <c r="AT32" s="72"/>
      <c r="AU32" s="22">
        <f t="shared" ca="1" si="21"/>
        <v>134</v>
      </c>
      <c r="AV32" s="22">
        <f t="shared" ca="1" si="21"/>
        <v>3</v>
      </c>
      <c r="AW32" s="22">
        <f t="shared" ca="1" si="21"/>
        <v>4</v>
      </c>
      <c r="AX32" s="22">
        <f t="shared" ca="1" si="21"/>
        <v>0</v>
      </c>
      <c r="AY32" s="22">
        <f t="shared" ca="1" si="21"/>
        <v>1</v>
      </c>
      <c r="AZ32" s="22">
        <f t="shared" ca="1" si="21"/>
        <v>7</v>
      </c>
      <c r="BA32" s="101">
        <f t="shared" ca="1" si="22"/>
        <v>5.6338028169014086E-2</v>
      </c>
      <c r="BB32" s="101">
        <f t="shared" ca="1" si="23"/>
        <v>4.6979865771812082E-2</v>
      </c>
      <c r="BC32" s="19"/>
      <c r="BD32" s="19"/>
      <c r="BE32" s="19"/>
      <c r="BF32" s="19"/>
      <c r="BG32" s="19"/>
      <c r="BH32" s="19"/>
      <c r="BI32" s="19"/>
      <c r="BJ32" s="19"/>
      <c r="BK32" s="19"/>
    </row>
    <row r="33" spans="1:63" s="8" customFormat="1" ht="15" customHeight="1" x14ac:dyDescent="0.35">
      <c r="A33" s="2" t="s">
        <v>40</v>
      </c>
      <c r="B33" s="24">
        <f ca="1">ROUND(FIRE1121_raw!B33,0)</f>
        <v>6</v>
      </c>
      <c r="C33" s="24">
        <f ca="1">ROUND(FIRE1121_raw!C33,0)</f>
        <v>0</v>
      </c>
      <c r="D33" s="24">
        <f ca="1">ROUND(FIRE1121_raw!D33,0)</f>
        <v>0</v>
      </c>
      <c r="E33" s="24">
        <f ca="1">ROUND(FIRE1121_raw!E33,0)</f>
        <v>0</v>
      </c>
      <c r="F33" s="24">
        <f ca="1">ROUND(FIRE1121_raw!F33,0)</f>
        <v>0</v>
      </c>
      <c r="G33" s="24">
        <f ca="1">ROUND(FIRE1121_raw!G33,0)</f>
        <v>2</v>
      </c>
      <c r="H33" s="101">
        <f t="shared" ca="1" si="7"/>
        <v>0</v>
      </c>
      <c r="I33" s="46">
        <f t="shared" ca="1" si="8"/>
        <v>0.25</v>
      </c>
      <c r="J33" s="72"/>
      <c r="K33" s="24">
        <f ca="1">ROUND(FIRE1121_raw!K33,0)</f>
        <v>20</v>
      </c>
      <c r="L33" s="24">
        <f ca="1">ROUND(FIRE1121_raw!L33,0)</f>
        <v>1</v>
      </c>
      <c r="M33" s="24">
        <f ca="1">ROUND(FIRE1121_raw!M33,0)</f>
        <v>0</v>
      </c>
      <c r="N33" s="24">
        <f ca="1">ROUND(FIRE1121_raw!N33,0)</f>
        <v>0</v>
      </c>
      <c r="O33" s="24">
        <f ca="1">ROUND(FIRE1121_raw!O33,0)</f>
        <v>0</v>
      </c>
      <c r="P33" s="24">
        <f ca="1">ROUND(FIRE1121_raw!P33,0)</f>
        <v>12</v>
      </c>
      <c r="Q33" s="101">
        <f t="shared" ca="1" si="10"/>
        <v>4.7619047619047616E-2</v>
      </c>
      <c r="R33" s="46">
        <f t="shared" ca="1" si="11"/>
        <v>0.36363636363636365</v>
      </c>
      <c r="S33" s="72"/>
      <c r="T33" s="22">
        <f t="shared" ca="1" si="12"/>
        <v>26</v>
      </c>
      <c r="U33" s="22">
        <f t="shared" ca="1" si="12"/>
        <v>1</v>
      </c>
      <c r="V33" s="22">
        <f t="shared" ca="1" si="12"/>
        <v>0</v>
      </c>
      <c r="W33" s="22">
        <f t="shared" ca="1" si="12"/>
        <v>0</v>
      </c>
      <c r="X33" s="22">
        <f t="shared" ca="1" si="12"/>
        <v>0</v>
      </c>
      <c r="Y33" s="22">
        <f t="shared" ca="1" si="12"/>
        <v>14</v>
      </c>
      <c r="Z33" s="101">
        <f t="shared" ca="1" si="13"/>
        <v>3.7037037037037035E-2</v>
      </c>
      <c r="AA33" s="101">
        <f t="shared" ca="1" si="14"/>
        <v>0.34146341463414637</v>
      </c>
      <c r="AB33" s="24"/>
      <c r="AC33" s="24">
        <f ca="1">ROUND(FIRE1121_raw!AC33,0)</f>
        <v>0</v>
      </c>
      <c r="AD33" s="24">
        <f ca="1">ROUND(FIRE1121_raw!AD33,0)</f>
        <v>0</v>
      </c>
      <c r="AE33" s="24">
        <f ca="1">ROUND(FIRE1121_raw!AE33,0)</f>
        <v>0</v>
      </c>
      <c r="AF33" s="24">
        <f ca="1">ROUND(FIRE1121_raw!AF33,0)</f>
        <v>0</v>
      </c>
      <c r="AG33" s="24">
        <f ca="1">ROUND(FIRE1121_raw!AG33,0)</f>
        <v>0</v>
      </c>
      <c r="AH33" s="24">
        <f ca="1">ROUND(FIRE1121_raw!AH33,0)</f>
        <v>0</v>
      </c>
      <c r="AI33" s="101" t="str">
        <f t="shared" ca="1" si="16"/>
        <v>-</v>
      </c>
      <c r="AJ33" s="46" t="str">
        <f t="shared" ca="1" si="17"/>
        <v>-</v>
      </c>
      <c r="AK33" s="72"/>
      <c r="AL33" s="24">
        <f ca="1">ROUND(FIRE1121_raw!AL33,0)</f>
        <v>9</v>
      </c>
      <c r="AM33" s="24">
        <f ca="1">ROUND(FIRE1121_raw!AM33,0)</f>
        <v>0</v>
      </c>
      <c r="AN33" s="24">
        <f ca="1">ROUND(FIRE1121_raw!AN33,0)</f>
        <v>0</v>
      </c>
      <c r="AO33" s="24">
        <f ca="1">ROUND(FIRE1121_raw!AO33,0)</f>
        <v>0</v>
      </c>
      <c r="AP33" s="24">
        <f ca="1">ROUND(FIRE1121_raw!AP33,0)</f>
        <v>0</v>
      </c>
      <c r="AQ33" s="24">
        <f ca="1">ROUND(FIRE1121_raw!AQ33,0)</f>
        <v>0</v>
      </c>
      <c r="AR33" s="101">
        <f t="shared" ca="1" si="19"/>
        <v>0</v>
      </c>
      <c r="AS33" s="46">
        <f t="shared" ca="1" si="20"/>
        <v>0</v>
      </c>
      <c r="AT33" s="72"/>
      <c r="AU33" s="22">
        <f t="shared" ca="1" si="21"/>
        <v>35</v>
      </c>
      <c r="AV33" s="22">
        <f t="shared" ca="1" si="21"/>
        <v>1</v>
      </c>
      <c r="AW33" s="22">
        <f t="shared" ca="1" si="21"/>
        <v>0</v>
      </c>
      <c r="AX33" s="22">
        <f t="shared" ca="1" si="21"/>
        <v>0</v>
      </c>
      <c r="AY33" s="22">
        <f t="shared" ca="1" si="21"/>
        <v>0</v>
      </c>
      <c r="AZ33" s="22">
        <f t="shared" ca="1" si="21"/>
        <v>14</v>
      </c>
      <c r="BA33" s="101">
        <f t="shared" ca="1" si="22"/>
        <v>2.7777777777777776E-2</v>
      </c>
      <c r="BB33" s="101">
        <f t="shared" ca="1" si="23"/>
        <v>0.28000000000000003</v>
      </c>
      <c r="BC33" s="19"/>
      <c r="BD33" s="19"/>
      <c r="BE33" s="19"/>
      <c r="BF33" s="19"/>
      <c r="BG33" s="19"/>
      <c r="BH33" s="19"/>
      <c r="BI33" s="19"/>
      <c r="BJ33" s="19"/>
      <c r="BK33" s="19"/>
    </row>
    <row r="34" spans="1:63" s="8" customFormat="1" ht="15" customHeight="1" x14ac:dyDescent="0.35">
      <c r="A34" s="3" t="s">
        <v>41</v>
      </c>
      <c r="B34" s="24">
        <f ca="1">ROUND(FIRE1121_raw!B34,0)</f>
        <v>12</v>
      </c>
      <c r="C34" s="24">
        <f ca="1">ROUND(FIRE1121_raw!C34,0)</f>
        <v>1</v>
      </c>
      <c r="D34" s="24">
        <f ca="1">ROUND(FIRE1121_raw!D34,0)</f>
        <v>0</v>
      </c>
      <c r="E34" s="24">
        <f ca="1">ROUND(FIRE1121_raw!E34,0)</f>
        <v>0</v>
      </c>
      <c r="F34" s="24">
        <f ca="1">ROUND(FIRE1121_raw!F34,0)</f>
        <v>0</v>
      </c>
      <c r="G34" s="24">
        <f ca="1">ROUND(FIRE1121_raw!G34,0)</f>
        <v>0</v>
      </c>
      <c r="H34" s="101">
        <f t="shared" ca="1" si="7"/>
        <v>7.6923076923076927E-2</v>
      </c>
      <c r="I34" s="46">
        <f t="shared" ca="1" si="8"/>
        <v>0</v>
      </c>
      <c r="J34" s="72"/>
      <c r="K34" s="24">
        <f ca="1">ROUND(FIRE1121_raw!K34,0)</f>
        <v>52</v>
      </c>
      <c r="L34" s="24">
        <f ca="1">ROUND(FIRE1121_raw!L34,0)</f>
        <v>0</v>
      </c>
      <c r="M34" s="24">
        <f ca="1">ROUND(FIRE1121_raw!M34,0)</f>
        <v>0</v>
      </c>
      <c r="N34" s="24">
        <f ca="1">ROUND(FIRE1121_raw!N34,0)</f>
        <v>0</v>
      </c>
      <c r="O34" s="24">
        <f ca="1">ROUND(FIRE1121_raw!O34,0)</f>
        <v>0</v>
      </c>
      <c r="P34" s="24">
        <f ca="1">ROUND(FIRE1121_raw!P34,0)</f>
        <v>1</v>
      </c>
      <c r="Q34" s="101">
        <f t="shared" ca="1" si="10"/>
        <v>0</v>
      </c>
      <c r="R34" s="46">
        <f t="shared" ca="1" si="11"/>
        <v>1.8867924528301886E-2</v>
      </c>
      <c r="S34" s="72"/>
      <c r="T34" s="22">
        <f t="shared" ca="1" si="12"/>
        <v>64</v>
      </c>
      <c r="U34" s="22">
        <f t="shared" ca="1" si="12"/>
        <v>1</v>
      </c>
      <c r="V34" s="22">
        <f t="shared" ca="1" si="12"/>
        <v>0</v>
      </c>
      <c r="W34" s="22">
        <f t="shared" ca="1" si="12"/>
        <v>0</v>
      </c>
      <c r="X34" s="22">
        <f t="shared" ca="1" si="12"/>
        <v>0</v>
      </c>
      <c r="Y34" s="22">
        <f t="shared" ca="1" si="12"/>
        <v>1</v>
      </c>
      <c r="Z34" s="101">
        <f t="shared" ca="1" si="13"/>
        <v>1.5384615384615385E-2</v>
      </c>
      <c r="AA34" s="101">
        <f t="shared" ca="1" si="14"/>
        <v>1.5151515151515152E-2</v>
      </c>
      <c r="AB34" s="24"/>
      <c r="AC34" s="24">
        <f ca="1">ROUND(FIRE1121_raw!AC34,0)</f>
        <v>4</v>
      </c>
      <c r="AD34" s="24">
        <f ca="1">ROUND(FIRE1121_raw!AD34,0)</f>
        <v>0</v>
      </c>
      <c r="AE34" s="24">
        <f ca="1">ROUND(FIRE1121_raw!AE34,0)</f>
        <v>0</v>
      </c>
      <c r="AF34" s="24">
        <f ca="1">ROUND(FIRE1121_raw!AF34,0)</f>
        <v>0</v>
      </c>
      <c r="AG34" s="24">
        <f ca="1">ROUND(FIRE1121_raw!AG34,0)</f>
        <v>0</v>
      </c>
      <c r="AH34" s="24">
        <f ca="1">ROUND(FIRE1121_raw!AH34,0)</f>
        <v>0</v>
      </c>
      <c r="AI34" s="101">
        <f t="shared" ca="1" si="16"/>
        <v>0</v>
      </c>
      <c r="AJ34" s="46">
        <f t="shared" ca="1" si="17"/>
        <v>0</v>
      </c>
      <c r="AK34" s="72"/>
      <c r="AL34" s="24">
        <f ca="1">ROUND(FIRE1121_raw!AL34,0)</f>
        <v>8</v>
      </c>
      <c r="AM34" s="24">
        <f ca="1">ROUND(FIRE1121_raw!AM34,0)</f>
        <v>0</v>
      </c>
      <c r="AN34" s="24">
        <f ca="1">ROUND(FIRE1121_raw!AN34,0)</f>
        <v>0</v>
      </c>
      <c r="AO34" s="24">
        <f ca="1">ROUND(FIRE1121_raw!AO34,0)</f>
        <v>1</v>
      </c>
      <c r="AP34" s="24">
        <f ca="1">ROUND(FIRE1121_raw!AP34,0)</f>
        <v>0</v>
      </c>
      <c r="AQ34" s="24">
        <f ca="1">ROUND(FIRE1121_raw!AQ34,0)</f>
        <v>1</v>
      </c>
      <c r="AR34" s="101">
        <f t="shared" ca="1" si="19"/>
        <v>0.1111111111111111</v>
      </c>
      <c r="AS34" s="46">
        <f t="shared" ca="1" si="20"/>
        <v>0.1</v>
      </c>
      <c r="AT34" s="72"/>
      <c r="AU34" s="22">
        <f t="shared" ca="1" si="21"/>
        <v>76</v>
      </c>
      <c r="AV34" s="22">
        <f t="shared" ca="1" si="21"/>
        <v>1</v>
      </c>
      <c r="AW34" s="22">
        <f t="shared" ca="1" si="21"/>
        <v>0</v>
      </c>
      <c r="AX34" s="22">
        <f t="shared" ca="1" si="21"/>
        <v>1</v>
      </c>
      <c r="AY34" s="22">
        <f t="shared" ca="1" si="21"/>
        <v>0</v>
      </c>
      <c r="AZ34" s="22">
        <f t="shared" ca="1" si="21"/>
        <v>2</v>
      </c>
      <c r="BA34" s="101">
        <f t="shared" ca="1" si="22"/>
        <v>2.564102564102564E-2</v>
      </c>
      <c r="BB34" s="101">
        <f t="shared" ca="1" si="23"/>
        <v>2.5000000000000001E-2</v>
      </c>
      <c r="BC34" s="19"/>
      <c r="BD34" s="19"/>
      <c r="BE34" s="19"/>
      <c r="BF34" s="19"/>
      <c r="BG34" s="19"/>
      <c r="BH34" s="19"/>
      <c r="BI34" s="19"/>
      <c r="BJ34" s="19"/>
      <c r="BK34" s="19"/>
    </row>
    <row r="35" spans="1:63" s="8" customFormat="1" ht="15" customHeight="1" x14ac:dyDescent="0.35">
      <c r="A35" s="3" t="s">
        <v>42</v>
      </c>
      <c r="B35" s="24">
        <f ca="1">ROUND(FIRE1121_raw!B35,0)</f>
        <v>25</v>
      </c>
      <c r="C35" s="24">
        <f ca="1">ROUND(FIRE1121_raw!C35,0)</f>
        <v>1</v>
      </c>
      <c r="D35" s="24">
        <f ca="1">ROUND(FIRE1121_raw!D35,0)</f>
        <v>0</v>
      </c>
      <c r="E35" s="24">
        <f ca="1">ROUND(FIRE1121_raw!E35,0)</f>
        <v>0</v>
      </c>
      <c r="F35" s="24">
        <f ca="1">ROUND(FIRE1121_raw!F35,0)</f>
        <v>0</v>
      </c>
      <c r="G35" s="24">
        <f ca="1">ROUND(FIRE1121_raw!G35,0)</f>
        <v>4</v>
      </c>
      <c r="H35" s="101">
        <f t="shared" ca="1" si="7"/>
        <v>3.8461538461538464E-2</v>
      </c>
      <c r="I35" s="46">
        <f t="shared" ca="1" si="8"/>
        <v>0.13333333333333333</v>
      </c>
      <c r="J35" s="72"/>
      <c r="K35" s="24">
        <f ca="1">ROUND(FIRE1121_raw!K35,0)</f>
        <v>32</v>
      </c>
      <c r="L35" s="24">
        <f ca="1">ROUND(FIRE1121_raw!L35,0)</f>
        <v>0</v>
      </c>
      <c r="M35" s="24">
        <f ca="1">ROUND(FIRE1121_raw!M35,0)</f>
        <v>0</v>
      </c>
      <c r="N35" s="24">
        <f ca="1">ROUND(FIRE1121_raw!N35,0)</f>
        <v>0</v>
      </c>
      <c r="O35" s="24">
        <f ca="1">ROUND(FIRE1121_raw!O35,0)</f>
        <v>0</v>
      </c>
      <c r="P35" s="24">
        <f ca="1">ROUND(FIRE1121_raw!P35,0)</f>
        <v>6</v>
      </c>
      <c r="Q35" s="101">
        <f t="shared" ca="1" si="10"/>
        <v>0</v>
      </c>
      <c r="R35" s="46">
        <f t="shared" ca="1" si="11"/>
        <v>0.15789473684210525</v>
      </c>
      <c r="S35" s="72"/>
      <c r="T35" s="22">
        <f t="shared" ca="1" si="12"/>
        <v>57</v>
      </c>
      <c r="U35" s="22">
        <f t="shared" ca="1" si="12"/>
        <v>1</v>
      </c>
      <c r="V35" s="22">
        <f t="shared" ca="1" si="12"/>
        <v>0</v>
      </c>
      <c r="W35" s="22">
        <f t="shared" ca="1" si="12"/>
        <v>0</v>
      </c>
      <c r="X35" s="22">
        <f t="shared" ca="1" si="12"/>
        <v>0</v>
      </c>
      <c r="Y35" s="22">
        <f t="shared" ca="1" si="12"/>
        <v>10</v>
      </c>
      <c r="Z35" s="101">
        <f t="shared" ca="1" si="13"/>
        <v>1.7241379310344827E-2</v>
      </c>
      <c r="AA35" s="101">
        <f t="shared" ca="1" si="14"/>
        <v>0.14705882352941177</v>
      </c>
      <c r="AB35" s="24"/>
      <c r="AC35" s="24">
        <f ca="1">ROUND(FIRE1121_raw!AC35,0)</f>
        <v>2</v>
      </c>
      <c r="AD35" s="24">
        <f ca="1">ROUND(FIRE1121_raw!AD35,0)</f>
        <v>0</v>
      </c>
      <c r="AE35" s="24">
        <f ca="1">ROUND(FIRE1121_raw!AE35,0)</f>
        <v>0</v>
      </c>
      <c r="AF35" s="24">
        <f ca="1">ROUND(FIRE1121_raw!AF35,0)</f>
        <v>0</v>
      </c>
      <c r="AG35" s="24">
        <f ca="1">ROUND(FIRE1121_raw!AG35,0)</f>
        <v>0</v>
      </c>
      <c r="AH35" s="24">
        <f ca="1">ROUND(FIRE1121_raw!AH35,0)</f>
        <v>0</v>
      </c>
      <c r="AI35" s="101">
        <f t="shared" ca="1" si="16"/>
        <v>0</v>
      </c>
      <c r="AJ35" s="46">
        <f t="shared" ca="1" si="17"/>
        <v>0</v>
      </c>
      <c r="AK35" s="72"/>
      <c r="AL35" s="24">
        <f ca="1">ROUND(FIRE1121_raw!AL35,0)</f>
        <v>6</v>
      </c>
      <c r="AM35" s="24">
        <f ca="1">ROUND(FIRE1121_raw!AM35,0)</f>
        <v>0</v>
      </c>
      <c r="AN35" s="24">
        <f ca="1">ROUND(FIRE1121_raw!AN35,0)</f>
        <v>0</v>
      </c>
      <c r="AO35" s="24">
        <f ca="1">ROUND(FIRE1121_raw!AO35,0)</f>
        <v>0</v>
      </c>
      <c r="AP35" s="24">
        <f ca="1">ROUND(FIRE1121_raw!AP35,0)</f>
        <v>0</v>
      </c>
      <c r="AQ35" s="24">
        <f ca="1">ROUND(FIRE1121_raw!AQ35,0)</f>
        <v>4</v>
      </c>
      <c r="AR35" s="101">
        <f t="shared" ca="1" si="19"/>
        <v>0</v>
      </c>
      <c r="AS35" s="46">
        <f t="shared" ca="1" si="20"/>
        <v>0.4</v>
      </c>
      <c r="AT35" s="72"/>
      <c r="AU35" s="22">
        <f t="shared" ca="1" si="21"/>
        <v>65</v>
      </c>
      <c r="AV35" s="22">
        <f t="shared" ca="1" si="21"/>
        <v>1</v>
      </c>
      <c r="AW35" s="22">
        <f t="shared" ca="1" si="21"/>
        <v>0</v>
      </c>
      <c r="AX35" s="22">
        <f t="shared" ca="1" si="21"/>
        <v>0</v>
      </c>
      <c r="AY35" s="22">
        <f t="shared" ca="1" si="21"/>
        <v>0</v>
      </c>
      <c r="AZ35" s="22">
        <f t="shared" ca="1" si="21"/>
        <v>14</v>
      </c>
      <c r="BA35" s="101">
        <f t="shared" ca="1" si="22"/>
        <v>1.5151515151515152E-2</v>
      </c>
      <c r="BB35" s="101">
        <f t="shared" ca="1" si="23"/>
        <v>0.17499999999999999</v>
      </c>
      <c r="BC35" s="19"/>
      <c r="BD35" s="19"/>
      <c r="BE35" s="19"/>
      <c r="BF35" s="19"/>
      <c r="BG35" s="19"/>
      <c r="BH35" s="19"/>
      <c r="BI35" s="19"/>
      <c r="BJ35" s="19"/>
      <c r="BK35" s="19"/>
    </row>
    <row r="36" spans="1:63" s="8" customFormat="1" ht="15" customHeight="1" x14ac:dyDescent="0.35">
      <c r="A36" s="2" t="s">
        <v>43</v>
      </c>
      <c r="B36" s="24">
        <f ca="1">ROUND(FIRE1121_raw!B36,0)</f>
        <v>0</v>
      </c>
      <c r="C36" s="24">
        <f ca="1">ROUND(FIRE1121_raw!C36,0)</f>
        <v>0</v>
      </c>
      <c r="D36" s="24">
        <f ca="1">ROUND(FIRE1121_raw!D36,0)</f>
        <v>0</v>
      </c>
      <c r="E36" s="24">
        <f ca="1">ROUND(FIRE1121_raw!E36,0)</f>
        <v>0</v>
      </c>
      <c r="F36" s="24">
        <f ca="1">ROUND(FIRE1121_raw!F36,0)</f>
        <v>0</v>
      </c>
      <c r="G36" s="24">
        <f ca="1">ROUND(FIRE1121_raw!G36,0)</f>
        <v>0</v>
      </c>
      <c r="H36" s="101" t="str">
        <f t="shared" ca="1" si="7"/>
        <v>-</v>
      </c>
      <c r="I36" s="46" t="str">
        <f t="shared" ca="1" si="8"/>
        <v>-</v>
      </c>
      <c r="J36" s="72"/>
      <c r="K36" s="24">
        <f ca="1">ROUND(FIRE1121_raw!K36,0)</f>
        <v>0</v>
      </c>
      <c r="L36" s="24">
        <f ca="1">ROUND(FIRE1121_raw!L36,0)</f>
        <v>0</v>
      </c>
      <c r="M36" s="24">
        <f ca="1">ROUND(FIRE1121_raw!M36,0)</f>
        <v>0</v>
      </c>
      <c r="N36" s="24">
        <f ca="1">ROUND(FIRE1121_raw!N36,0)</f>
        <v>0</v>
      </c>
      <c r="O36" s="24">
        <f ca="1">ROUND(FIRE1121_raw!O36,0)</f>
        <v>0</v>
      </c>
      <c r="P36" s="24">
        <f ca="1">ROUND(FIRE1121_raw!P36,0)</f>
        <v>0</v>
      </c>
      <c r="Q36" s="101" t="str">
        <f t="shared" ca="1" si="10"/>
        <v>-</v>
      </c>
      <c r="R36" s="46" t="str">
        <f t="shared" ca="1" si="11"/>
        <v>-</v>
      </c>
      <c r="S36" s="72"/>
      <c r="T36" s="22">
        <f t="shared" ca="1" si="12"/>
        <v>0</v>
      </c>
      <c r="U36" s="22">
        <f t="shared" ca="1" si="12"/>
        <v>0</v>
      </c>
      <c r="V36" s="22">
        <f t="shared" ca="1" si="12"/>
        <v>0</v>
      </c>
      <c r="W36" s="22">
        <f t="shared" ca="1" si="12"/>
        <v>0</v>
      </c>
      <c r="X36" s="22">
        <f t="shared" ca="1" si="12"/>
        <v>0</v>
      </c>
      <c r="Y36" s="22">
        <f t="shared" ca="1" si="12"/>
        <v>0</v>
      </c>
      <c r="Z36" s="101" t="str">
        <f t="shared" ca="1" si="13"/>
        <v>-</v>
      </c>
      <c r="AA36" s="101" t="str">
        <f t="shared" ca="1" si="14"/>
        <v>-</v>
      </c>
      <c r="AB36" s="24"/>
      <c r="AC36" s="24">
        <f ca="1">ROUND(FIRE1121_raw!AC36,0)</f>
        <v>5</v>
      </c>
      <c r="AD36" s="24">
        <f ca="1">ROUND(FIRE1121_raw!AD36,0)</f>
        <v>0</v>
      </c>
      <c r="AE36" s="24">
        <f ca="1">ROUND(FIRE1121_raw!AE36,0)</f>
        <v>0</v>
      </c>
      <c r="AF36" s="24">
        <f ca="1">ROUND(FIRE1121_raw!AF36,0)</f>
        <v>0</v>
      </c>
      <c r="AG36" s="24">
        <f ca="1">ROUND(FIRE1121_raw!AG36,0)</f>
        <v>2</v>
      </c>
      <c r="AH36" s="24">
        <f ca="1">ROUND(FIRE1121_raw!AH36,0)</f>
        <v>0</v>
      </c>
      <c r="AI36" s="101">
        <f t="shared" ca="1" si="16"/>
        <v>0.2857142857142857</v>
      </c>
      <c r="AJ36" s="46">
        <f t="shared" ca="1" si="17"/>
        <v>0</v>
      </c>
      <c r="AK36" s="72"/>
      <c r="AL36" s="24">
        <f ca="1">ROUND(FIRE1121_raw!AL36,0)</f>
        <v>1</v>
      </c>
      <c r="AM36" s="24">
        <f ca="1">ROUND(FIRE1121_raw!AM36,0)</f>
        <v>0</v>
      </c>
      <c r="AN36" s="24">
        <f ca="1">ROUND(FIRE1121_raw!AN36,0)</f>
        <v>0</v>
      </c>
      <c r="AO36" s="24">
        <f ca="1">ROUND(FIRE1121_raw!AO36,0)</f>
        <v>0</v>
      </c>
      <c r="AP36" s="24">
        <f ca="1">ROUND(FIRE1121_raw!AP36,0)</f>
        <v>0</v>
      </c>
      <c r="AQ36" s="24">
        <f ca="1">ROUND(FIRE1121_raw!AQ36,0)</f>
        <v>0</v>
      </c>
      <c r="AR36" s="101">
        <f t="shared" ca="1" si="19"/>
        <v>0</v>
      </c>
      <c r="AS36" s="46">
        <f t="shared" ca="1" si="20"/>
        <v>0</v>
      </c>
      <c r="AT36" s="72"/>
      <c r="AU36" s="22">
        <f t="shared" ca="1" si="21"/>
        <v>6</v>
      </c>
      <c r="AV36" s="22">
        <f t="shared" ca="1" si="21"/>
        <v>0</v>
      </c>
      <c r="AW36" s="22">
        <f t="shared" ca="1" si="21"/>
        <v>0</v>
      </c>
      <c r="AX36" s="22">
        <f t="shared" ca="1" si="21"/>
        <v>0</v>
      </c>
      <c r="AY36" s="22">
        <f t="shared" ca="1" si="21"/>
        <v>2</v>
      </c>
      <c r="AZ36" s="22">
        <f t="shared" ca="1" si="21"/>
        <v>0</v>
      </c>
      <c r="BA36" s="101">
        <f t="shared" ca="1" si="22"/>
        <v>0.25</v>
      </c>
      <c r="BB36" s="101">
        <f t="shared" ca="1" si="23"/>
        <v>0</v>
      </c>
      <c r="BC36" s="19"/>
      <c r="BD36" s="19"/>
      <c r="BE36" s="19"/>
      <c r="BF36" s="19"/>
      <c r="BG36" s="19"/>
      <c r="BH36" s="19"/>
      <c r="BI36" s="19"/>
      <c r="BJ36" s="19"/>
      <c r="BK36" s="19"/>
    </row>
    <row r="37" spans="1:63" s="8" customFormat="1" ht="15" customHeight="1" x14ac:dyDescent="0.35">
      <c r="A37" s="3" t="s">
        <v>44</v>
      </c>
      <c r="B37" s="24">
        <f ca="1">ROUND(FIRE1121_raw!B37,0)</f>
        <v>25</v>
      </c>
      <c r="C37" s="24">
        <f ca="1">ROUND(FIRE1121_raw!C37,0)</f>
        <v>0</v>
      </c>
      <c r="D37" s="24">
        <f ca="1">ROUND(FIRE1121_raw!D37,0)</f>
        <v>0</v>
      </c>
      <c r="E37" s="24">
        <f ca="1">ROUND(FIRE1121_raw!E37,0)</f>
        <v>0</v>
      </c>
      <c r="F37" s="24">
        <f ca="1">ROUND(FIRE1121_raw!F37,0)</f>
        <v>0</v>
      </c>
      <c r="G37" s="24">
        <f ca="1">ROUND(FIRE1121_raw!G37,0)</f>
        <v>5</v>
      </c>
      <c r="H37" s="101">
        <f t="shared" ca="1" si="7"/>
        <v>0</v>
      </c>
      <c r="I37" s="46">
        <f t="shared" ca="1" si="8"/>
        <v>0.16666666666666666</v>
      </c>
      <c r="J37" s="72"/>
      <c r="K37" s="24">
        <f ca="1">ROUND(FIRE1121_raw!K37,0)</f>
        <v>41</v>
      </c>
      <c r="L37" s="24">
        <f ca="1">ROUND(FIRE1121_raw!L37,0)</f>
        <v>0</v>
      </c>
      <c r="M37" s="24">
        <f ca="1">ROUND(FIRE1121_raw!M37,0)</f>
        <v>0</v>
      </c>
      <c r="N37" s="24">
        <f ca="1">ROUND(FIRE1121_raw!N37,0)</f>
        <v>0</v>
      </c>
      <c r="O37" s="24">
        <f ca="1">ROUND(FIRE1121_raw!O37,0)</f>
        <v>0</v>
      </c>
      <c r="P37" s="24">
        <f ca="1">ROUND(FIRE1121_raw!P37,0)</f>
        <v>0</v>
      </c>
      <c r="Q37" s="101">
        <f t="shared" ca="1" si="10"/>
        <v>0</v>
      </c>
      <c r="R37" s="46">
        <f t="shared" ca="1" si="11"/>
        <v>0</v>
      </c>
      <c r="S37" s="72"/>
      <c r="T37" s="22">
        <f t="shared" ca="1" si="12"/>
        <v>66</v>
      </c>
      <c r="U37" s="22">
        <f t="shared" ca="1" si="12"/>
        <v>0</v>
      </c>
      <c r="V37" s="22">
        <f t="shared" ca="1" si="12"/>
        <v>0</v>
      </c>
      <c r="W37" s="22">
        <f t="shared" ca="1" si="12"/>
        <v>0</v>
      </c>
      <c r="X37" s="22">
        <f t="shared" ca="1" si="12"/>
        <v>0</v>
      </c>
      <c r="Y37" s="22">
        <f t="shared" ca="1" si="12"/>
        <v>5</v>
      </c>
      <c r="Z37" s="101">
        <f t="shared" ca="1" si="13"/>
        <v>0</v>
      </c>
      <c r="AA37" s="101">
        <f t="shared" ca="1" si="14"/>
        <v>7.0422535211267609E-2</v>
      </c>
      <c r="AB37" s="24"/>
      <c r="AC37" s="24">
        <f ca="1">ROUND(FIRE1121_raw!AC37,0)</f>
        <v>4</v>
      </c>
      <c r="AD37" s="24">
        <f ca="1">ROUND(FIRE1121_raw!AD37,0)</f>
        <v>0</v>
      </c>
      <c r="AE37" s="24">
        <f ca="1">ROUND(FIRE1121_raw!AE37,0)</f>
        <v>0</v>
      </c>
      <c r="AF37" s="24">
        <f ca="1">ROUND(FIRE1121_raw!AF37,0)</f>
        <v>0</v>
      </c>
      <c r="AG37" s="24">
        <f ca="1">ROUND(FIRE1121_raw!AG37,0)</f>
        <v>0</v>
      </c>
      <c r="AH37" s="24">
        <f ca="1">ROUND(FIRE1121_raw!AH37,0)</f>
        <v>0</v>
      </c>
      <c r="AI37" s="101">
        <f t="shared" ca="1" si="16"/>
        <v>0</v>
      </c>
      <c r="AJ37" s="46">
        <f t="shared" ca="1" si="17"/>
        <v>0</v>
      </c>
      <c r="AK37" s="72"/>
      <c r="AL37" s="24">
        <f ca="1">ROUND(FIRE1121_raw!AL37,0)</f>
        <v>18</v>
      </c>
      <c r="AM37" s="24">
        <f ca="1">ROUND(FIRE1121_raw!AM37,0)</f>
        <v>0</v>
      </c>
      <c r="AN37" s="24">
        <f ca="1">ROUND(FIRE1121_raw!AN37,0)</f>
        <v>0</v>
      </c>
      <c r="AO37" s="24">
        <f ca="1">ROUND(FIRE1121_raw!AO37,0)</f>
        <v>0</v>
      </c>
      <c r="AP37" s="24">
        <f ca="1">ROUND(FIRE1121_raw!AP37,0)</f>
        <v>0</v>
      </c>
      <c r="AQ37" s="24">
        <f ca="1">ROUND(FIRE1121_raw!AQ37,0)</f>
        <v>0</v>
      </c>
      <c r="AR37" s="101">
        <f t="shared" ca="1" si="19"/>
        <v>0</v>
      </c>
      <c r="AS37" s="46">
        <f t="shared" ca="1" si="20"/>
        <v>0</v>
      </c>
      <c r="AT37" s="72"/>
      <c r="AU37" s="22">
        <f t="shared" ca="1" si="21"/>
        <v>88</v>
      </c>
      <c r="AV37" s="22">
        <f t="shared" ca="1" si="21"/>
        <v>0</v>
      </c>
      <c r="AW37" s="22">
        <f t="shared" ca="1" si="21"/>
        <v>0</v>
      </c>
      <c r="AX37" s="22">
        <f t="shared" ca="1" si="21"/>
        <v>0</v>
      </c>
      <c r="AY37" s="22">
        <f t="shared" ca="1" si="21"/>
        <v>0</v>
      </c>
      <c r="AZ37" s="22">
        <f t="shared" ca="1" si="21"/>
        <v>5</v>
      </c>
      <c r="BA37" s="101">
        <f t="shared" ca="1" si="22"/>
        <v>0</v>
      </c>
      <c r="BB37" s="101">
        <f t="shared" ca="1" si="23"/>
        <v>5.3763440860215055E-2</v>
      </c>
      <c r="BC37" s="19"/>
      <c r="BD37" s="19"/>
      <c r="BE37" s="19"/>
      <c r="BF37" s="19"/>
      <c r="BG37" s="19"/>
      <c r="BH37" s="19"/>
      <c r="BI37" s="19"/>
      <c r="BJ37" s="19"/>
      <c r="BK37" s="19"/>
    </row>
    <row r="38" spans="1:63" s="8" customFormat="1" ht="15" customHeight="1" x14ac:dyDescent="0.35">
      <c r="A38" s="3" t="s">
        <v>45</v>
      </c>
      <c r="B38" s="24">
        <f ca="1">ROUND(FIRE1121_raw!B38,0)</f>
        <v>1</v>
      </c>
      <c r="C38" s="24">
        <f ca="1">ROUND(FIRE1121_raw!C38,0)</f>
        <v>0</v>
      </c>
      <c r="D38" s="24">
        <f ca="1">ROUND(FIRE1121_raw!D38,0)</f>
        <v>0</v>
      </c>
      <c r="E38" s="24">
        <f ca="1">ROUND(FIRE1121_raw!E38,0)</f>
        <v>0</v>
      </c>
      <c r="F38" s="24">
        <f ca="1">ROUND(FIRE1121_raw!F38,0)</f>
        <v>0</v>
      </c>
      <c r="G38" s="24">
        <f ca="1">ROUND(FIRE1121_raw!G38,0)</f>
        <v>8</v>
      </c>
      <c r="H38" s="101">
        <f t="shared" ca="1" si="7"/>
        <v>0</v>
      </c>
      <c r="I38" s="46">
        <f t="shared" ca="1" si="8"/>
        <v>0.88888888888888884</v>
      </c>
      <c r="J38" s="72"/>
      <c r="K38" s="24">
        <f ca="1">ROUND(FIRE1121_raw!K38,0)</f>
        <v>0</v>
      </c>
      <c r="L38" s="24">
        <f ca="1">ROUND(FIRE1121_raw!L38,0)</f>
        <v>0</v>
      </c>
      <c r="M38" s="24">
        <f ca="1">ROUND(FIRE1121_raw!M38,0)</f>
        <v>0</v>
      </c>
      <c r="N38" s="24">
        <f ca="1">ROUND(FIRE1121_raw!N38,0)</f>
        <v>0</v>
      </c>
      <c r="O38" s="24">
        <f ca="1">ROUND(FIRE1121_raw!O38,0)</f>
        <v>0</v>
      </c>
      <c r="P38" s="24">
        <f ca="1">ROUND(FIRE1121_raw!P38,0)</f>
        <v>48</v>
      </c>
      <c r="Q38" s="101" t="str">
        <f t="shared" ca="1" si="10"/>
        <v>-</v>
      </c>
      <c r="R38" s="46">
        <f t="shared" ca="1" si="11"/>
        <v>1</v>
      </c>
      <c r="S38" s="72"/>
      <c r="T38" s="22">
        <f t="shared" ca="1" si="12"/>
        <v>1</v>
      </c>
      <c r="U38" s="22">
        <f t="shared" ca="1" si="12"/>
        <v>0</v>
      </c>
      <c r="V38" s="22">
        <f t="shared" ca="1" si="12"/>
        <v>0</v>
      </c>
      <c r="W38" s="22">
        <f t="shared" ca="1" si="12"/>
        <v>0</v>
      </c>
      <c r="X38" s="22">
        <f t="shared" ca="1" si="12"/>
        <v>0</v>
      </c>
      <c r="Y38" s="22">
        <f t="shared" ca="1" si="12"/>
        <v>56</v>
      </c>
      <c r="Z38" s="101">
        <f t="shared" ca="1" si="13"/>
        <v>0</v>
      </c>
      <c r="AA38" s="101">
        <f t="shared" ca="1" si="14"/>
        <v>0.98245614035087714</v>
      </c>
      <c r="AB38" s="24"/>
      <c r="AC38" s="24">
        <f ca="1">ROUND(FIRE1121_raw!AC38,0)</f>
        <v>3</v>
      </c>
      <c r="AD38" s="24">
        <f ca="1">ROUND(FIRE1121_raw!AD38,0)</f>
        <v>0</v>
      </c>
      <c r="AE38" s="24">
        <f ca="1">ROUND(FIRE1121_raw!AE38,0)</f>
        <v>0</v>
      </c>
      <c r="AF38" s="24">
        <f ca="1">ROUND(FIRE1121_raw!AF38,0)</f>
        <v>0</v>
      </c>
      <c r="AG38" s="24">
        <f ca="1">ROUND(FIRE1121_raw!AG38,0)</f>
        <v>0</v>
      </c>
      <c r="AH38" s="24">
        <f ca="1">ROUND(FIRE1121_raw!AH38,0)</f>
        <v>1</v>
      </c>
      <c r="AI38" s="101">
        <f t="shared" ca="1" si="16"/>
        <v>0</v>
      </c>
      <c r="AJ38" s="46">
        <f t="shared" ca="1" si="17"/>
        <v>0.25</v>
      </c>
      <c r="AK38" s="72"/>
      <c r="AL38" s="24">
        <f ca="1">ROUND(FIRE1121_raw!AL38,0)</f>
        <v>3</v>
      </c>
      <c r="AM38" s="24">
        <f ca="1">ROUND(FIRE1121_raw!AM38,0)</f>
        <v>0</v>
      </c>
      <c r="AN38" s="24">
        <f ca="1">ROUND(FIRE1121_raw!AN38,0)</f>
        <v>0</v>
      </c>
      <c r="AO38" s="24">
        <f ca="1">ROUND(FIRE1121_raw!AO38,0)</f>
        <v>0</v>
      </c>
      <c r="AP38" s="24">
        <f ca="1">ROUND(FIRE1121_raw!AP38,0)</f>
        <v>0</v>
      </c>
      <c r="AQ38" s="24">
        <f ca="1">ROUND(FIRE1121_raw!AQ38,0)</f>
        <v>6</v>
      </c>
      <c r="AR38" s="101">
        <f t="shared" ca="1" si="19"/>
        <v>0</v>
      </c>
      <c r="AS38" s="46">
        <f t="shared" ca="1" si="20"/>
        <v>0.66666666666666663</v>
      </c>
      <c r="AT38" s="72"/>
      <c r="AU38" s="22">
        <f t="shared" ca="1" si="21"/>
        <v>7</v>
      </c>
      <c r="AV38" s="22">
        <f t="shared" ca="1" si="21"/>
        <v>0</v>
      </c>
      <c r="AW38" s="22">
        <f t="shared" ca="1" si="21"/>
        <v>0</v>
      </c>
      <c r="AX38" s="22">
        <f t="shared" ca="1" si="21"/>
        <v>0</v>
      </c>
      <c r="AY38" s="22">
        <f t="shared" ca="1" si="21"/>
        <v>0</v>
      </c>
      <c r="AZ38" s="22">
        <f t="shared" ca="1" si="21"/>
        <v>63</v>
      </c>
      <c r="BA38" s="101">
        <f t="shared" ca="1" si="22"/>
        <v>0</v>
      </c>
      <c r="BB38" s="101">
        <f t="shared" ca="1" si="23"/>
        <v>0.9</v>
      </c>
      <c r="BC38" s="19"/>
      <c r="BD38" s="19"/>
      <c r="BE38" s="19"/>
      <c r="BF38" s="19"/>
      <c r="BG38" s="19"/>
      <c r="BH38" s="19"/>
      <c r="BI38" s="19"/>
      <c r="BJ38" s="19"/>
      <c r="BK38" s="19"/>
    </row>
    <row r="39" spans="1:63" s="8" customFormat="1" ht="15" customHeight="1" x14ac:dyDescent="0.35">
      <c r="A39" s="3" t="s">
        <v>46</v>
      </c>
      <c r="B39" s="24">
        <f ca="1">ROUND(FIRE1121_raw!B39,0)</f>
        <v>9</v>
      </c>
      <c r="C39" s="24">
        <f ca="1">ROUND(FIRE1121_raw!C39,0)</f>
        <v>0</v>
      </c>
      <c r="D39" s="24">
        <f ca="1">ROUND(FIRE1121_raw!D39,0)</f>
        <v>0</v>
      </c>
      <c r="E39" s="24">
        <f ca="1">ROUND(FIRE1121_raw!E39,0)</f>
        <v>0</v>
      </c>
      <c r="F39" s="24">
        <f ca="1">ROUND(FIRE1121_raw!F39,0)</f>
        <v>0</v>
      </c>
      <c r="G39" s="24">
        <f ca="1">ROUND(FIRE1121_raw!G39,0)</f>
        <v>0</v>
      </c>
      <c r="H39" s="101">
        <f t="shared" ca="1" si="7"/>
        <v>0</v>
      </c>
      <c r="I39" s="46">
        <f t="shared" ca="1" si="8"/>
        <v>0</v>
      </c>
      <c r="J39" s="72"/>
      <c r="K39" s="24">
        <f ca="1">ROUND(FIRE1121_raw!K39,0)</f>
        <v>17</v>
      </c>
      <c r="L39" s="24">
        <f ca="1">ROUND(FIRE1121_raw!L39,0)</f>
        <v>0</v>
      </c>
      <c r="M39" s="24">
        <f ca="1">ROUND(FIRE1121_raw!M39,0)</f>
        <v>0</v>
      </c>
      <c r="N39" s="24">
        <f ca="1">ROUND(FIRE1121_raw!N39,0)</f>
        <v>0</v>
      </c>
      <c r="O39" s="24">
        <f ca="1">ROUND(FIRE1121_raw!O39,0)</f>
        <v>0</v>
      </c>
      <c r="P39" s="24">
        <f ca="1">ROUND(FIRE1121_raw!P39,0)</f>
        <v>2</v>
      </c>
      <c r="Q39" s="101">
        <f t="shared" ca="1" si="10"/>
        <v>0</v>
      </c>
      <c r="R39" s="46">
        <f t="shared" ca="1" si="11"/>
        <v>0.10526315789473684</v>
      </c>
      <c r="S39" s="72"/>
      <c r="T39" s="22">
        <f t="shared" ca="1" si="12"/>
        <v>26</v>
      </c>
      <c r="U39" s="22">
        <f t="shared" ca="1" si="12"/>
        <v>0</v>
      </c>
      <c r="V39" s="22">
        <f t="shared" ca="1" si="12"/>
        <v>0</v>
      </c>
      <c r="W39" s="22">
        <f t="shared" ca="1" si="12"/>
        <v>0</v>
      </c>
      <c r="X39" s="22">
        <f t="shared" ca="1" si="12"/>
        <v>0</v>
      </c>
      <c r="Y39" s="22">
        <f t="shared" ca="1" si="12"/>
        <v>2</v>
      </c>
      <c r="Z39" s="101">
        <f t="shared" ca="1" si="13"/>
        <v>0</v>
      </c>
      <c r="AA39" s="101">
        <f t="shared" ca="1" si="14"/>
        <v>7.1428571428571425E-2</v>
      </c>
      <c r="AB39" s="24"/>
      <c r="AC39" s="24">
        <f ca="1">ROUND(FIRE1121_raw!AC39,0)</f>
        <v>0</v>
      </c>
      <c r="AD39" s="24">
        <f ca="1">ROUND(FIRE1121_raw!AD39,0)</f>
        <v>0</v>
      </c>
      <c r="AE39" s="24">
        <f ca="1">ROUND(FIRE1121_raw!AE39,0)</f>
        <v>0</v>
      </c>
      <c r="AF39" s="24">
        <f ca="1">ROUND(FIRE1121_raw!AF39,0)</f>
        <v>0</v>
      </c>
      <c r="AG39" s="24">
        <f ca="1">ROUND(FIRE1121_raw!AG39,0)</f>
        <v>0</v>
      </c>
      <c r="AH39" s="24">
        <f ca="1">ROUND(FIRE1121_raw!AH39,0)</f>
        <v>0</v>
      </c>
      <c r="AI39" s="101" t="str">
        <f t="shared" ca="1" si="16"/>
        <v>-</v>
      </c>
      <c r="AJ39" s="46" t="str">
        <f t="shared" ca="1" si="17"/>
        <v>-</v>
      </c>
      <c r="AK39" s="72"/>
      <c r="AL39" s="24">
        <f ca="1">ROUND(FIRE1121_raw!AL39,0)</f>
        <v>1</v>
      </c>
      <c r="AM39" s="24">
        <f ca="1">ROUND(FIRE1121_raw!AM39,0)</f>
        <v>0</v>
      </c>
      <c r="AN39" s="24">
        <f ca="1">ROUND(FIRE1121_raw!AN39,0)</f>
        <v>0</v>
      </c>
      <c r="AO39" s="24">
        <f ca="1">ROUND(FIRE1121_raw!AO39,0)</f>
        <v>0</v>
      </c>
      <c r="AP39" s="24">
        <f ca="1">ROUND(FIRE1121_raw!AP39,0)</f>
        <v>0</v>
      </c>
      <c r="AQ39" s="24">
        <f ca="1">ROUND(FIRE1121_raw!AQ39,0)</f>
        <v>0</v>
      </c>
      <c r="AR39" s="101">
        <f t="shared" ca="1" si="19"/>
        <v>0</v>
      </c>
      <c r="AS39" s="46">
        <f t="shared" ca="1" si="20"/>
        <v>0</v>
      </c>
      <c r="AT39" s="72"/>
      <c r="AU39" s="22">
        <f t="shared" ca="1" si="21"/>
        <v>27</v>
      </c>
      <c r="AV39" s="22">
        <f t="shared" ca="1" si="21"/>
        <v>0</v>
      </c>
      <c r="AW39" s="22">
        <f t="shared" ca="1" si="21"/>
        <v>0</v>
      </c>
      <c r="AX39" s="22">
        <f t="shared" ca="1" si="21"/>
        <v>0</v>
      </c>
      <c r="AY39" s="22">
        <f t="shared" ca="1" si="21"/>
        <v>0</v>
      </c>
      <c r="AZ39" s="22">
        <f t="shared" ca="1" si="21"/>
        <v>2</v>
      </c>
      <c r="BA39" s="101">
        <f t="shared" ca="1" si="22"/>
        <v>0</v>
      </c>
      <c r="BB39" s="101">
        <f t="shared" ca="1" si="23"/>
        <v>6.8965517241379309E-2</v>
      </c>
      <c r="BC39" s="19"/>
      <c r="BD39" s="19"/>
      <c r="BE39" s="19"/>
      <c r="BF39" s="19"/>
      <c r="BG39" s="19"/>
      <c r="BH39" s="19"/>
      <c r="BI39" s="19"/>
      <c r="BJ39" s="19"/>
      <c r="BK39" s="19"/>
    </row>
    <row r="40" spans="1:63" s="8" customFormat="1" ht="15" customHeight="1" x14ac:dyDescent="0.35">
      <c r="A40" s="2" t="s">
        <v>47</v>
      </c>
      <c r="B40" s="24">
        <f ca="1">ROUND(FIRE1121_raw!B40,0)</f>
        <v>24</v>
      </c>
      <c r="C40" s="24">
        <f ca="1">ROUND(FIRE1121_raw!C40,0)</f>
        <v>5</v>
      </c>
      <c r="D40" s="24">
        <f ca="1">ROUND(FIRE1121_raw!D40,0)</f>
        <v>1</v>
      </c>
      <c r="E40" s="24">
        <f ca="1">ROUND(FIRE1121_raw!E40,0)</f>
        <v>0</v>
      </c>
      <c r="F40" s="24">
        <f ca="1">ROUND(FIRE1121_raw!F40,0)</f>
        <v>0</v>
      </c>
      <c r="G40" s="24">
        <f ca="1">ROUND(FIRE1121_raw!G40,0)</f>
        <v>0</v>
      </c>
      <c r="H40" s="101">
        <f t="shared" ca="1" si="7"/>
        <v>0.2</v>
      </c>
      <c r="I40" s="46">
        <f t="shared" ca="1" si="8"/>
        <v>0</v>
      </c>
      <c r="J40" s="72"/>
      <c r="K40" s="24">
        <f ca="1">ROUND(FIRE1121_raw!K40,0)</f>
        <v>25</v>
      </c>
      <c r="L40" s="24">
        <f ca="1">ROUND(FIRE1121_raw!L40,0)</f>
        <v>0</v>
      </c>
      <c r="M40" s="24">
        <f ca="1">ROUND(FIRE1121_raw!M40,0)</f>
        <v>0</v>
      </c>
      <c r="N40" s="24">
        <f ca="1">ROUND(FIRE1121_raw!N40,0)</f>
        <v>0</v>
      </c>
      <c r="O40" s="24">
        <f ca="1">ROUND(FIRE1121_raw!O40,0)</f>
        <v>0</v>
      </c>
      <c r="P40" s="24">
        <f ca="1">ROUND(FIRE1121_raw!P40,0)</f>
        <v>0</v>
      </c>
      <c r="Q40" s="101">
        <f t="shared" ca="1" si="10"/>
        <v>0</v>
      </c>
      <c r="R40" s="46">
        <f t="shared" ca="1" si="11"/>
        <v>0</v>
      </c>
      <c r="S40" s="72"/>
      <c r="T40" s="22">
        <f t="shared" ca="1" si="12"/>
        <v>49</v>
      </c>
      <c r="U40" s="22">
        <f t="shared" ca="1" si="12"/>
        <v>5</v>
      </c>
      <c r="V40" s="22">
        <f t="shared" ca="1" si="12"/>
        <v>1</v>
      </c>
      <c r="W40" s="22">
        <f t="shared" ca="1" si="12"/>
        <v>0</v>
      </c>
      <c r="X40" s="22">
        <f t="shared" ca="1" si="12"/>
        <v>0</v>
      </c>
      <c r="Y40" s="22">
        <f t="shared" ca="1" si="12"/>
        <v>0</v>
      </c>
      <c r="Z40" s="101">
        <f t="shared" ca="1" si="13"/>
        <v>0.10909090909090909</v>
      </c>
      <c r="AA40" s="101">
        <f t="shared" ca="1" si="14"/>
        <v>0</v>
      </c>
      <c r="AB40" s="24"/>
      <c r="AC40" s="24">
        <f ca="1">ROUND(FIRE1121_raw!AC40,0)</f>
        <v>0</v>
      </c>
      <c r="AD40" s="24">
        <f ca="1">ROUND(FIRE1121_raw!AD40,0)</f>
        <v>0</v>
      </c>
      <c r="AE40" s="24">
        <f ca="1">ROUND(FIRE1121_raw!AE40,0)</f>
        <v>0</v>
      </c>
      <c r="AF40" s="24">
        <f ca="1">ROUND(FIRE1121_raw!AF40,0)</f>
        <v>0</v>
      </c>
      <c r="AG40" s="24">
        <f ca="1">ROUND(FIRE1121_raw!AG40,0)</f>
        <v>0</v>
      </c>
      <c r="AH40" s="24">
        <f ca="1">ROUND(FIRE1121_raw!AH40,0)</f>
        <v>0</v>
      </c>
      <c r="AI40" s="101" t="str">
        <f t="shared" ca="1" si="16"/>
        <v>-</v>
      </c>
      <c r="AJ40" s="46" t="str">
        <f t="shared" ca="1" si="17"/>
        <v>-</v>
      </c>
      <c r="AK40" s="72"/>
      <c r="AL40" s="24">
        <f ca="1">ROUND(FIRE1121_raw!AL40,0)</f>
        <v>3</v>
      </c>
      <c r="AM40" s="24">
        <f ca="1">ROUND(FIRE1121_raw!AM40,0)</f>
        <v>0</v>
      </c>
      <c r="AN40" s="24">
        <f ca="1">ROUND(FIRE1121_raw!AN40,0)</f>
        <v>0</v>
      </c>
      <c r="AO40" s="24">
        <f ca="1">ROUND(FIRE1121_raw!AO40,0)</f>
        <v>1</v>
      </c>
      <c r="AP40" s="24">
        <f ca="1">ROUND(FIRE1121_raw!AP40,0)</f>
        <v>0</v>
      </c>
      <c r="AQ40" s="24">
        <f ca="1">ROUND(FIRE1121_raw!AQ40,0)</f>
        <v>5</v>
      </c>
      <c r="AR40" s="101">
        <f t="shared" ca="1" si="19"/>
        <v>0.25</v>
      </c>
      <c r="AS40" s="46">
        <f t="shared" ca="1" si="20"/>
        <v>0.55555555555555558</v>
      </c>
      <c r="AT40" s="72"/>
      <c r="AU40" s="22">
        <f t="shared" ca="1" si="21"/>
        <v>52</v>
      </c>
      <c r="AV40" s="22">
        <f t="shared" ca="1" si="21"/>
        <v>5</v>
      </c>
      <c r="AW40" s="22">
        <f t="shared" ca="1" si="21"/>
        <v>1</v>
      </c>
      <c r="AX40" s="22">
        <f t="shared" ca="1" si="21"/>
        <v>1</v>
      </c>
      <c r="AY40" s="22">
        <f t="shared" ca="1" si="21"/>
        <v>0</v>
      </c>
      <c r="AZ40" s="22">
        <f t="shared" ca="1" si="21"/>
        <v>5</v>
      </c>
      <c r="BA40" s="101">
        <f t="shared" ca="1" si="22"/>
        <v>0.11864406779661017</v>
      </c>
      <c r="BB40" s="101">
        <f t="shared" ca="1" si="23"/>
        <v>7.8125E-2</v>
      </c>
      <c r="BC40" s="19"/>
      <c r="BD40" s="19"/>
      <c r="BE40" s="19"/>
      <c r="BF40" s="19"/>
      <c r="BG40" s="19"/>
      <c r="BH40" s="19"/>
      <c r="BI40" s="19"/>
      <c r="BJ40" s="19"/>
      <c r="BK40" s="19"/>
    </row>
    <row r="41" spans="1:63" s="8" customFormat="1" ht="15" customHeight="1" x14ac:dyDescent="0.35">
      <c r="A41" s="2" t="s">
        <v>48</v>
      </c>
      <c r="B41" s="24">
        <f ca="1">ROUND(FIRE1121_raw!B41,0)</f>
        <v>2</v>
      </c>
      <c r="C41" s="24">
        <f ca="1">ROUND(FIRE1121_raw!C41,0)</f>
        <v>0</v>
      </c>
      <c r="D41" s="24">
        <f ca="1">ROUND(FIRE1121_raw!D41,0)</f>
        <v>0</v>
      </c>
      <c r="E41" s="24">
        <f ca="1">ROUND(FIRE1121_raw!E41,0)</f>
        <v>0</v>
      </c>
      <c r="F41" s="24">
        <f ca="1">ROUND(FIRE1121_raw!F41,0)</f>
        <v>0</v>
      </c>
      <c r="G41" s="24">
        <f ca="1">ROUND(FIRE1121_raw!G41,0)</f>
        <v>6</v>
      </c>
      <c r="H41" s="101">
        <f t="shared" ca="1" si="7"/>
        <v>0</v>
      </c>
      <c r="I41" s="46">
        <f t="shared" ca="1" si="8"/>
        <v>0.75</v>
      </c>
      <c r="J41" s="72"/>
      <c r="K41" s="24">
        <f ca="1">ROUND(FIRE1121_raw!K41,0)</f>
        <v>35</v>
      </c>
      <c r="L41" s="24">
        <f ca="1">ROUND(FIRE1121_raw!L41,0)</f>
        <v>1</v>
      </c>
      <c r="M41" s="24">
        <f ca="1">ROUND(FIRE1121_raw!M41,0)</f>
        <v>0</v>
      </c>
      <c r="N41" s="24">
        <f ca="1">ROUND(FIRE1121_raw!N41,0)</f>
        <v>1</v>
      </c>
      <c r="O41" s="24">
        <f ca="1">ROUND(FIRE1121_raw!O41,0)</f>
        <v>0</v>
      </c>
      <c r="P41" s="24">
        <f ca="1">ROUND(FIRE1121_raw!P41,0)</f>
        <v>19</v>
      </c>
      <c r="Q41" s="101">
        <f t="shared" ca="1" si="10"/>
        <v>5.4054054054054057E-2</v>
      </c>
      <c r="R41" s="46">
        <f t="shared" ca="1" si="11"/>
        <v>0.3392857142857143</v>
      </c>
      <c r="S41" s="72"/>
      <c r="T41" s="22">
        <f t="shared" ca="1" si="12"/>
        <v>37</v>
      </c>
      <c r="U41" s="22">
        <f t="shared" ca="1" si="12"/>
        <v>1</v>
      </c>
      <c r="V41" s="22">
        <f t="shared" ca="1" si="12"/>
        <v>0</v>
      </c>
      <c r="W41" s="22">
        <f t="shared" ca="1" si="12"/>
        <v>1</v>
      </c>
      <c r="X41" s="22">
        <f t="shared" ca="1" si="12"/>
        <v>0</v>
      </c>
      <c r="Y41" s="22">
        <f t="shared" ca="1" si="12"/>
        <v>25</v>
      </c>
      <c r="Z41" s="101">
        <f t="shared" ca="1" si="13"/>
        <v>5.128205128205128E-2</v>
      </c>
      <c r="AA41" s="101">
        <f t="shared" ca="1" si="14"/>
        <v>0.390625</v>
      </c>
      <c r="AB41" s="24"/>
      <c r="AC41" s="24">
        <f ca="1">ROUND(FIRE1121_raw!AC41,0)</f>
        <v>0</v>
      </c>
      <c r="AD41" s="24">
        <f ca="1">ROUND(FIRE1121_raw!AD41,0)</f>
        <v>0</v>
      </c>
      <c r="AE41" s="24">
        <f ca="1">ROUND(FIRE1121_raw!AE41,0)</f>
        <v>0</v>
      </c>
      <c r="AF41" s="24">
        <f ca="1">ROUND(FIRE1121_raw!AF41,0)</f>
        <v>0</v>
      </c>
      <c r="AG41" s="24">
        <f ca="1">ROUND(FIRE1121_raw!AG41,0)</f>
        <v>0</v>
      </c>
      <c r="AH41" s="24">
        <f ca="1">ROUND(FIRE1121_raw!AH41,0)</f>
        <v>0</v>
      </c>
      <c r="AI41" s="101" t="str">
        <f t="shared" ca="1" si="16"/>
        <v>-</v>
      </c>
      <c r="AJ41" s="46" t="str">
        <f t="shared" ca="1" si="17"/>
        <v>-</v>
      </c>
      <c r="AK41" s="72"/>
      <c r="AL41" s="24">
        <f ca="1">ROUND(FIRE1121_raw!AL41,0)</f>
        <v>8</v>
      </c>
      <c r="AM41" s="24">
        <f ca="1">ROUND(FIRE1121_raw!AM41,0)</f>
        <v>0</v>
      </c>
      <c r="AN41" s="24">
        <f ca="1">ROUND(FIRE1121_raw!AN41,0)</f>
        <v>0</v>
      </c>
      <c r="AO41" s="24">
        <f ca="1">ROUND(FIRE1121_raw!AO41,0)</f>
        <v>0</v>
      </c>
      <c r="AP41" s="24">
        <f ca="1">ROUND(FIRE1121_raw!AP41,0)</f>
        <v>0</v>
      </c>
      <c r="AQ41" s="24">
        <f ca="1">ROUND(FIRE1121_raw!AQ41,0)</f>
        <v>1</v>
      </c>
      <c r="AR41" s="101">
        <f t="shared" ca="1" si="19"/>
        <v>0</v>
      </c>
      <c r="AS41" s="46">
        <f t="shared" ca="1" si="20"/>
        <v>0.1111111111111111</v>
      </c>
      <c r="AT41" s="72"/>
      <c r="AU41" s="22">
        <f t="shared" ca="1" si="21"/>
        <v>45</v>
      </c>
      <c r="AV41" s="22">
        <f t="shared" ca="1" si="21"/>
        <v>1</v>
      </c>
      <c r="AW41" s="22">
        <f t="shared" ca="1" si="21"/>
        <v>0</v>
      </c>
      <c r="AX41" s="22">
        <f t="shared" ca="1" si="21"/>
        <v>1</v>
      </c>
      <c r="AY41" s="22">
        <f t="shared" ca="1" si="21"/>
        <v>0</v>
      </c>
      <c r="AZ41" s="22">
        <f t="shared" ca="1" si="21"/>
        <v>26</v>
      </c>
      <c r="BA41" s="101">
        <f t="shared" ca="1" si="22"/>
        <v>4.2553191489361701E-2</v>
      </c>
      <c r="BB41" s="101">
        <f t="shared" ca="1" si="23"/>
        <v>0.35616438356164382</v>
      </c>
      <c r="BC41" s="19"/>
      <c r="BD41" s="19"/>
      <c r="BE41" s="19"/>
      <c r="BF41" s="19"/>
      <c r="BG41" s="19"/>
      <c r="BH41" s="19"/>
      <c r="BI41" s="19"/>
      <c r="BJ41" s="19"/>
      <c r="BK41" s="19"/>
    </row>
    <row r="42" spans="1:63" s="8" customFormat="1" ht="15" customHeight="1" x14ac:dyDescent="0.35">
      <c r="A42" s="2" t="s">
        <v>49</v>
      </c>
      <c r="B42" s="24">
        <f ca="1">ROUND(FIRE1121_raw!B42,0)</f>
        <v>11</v>
      </c>
      <c r="C42" s="24">
        <f ca="1">ROUND(FIRE1121_raw!C42,0)</f>
        <v>0</v>
      </c>
      <c r="D42" s="24">
        <f ca="1">ROUND(FIRE1121_raw!D42,0)</f>
        <v>0</v>
      </c>
      <c r="E42" s="24">
        <f ca="1">ROUND(FIRE1121_raw!E42,0)</f>
        <v>0</v>
      </c>
      <c r="F42" s="24">
        <f ca="1">ROUND(FIRE1121_raw!F42,0)</f>
        <v>1</v>
      </c>
      <c r="G42" s="24">
        <f ca="1">ROUND(FIRE1121_raw!G42,0)</f>
        <v>0</v>
      </c>
      <c r="H42" s="101">
        <f t="shared" ca="1" si="7"/>
        <v>8.3333333333333329E-2</v>
      </c>
      <c r="I42" s="46">
        <f t="shared" ca="1" si="8"/>
        <v>0</v>
      </c>
      <c r="J42" s="72"/>
      <c r="K42" s="24">
        <f ca="1">ROUND(FIRE1121_raw!K42,0)</f>
        <v>21</v>
      </c>
      <c r="L42" s="24">
        <f ca="1">ROUND(FIRE1121_raw!L42,0)</f>
        <v>0</v>
      </c>
      <c r="M42" s="24">
        <f ca="1">ROUND(FIRE1121_raw!M42,0)</f>
        <v>0</v>
      </c>
      <c r="N42" s="24">
        <f ca="1">ROUND(FIRE1121_raw!N42,0)</f>
        <v>0</v>
      </c>
      <c r="O42" s="24">
        <f ca="1">ROUND(FIRE1121_raw!O42,0)</f>
        <v>1</v>
      </c>
      <c r="P42" s="24">
        <f ca="1">ROUND(FIRE1121_raw!P42,0)</f>
        <v>6</v>
      </c>
      <c r="Q42" s="101">
        <f t="shared" ca="1" si="10"/>
        <v>4.5454545454545456E-2</v>
      </c>
      <c r="R42" s="46">
        <f t="shared" ca="1" si="11"/>
        <v>0.21428571428571427</v>
      </c>
      <c r="S42" s="72"/>
      <c r="T42" s="22">
        <f t="shared" ca="1" si="12"/>
        <v>32</v>
      </c>
      <c r="U42" s="22">
        <f t="shared" ca="1" si="12"/>
        <v>0</v>
      </c>
      <c r="V42" s="22">
        <f t="shared" ca="1" si="12"/>
        <v>0</v>
      </c>
      <c r="W42" s="22">
        <f t="shared" ca="1" si="12"/>
        <v>0</v>
      </c>
      <c r="X42" s="22">
        <f t="shared" ca="1" si="12"/>
        <v>2</v>
      </c>
      <c r="Y42" s="22">
        <f t="shared" ca="1" si="12"/>
        <v>6</v>
      </c>
      <c r="Z42" s="101">
        <f t="shared" ca="1" si="13"/>
        <v>5.8823529411764705E-2</v>
      </c>
      <c r="AA42" s="101">
        <f t="shared" ca="1" si="14"/>
        <v>0.15</v>
      </c>
      <c r="AB42" s="24"/>
      <c r="AC42" s="24">
        <f ca="1">ROUND(FIRE1121_raw!AC42,0)</f>
        <v>1</v>
      </c>
      <c r="AD42" s="24">
        <f ca="1">ROUND(FIRE1121_raw!AD42,0)</f>
        <v>0</v>
      </c>
      <c r="AE42" s="24">
        <f ca="1">ROUND(FIRE1121_raw!AE42,0)</f>
        <v>0</v>
      </c>
      <c r="AF42" s="24">
        <f ca="1">ROUND(FIRE1121_raw!AF42,0)</f>
        <v>0</v>
      </c>
      <c r="AG42" s="24">
        <f ca="1">ROUND(FIRE1121_raw!AG42,0)</f>
        <v>0</v>
      </c>
      <c r="AH42" s="24">
        <f ca="1">ROUND(FIRE1121_raw!AH42,0)</f>
        <v>1</v>
      </c>
      <c r="AI42" s="101">
        <f t="shared" ca="1" si="16"/>
        <v>0</v>
      </c>
      <c r="AJ42" s="46">
        <f t="shared" ca="1" si="17"/>
        <v>0.5</v>
      </c>
      <c r="AK42" s="72"/>
      <c r="AL42" s="24">
        <f ca="1">ROUND(FIRE1121_raw!AL42,0)</f>
        <v>6</v>
      </c>
      <c r="AM42" s="24">
        <f ca="1">ROUND(FIRE1121_raw!AM42,0)</f>
        <v>0</v>
      </c>
      <c r="AN42" s="24">
        <f ca="1">ROUND(FIRE1121_raw!AN42,0)</f>
        <v>0</v>
      </c>
      <c r="AO42" s="24">
        <f ca="1">ROUND(FIRE1121_raw!AO42,0)</f>
        <v>0</v>
      </c>
      <c r="AP42" s="24">
        <f ca="1">ROUND(FIRE1121_raw!AP42,0)</f>
        <v>1</v>
      </c>
      <c r="AQ42" s="24">
        <f ca="1">ROUND(FIRE1121_raw!AQ42,0)</f>
        <v>1</v>
      </c>
      <c r="AR42" s="101">
        <f t="shared" ca="1" si="19"/>
        <v>0.14285714285714285</v>
      </c>
      <c r="AS42" s="46">
        <f t="shared" ca="1" si="20"/>
        <v>0.125</v>
      </c>
      <c r="AT42" s="96"/>
      <c r="AU42" s="22">
        <f t="shared" ca="1" si="21"/>
        <v>39</v>
      </c>
      <c r="AV42" s="22">
        <f t="shared" ca="1" si="21"/>
        <v>0</v>
      </c>
      <c r="AW42" s="22">
        <f t="shared" ca="1" si="21"/>
        <v>0</v>
      </c>
      <c r="AX42" s="22">
        <f t="shared" ca="1" si="21"/>
        <v>0</v>
      </c>
      <c r="AY42" s="22">
        <f t="shared" ca="1" si="21"/>
        <v>3</v>
      </c>
      <c r="AZ42" s="22">
        <f t="shared" ca="1" si="21"/>
        <v>8</v>
      </c>
      <c r="BA42" s="101">
        <f t="shared" ca="1" si="22"/>
        <v>7.1428571428571425E-2</v>
      </c>
      <c r="BB42" s="101">
        <f t="shared" ca="1" si="23"/>
        <v>0.16</v>
      </c>
      <c r="BC42" s="19"/>
      <c r="BD42" s="19"/>
      <c r="BE42" s="19"/>
      <c r="BF42" s="19"/>
      <c r="BG42" s="19"/>
      <c r="BH42" s="19"/>
      <c r="BI42" s="19"/>
      <c r="BJ42" s="19"/>
      <c r="BK42" s="19"/>
    </row>
    <row r="43" spans="1:63" s="8" customFormat="1" ht="15" customHeight="1" x14ac:dyDescent="0.35">
      <c r="A43" s="2" t="s">
        <v>50</v>
      </c>
      <c r="B43" s="24">
        <f ca="1">ROUND(FIRE1121_raw!B43,0)</f>
        <v>12</v>
      </c>
      <c r="C43" s="24">
        <f ca="1">ROUND(FIRE1121_raw!C43,0)</f>
        <v>0</v>
      </c>
      <c r="D43" s="24">
        <f ca="1">ROUND(FIRE1121_raw!D43,0)</f>
        <v>0</v>
      </c>
      <c r="E43" s="24">
        <f ca="1">ROUND(FIRE1121_raw!E43,0)</f>
        <v>1</v>
      </c>
      <c r="F43" s="24">
        <f ca="1">ROUND(FIRE1121_raw!F43,0)</f>
        <v>0</v>
      </c>
      <c r="G43" s="24">
        <f ca="1">ROUND(FIRE1121_raw!G43,0)</f>
        <v>0</v>
      </c>
      <c r="H43" s="101">
        <f t="shared" ca="1" si="7"/>
        <v>7.6923076923076927E-2</v>
      </c>
      <c r="I43" s="46">
        <f t="shared" ca="1" si="8"/>
        <v>0</v>
      </c>
      <c r="J43" s="72"/>
      <c r="K43" s="24">
        <f ca="1">ROUND(FIRE1121_raw!K43,0)</f>
        <v>42</v>
      </c>
      <c r="L43" s="24">
        <f ca="1">ROUND(FIRE1121_raw!L43,0)</f>
        <v>0</v>
      </c>
      <c r="M43" s="24">
        <f ca="1">ROUND(FIRE1121_raw!M43,0)</f>
        <v>0</v>
      </c>
      <c r="N43" s="24">
        <f ca="1">ROUND(FIRE1121_raw!N43,0)</f>
        <v>2</v>
      </c>
      <c r="O43" s="24">
        <f ca="1">ROUND(FIRE1121_raw!O43,0)</f>
        <v>0</v>
      </c>
      <c r="P43" s="24">
        <f ca="1">ROUND(FIRE1121_raw!P43,0)</f>
        <v>0</v>
      </c>
      <c r="Q43" s="101">
        <f t="shared" ca="1" si="10"/>
        <v>4.5454545454545456E-2</v>
      </c>
      <c r="R43" s="46">
        <f t="shared" ca="1" si="11"/>
        <v>0</v>
      </c>
      <c r="S43" s="72"/>
      <c r="T43" s="22">
        <f t="shared" ca="1" si="12"/>
        <v>54</v>
      </c>
      <c r="U43" s="22">
        <f t="shared" ca="1" si="12"/>
        <v>0</v>
      </c>
      <c r="V43" s="22">
        <f t="shared" ca="1" si="12"/>
        <v>0</v>
      </c>
      <c r="W43" s="22">
        <f t="shared" ca="1" si="12"/>
        <v>3</v>
      </c>
      <c r="X43" s="22">
        <f t="shared" ca="1" si="12"/>
        <v>0</v>
      </c>
      <c r="Y43" s="22">
        <f t="shared" ca="1" si="12"/>
        <v>0</v>
      </c>
      <c r="Z43" s="101">
        <f t="shared" ca="1" si="13"/>
        <v>5.2631578947368418E-2</v>
      </c>
      <c r="AA43" s="101">
        <f t="shared" ca="1" si="14"/>
        <v>0</v>
      </c>
      <c r="AB43" s="24"/>
      <c r="AC43" s="24">
        <f ca="1">ROUND(FIRE1121_raw!AC43,0)</f>
        <v>0</v>
      </c>
      <c r="AD43" s="24">
        <f ca="1">ROUND(FIRE1121_raw!AD43,0)</f>
        <v>0</v>
      </c>
      <c r="AE43" s="24">
        <f ca="1">ROUND(FIRE1121_raw!AE43,0)</f>
        <v>0</v>
      </c>
      <c r="AF43" s="24">
        <f ca="1">ROUND(FIRE1121_raw!AF43,0)</f>
        <v>0</v>
      </c>
      <c r="AG43" s="24">
        <f ca="1">ROUND(FIRE1121_raw!AG43,0)</f>
        <v>0</v>
      </c>
      <c r="AH43" s="24">
        <f ca="1">ROUND(FIRE1121_raw!AH43,0)</f>
        <v>0</v>
      </c>
      <c r="AI43" s="101" t="str">
        <f t="shared" ca="1" si="16"/>
        <v>-</v>
      </c>
      <c r="AJ43" s="46" t="str">
        <f t="shared" ca="1" si="17"/>
        <v>-</v>
      </c>
      <c r="AK43" s="72"/>
      <c r="AL43" s="24">
        <f ca="1">ROUND(FIRE1121_raw!AL43,0)</f>
        <v>24</v>
      </c>
      <c r="AM43" s="24">
        <f ca="1">ROUND(FIRE1121_raw!AM43,0)</f>
        <v>0</v>
      </c>
      <c r="AN43" s="24">
        <f ca="1">ROUND(FIRE1121_raw!AN43,0)</f>
        <v>0</v>
      </c>
      <c r="AO43" s="24">
        <f ca="1">ROUND(FIRE1121_raw!AO43,0)</f>
        <v>0</v>
      </c>
      <c r="AP43" s="24">
        <f ca="1">ROUND(FIRE1121_raw!AP43,0)</f>
        <v>0</v>
      </c>
      <c r="AQ43" s="24">
        <f ca="1">ROUND(FIRE1121_raw!AQ43,0)</f>
        <v>0</v>
      </c>
      <c r="AR43" s="101">
        <f t="shared" ca="1" si="19"/>
        <v>0</v>
      </c>
      <c r="AS43" s="46">
        <f t="shared" ca="1" si="20"/>
        <v>0</v>
      </c>
      <c r="AT43" s="72"/>
      <c r="AU43" s="22">
        <f t="shared" ca="1" si="21"/>
        <v>78</v>
      </c>
      <c r="AV43" s="22">
        <f t="shared" ca="1" si="21"/>
        <v>0</v>
      </c>
      <c r="AW43" s="22">
        <f t="shared" ca="1" si="21"/>
        <v>0</v>
      </c>
      <c r="AX43" s="22">
        <f t="shared" ca="1" si="21"/>
        <v>3</v>
      </c>
      <c r="AY43" s="22">
        <f t="shared" ca="1" si="21"/>
        <v>0</v>
      </c>
      <c r="AZ43" s="22">
        <f t="shared" ca="1" si="21"/>
        <v>0</v>
      </c>
      <c r="BA43" s="101">
        <f t="shared" ca="1" si="22"/>
        <v>3.7037037037037035E-2</v>
      </c>
      <c r="BB43" s="101">
        <f t="shared" ca="1" si="23"/>
        <v>0</v>
      </c>
      <c r="BC43" s="19"/>
      <c r="BD43" s="19"/>
      <c r="BE43" s="19"/>
      <c r="BF43" s="19"/>
      <c r="BG43" s="19"/>
      <c r="BH43" s="19"/>
      <c r="BI43" s="19"/>
      <c r="BJ43" s="19"/>
      <c r="BK43" s="19"/>
    </row>
    <row r="44" spans="1:63" s="8" customFormat="1" ht="15" customHeight="1" x14ac:dyDescent="0.35">
      <c r="A44" s="2" t="s">
        <v>51</v>
      </c>
      <c r="B44" s="24">
        <f ca="1">ROUND(FIRE1121_raw!B44,0)</f>
        <v>2</v>
      </c>
      <c r="C44" s="24">
        <f ca="1">ROUND(FIRE1121_raw!C44,0)</f>
        <v>1</v>
      </c>
      <c r="D44" s="24">
        <f ca="1">ROUND(FIRE1121_raw!D44,0)</f>
        <v>0</v>
      </c>
      <c r="E44" s="24">
        <f ca="1">ROUND(FIRE1121_raw!E44,0)</f>
        <v>0</v>
      </c>
      <c r="F44" s="24">
        <f ca="1">ROUND(FIRE1121_raw!F44,0)</f>
        <v>0</v>
      </c>
      <c r="G44" s="24">
        <f ca="1">ROUND(FIRE1121_raw!G44,0)</f>
        <v>5</v>
      </c>
      <c r="H44" s="101">
        <f t="shared" ca="1" si="7"/>
        <v>0.33333333333333331</v>
      </c>
      <c r="I44" s="46">
        <f t="shared" ca="1" si="8"/>
        <v>0.625</v>
      </c>
      <c r="J44" s="72"/>
      <c r="K44" s="24">
        <f ca="1">ROUND(FIRE1121_raw!K44,0)</f>
        <v>15</v>
      </c>
      <c r="L44" s="24">
        <f ca="1">ROUND(FIRE1121_raw!L44,0)</f>
        <v>0</v>
      </c>
      <c r="M44" s="24">
        <f ca="1">ROUND(FIRE1121_raw!M44,0)</f>
        <v>0</v>
      </c>
      <c r="N44" s="24">
        <f ca="1">ROUND(FIRE1121_raw!N44,0)</f>
        <v>0</v>
      </c>
      <c r="O44" s="24">
        <f ca="1">ROUND(FIRE1121_raw!O44,0)</f>
        <v>0</v>
      </c>
      <c r="P44" s="24">
        <f ca="1">ROUND(FIRE1121_raw!P44,0)</f>
        <v>31</v>
      </c>
      <c r="Q44" s="101">
        <f t="shared" ca="1" si="10"/>
        <v>0</v>
      </c>
      <c r="R44" s="46">
        <f t="shared" ca="1" si="11"/>
        <v>0.67391304347826086</v>
      </c>
      <c r="S44" s="72"/>
      <c r="T44" s="22">
        <f t="shared" ca="1" si="12"/>
        <v>17</v>
      </c>
      <c r="U44" s="22">
        <f t="shared" ca="1" si="12"/>
        <v>1</v>
      </c>
      <c r="V44" s="22">
        <f t="shared" ca="1" si="12"/>
        <v>0</v>
      </c>
      <c r="W44" s="22">
        <f t="shared" ca="1" si="12"/>
        <v>0</v>
      </c>
      <c r="X44" s="22">
        <f t="shared" ca="1" si="12"/>
        <v>0</v>
      </c>
      <c r="Y44" s="22">
        <f t="shared" ca="1" si="12"/>
        <v>36</v>
      </c>
      <c r="Z44" s="101">
        <f t="shared" ca="1" si="13"/>
        <v>5.5555555555555552E-2</v>
      </c>
      <c r="AA44" s="101">
        <f t="shared" ca="1" si="14"/>
        <v>0.66666666666666663</v>
      </c>
      <c r="AB44" s="24"/>
      <c r="AC44" s="24">
        <f ca="1">ROUND(FIRE1121_raw!AC44,0)</f>
        <v>0</v>
      </c>
      <c r="AD44" s="24">
        <f ca="1">ROUND(FIRE1121_raw!AD44,0)</f>
        <v>0</v>
      </c>
      <c r="AE44" s="24">
        <f ca="1">ROUND(FIRE1121_raw!AE44,0)</f>
        <v>0</v>
      </c>
      <c r="AF44" s="24">
        <f ca="1">ROUND(FIRE1121_raw!AF44,0)</f>
        <v>0</v>
      </c>
      <c r="AG44" s="24">
        <f ca="1">ROUND(FIRE1121_raw!AG44,0)</f>
        <v>0</v>
      </c>
      <c r="AH44" s="24">
        <f ca="1">ROUND(FIRE1121_raw!AH44,0)</f>
        <v>0</v>
      </c>
      <c r="AI44" s="101" t="str">
        <f t="shared" ca="1" si="16"/>
        <v>-</v>
      </c>
      <c r="AJ44" s="46" t="str">
        <f t="shared" ca="1" si="17"/>
        <v>-</v>
      </c>
      <c r="AK44" s="72"/>
      <c r="AL44" s="24">
        <f ca="1">ROUND(FIRE1121_raw!AL44,0)</f>
        <v>4</v>
      </c>
      <c r="AM44" s="24">
        <f ca="1">ROUND(FIRE1121_raw!AM44,0)</f>
        <v>0</v>
      </c>
      <c r="AN44" s="24">
        <f ca="1">ROUND(FIRE1121_raw!AN44,0)</f>
        <v>0</v>
      </c>
      <c r="AO44" s="24">
        <f ca="1">ROUND(FIRE1121_raw!AO44,0)</f>
        <v>0</v>
      </c>
      <c r="AP44" s="24">
        <f ca="1">ROUND(FIRE1121_raw!AP44,0)</f>
        <v>0</v>
      </c>
      <c r="AQ44" s="24">
        <f ca="1">ROUND(FIRE1121_raw!AQ44,0)</f>
        <v>2</v>
      </c>
      <c r="AR44" s="101">
        <f t="shared" ca="1" si="19"/>
        <v>0</v>
      </c>
      <c r="AS44" s="46">
        <f t="shared" ca="1" si="20"/>
        <v>0.33333333333333331</v>
      </c>
      <c r="AT44" s="72"/>
      <c r="AU44" s="22">
        <f t="shared" ca="1" si="21"/>
        <v>21</v>
      </c>
      <c r="AV44" s="22">
        <f t="shared" ca="1" si="21"/>
        <v>1</v>
      </c>
      <c r="AW44" s="22">
        <f t="shared" ca="1" si="21"/>
        <v>0</v>
      </c>
      <c r="AX44" s="22">
        <f t="shared" ca="1" si="21"/>
        <v>0</v>
      </c>
      <c r="AY44" s="22">
        <f t="shared" ca="1" si="21"/>
        <v>0</v>
      </c>
      <c r="AZ44" s="22">
        <f t="shared" ca="1" si="21"/>
        <v>38</v>
      </c>
      <c r="BA44" s="101">
        <f t="shared" ca="1" si="22"/>
        <v>4.5454545454545456E-2</v>
      </c>
      <c r="BB44" s="101">
        <f t="shared" ca="1" si="23"/>
        <v>0.6333333333333333</v>
      </c>
      <c r="BC44" s="19"/>
      <c r="BD44" s="19"/>
      <c r="BE44" s="19"/>
      <c r="BF44" s="19"/>
      <c r="BG44" s="19"/>
      <c r="BH44" s="19"/>
      <c r="BI44" s="19"/>
      <c r="BJ44" s="19"/>
      <c r="BK44" s="19"/>
    </row>
    <row r="45" spans="1:63" s="8" customFormat="1" ht="15" customHeight="1" x14ac:dyDescent="0.35">
      <c r="A45" s="2" t="s">
        <v>52</v>
      </c>
      <c r="B45" s="24">
        <f ca="1">ROUND(FIRE1121_raw!B45,0)</f>
        <v>30</v>
      </c>
      <c r="C45" s="24">
        <f ca="1">ROUND(FIRE1121_raw!C45,0)</f>
        <v>0</v>
      </c>
      <c r="D45" s="24">
        <f ca="1">ROUND(FIRE1121_raw!D45,0)</f>
        <v>0</v>
      </c>
      <c r="E45" s="24">
        <f ca="1">ROUND(FIRE1121_raw!E45,0)</f>
        <v>0</v>
      </c>
      <c r="F45" s="24">
        <f ca="1">ROUND(FIRE1121_raw!F45,0)</f>
        <v>0</v>
      </c>
      <c r="G45" s="24">
        <f ca="1">ROUND(FIRE1121_raw!G45,0)</f>
        <v>0</v>
      </c>
      <c r="H45" s="101">
        <f t="shared" ca="1" si="7"/>
        <v>0</v>
      </c>
      <c r="I45" s="46">
        <f t="shared" ca="1" si="8"/>
        <v>0</v>
      </c>
      <c r="J45" s="72"/>
      <c r="K45" s="24">
        <f ca="1">ROUND(FIRE1121_raw!K45,0)</f>
        <v>7</v>
      </c>
      <c r="L45" s="24">
        <f ca="1">ROUND(FIRE1121_raw!L45,0)</f>
        <v>0</v>
      </c>
      <c r="M45" s="24">
        <f ca="1">ROUND(FIRE1121_raw!M45,0)</f>
        <v>0</v>
      </c>
      <c r="N45" s="24">
        <f ca="1">ROUND(FIRE1121_raw!N45,0)</f>
        <v>0</v>
      </c>
      <c r="O45" s="24">
        <f ca="1">ROUND(FIRE1121_raw!O45,0)</f>
        <v>0</v>
      </c>
      <c r="P45" s="24">
        <f ca="1">ROUND(FIRE1121_raw!P45,0)</f>
        <v>0</v>
      </c>
      <c r="Q45" s="101">
        <f t="shared" ca="1" si="10"/>
        <v>0</v>
      </c>
      <c r="R45" s="46">
        <f t="shared" ca="1" si="11"/>
        <v>0</v>
      </c>
      <c r="S45" s="72"/>
      <c r="T45" s="22">
        <f t="shared" ca="1" si="12"/>
        <v>37</v>
      </c>
      <c r="U45" s="22">
        <f t="shared" ca="1" si="12"/>
        <v>0</v>
      </c>
      <c r="V45" s="22">
        <f t="shared" ca="1" si="12"/>
        <v>0</v>
      </c>
      <c r="W45" s="22">
        <f t="shared" ca="1" si="12"/>
        <v>0</v>
      </c>
      <c r="X45" s="22">
        <f t="shared" ca="1" si="12"/>
        <v>0</v>
      </c>
      <c r="Y45" s="22">
        <f t="shared" ca="1" si="12"/>
        <v>0</v>
      </c>
      <c r="Z45" s="101">
        <f t="shared" ca="1" si="13"/>
        <v>0</v>
      </c>
      <c r="AA45" s="101">
        <f t="shared" ca="1" si="14"/>
        <v>0</v>
      </c>
      <c r="AB45" s="24"/>
      <c r="AC45" s="24">
        <f ca="1">ROUND(FIRE1121_raw!AC45,0)</f>
        <v>4</v>
      </c>
      <c r="AD45" s="24">
        <f ca="1">ROUND(FIRE1121_raw!AD45,0)</f>
        <v>0</v>
      </c>
      <c r="AE45" s="24">
        <f ca="1">ROUND(FIRE1121_raw!AE45,0)</f>
        <v>0</v>
      </c>
      <c r="AF45" s="24">
        <f ca="1">ROUND(FIRE1121_raw!AF45,0)</f>
        <v>0</v>
      </c>
      <c r="AG45" s="24">
        <f ca="1">ROUND(FIRE1121_raw!AG45,0)</f>
        <v>0</v>
      </c>
      <c r="AH45" s="24">
        <f ca="1">ROUND(FIRE1121_raw!AH45,0)</f>
        <v>0</v>
      </c>
      <c r="AI45" s="101">
        <f t="shared" ca="1" si="16"/>
        <v>0</v>
      </c>
      <c r="AJ45" s="46">
        <f t="shared" ca="1" si="17"/>
        <v>0</v>
      </c>
      <c r="AK45" s="72"/>
      <c r="AL45" s="24">
        <f ca="1">ROUND(FIRE1121_raw!AL45,0)</f>
        <v>16</v>
      </c>
      <c r="AM45" s="24">
        <f ca="1">ROUND(FIRE1121_raw!AM45,0)</f>
        <v>0</v>
      </c>
      <c r="AN45" s="24">
        <f ca="1">ROUND(FIRE1121_raw!AN45,0)</f>
        <v>0</v>
      </c>
      <c r="AO45" s="24">
        <f ca="1">ROUND(FIRE1121_raw!AO45,0)</f>
        <v>0</v>
      </c>
      <c r="AP45" s="24">
        <f ca="1">ROUND(FIRE1121_raw!AP45,0)</f>
        <v>0</v>
      </c>
      <c r="AQ45" s="24">
        <f ca="1">ROUND(FIRE1121_raw!AQ45,0)</f>
        <v>0</v>
      </c>
      <c r="AR45" s="101">
        <f t="shared" ca="1" si="19"/>
        <v>0</v>
      </c>
      <c r="AS45" s="46">
        <f t="shared" ca="1" si="20"/>
        <v>0</v>
      </c>
      <c r="AT45" s="72"/>
      <c r="AU45" s="22">
        <f t="shared" ca="1" si="21"/>
        <v>57</v>
      </c>
      <c r="AV45" s="22">
        <f t="shared" ca="1" si="21"/>
        <v>0</v>
      </c>
      <c r="AW45" s="22">
        <f t="shared" ca="1" si="21"/>
        <v>0</v>
      </c>
      <c r="AX45" s="22">
        <f t="shared" ca="1" si="21"/>
        <v>0</v>
      </c>
      <c r="AY45" s="22">
        <f t="shared" ca="1" si="21"/>
        <v>0</v>
      </c>
      <c r="AZ45" s="22">
        <f t="shared" ca="1" si="21"/>
        <v>0</v>
      </c>
      <c r="BA45" s="101">
        <f t="shared" ca="1" si="22"/>
        <v>0</v>
      </c>
      <c r="BB45" s="101">
        <f t="shared" ca="1" si="23"/>
        <v>0</v>
      </c>
      <c r="BC45" s="19"/>
      <c r="BD45" s="19"/>
      <c r="BE45" s="19"/>
      <c r="BF45" s="19"/>
      <c r="BG45" s="19"/>
      <c r="BH45" s="19"/>
      <c r="BI45" s="19"/>
      <c r="BJ45" s="19"/>
      <c r="BK45" s="19"/>
    </row>
    <row r="46" spans="1:63" s="8" customFormat="1" ht="15" customHeight="1" x14ac:dyDescent="0.35">
      <c r="A46" s="2" t="s">
        <v>53</v>
      </c>
      <c r="B46" s="24">
        <f ca="1">ROUND(FIRE1121_raw!B46,0)</f>
        <v>9</v>
      </c>
      <c r="C46" s="24">
        <f ca="1">ROUND(FIRE1121_raw!C46,0)</f>
        <v>0</v>
      </c>
      <c r="D46" s="24">
        <f ca="1">ROUND(FIRE1121_raw!D46,0)</f>
        <v>0</v>
      </c>
      <c r="E46" s="24">
        <f ca="1">ROUND(FIRE1121_raw!E46,0)</f>
        <v>0</v>
      </c>
      <c r="F46" s="24">
        <f ca="1">ROUND(FIRE1121_raw!F46,0)</f>
        <v>0</v>
      </c>
      <c r="G46" s="24">
        <f ca="1">ROUND(FIRE1121_raw!G46,0)</f>
        <v>4</v>
      </c>
      <c r="H46" s="101">
        <f t="shared" ca="1" si="7"/>
        <v>0</v>
      </c>
      <c r="I46" s="46">
        <f t="shared" ca="1" si="8"/>
        <v>0.30769230769230771</v>
      </c>
      <c r="J46" s="72"/>
      <c r="K46" s="24">
        <f ca="1">ROUND(FIRE1121_raw!K46,0)</f>
        <v>15</v>
      </c>
      <c r="L46" s="24">
        <f ca="1">ROUND(FIRE1121_raw!L46,0)</f>
        <v>0</v>
      </c>
      <c r="M46" s="24">
        <f ca="1">ROUND(FIRE1121_raw!M46,0)</f>
        <v>0</v>
      </c>
      <c r="N46" s="24">
        <f ca="1">ROUND(FIRE1121_raw!N46,0)</f>
        <v>0</v>
      </c>
      <c r="O46" s="24">
        <f ca="1">ROUND(FIRE1121_raw!O46,0)</f>
        <v>0</v>
      </c>
      <c r="P46" s="24">
        <f ca="1">ROUND(FIRE1121_raw!P46,0)</f>
        <v>4</v>
      </c>
      <c r="Q46" s="101">
        <f t="shared" ca="1" si="10"/>
        <v>0</v>
      </c>
      <c r="R46" s="46">
        <f t="shared" ca="1" si="11"/>
        <v>0.21052631578947367</v>
      </c>
      <c r="S46" s="72"/>
      <c r="T46" s="22">
        <f t="shared" ca="1" si="12"/>
        <v>24</v>
      </c>
      <c r="U46" s="22">
        <f t="shared" ca="1" si="12"/>
        <v>0</v>
      </c>
      <c r="V46" s="22">
        <f t="shared" ca="1" si="12"/>
        <v>0</v>
      </c>
      <c r="W46" s="22">
        <f t="shared" ca="1" si="12"/>
        <v>0</v>
      </c>
      <c r="X46" s="22">
        <f t="shared" ca="1" si="12"/>
        <v>0</v>
      </c>
      <c r="Y46" s="22">
        <f t="shared" ca="1" si="12"/>
        <v>8</v>
      </c>
      <c r="Z46" s="101">
        <f t="shared" ca="1" si="13"/>
        <v>0</v>
      </c>
      <c r="AA46" s="101">
        <f t="shared" ca="1" si="14"/>
        <v>0.25</v>
      </c>
      <c r="AB46" s="24"/>
      <c r="AC46" s="24">
        <f ca="1">ROUND(FIRE1121_raw!AC46,0)</f>
        <v>1</v>
      </c>
      <c r="AD46" s="24">
        <f ca="1">ROUND(FIRE1121_raw!AD46,0)</f>
        <v>0</v>
      </c>
      <c r="AE46" s="24">
        <f ca="1">ROUND(FIRE1121_raw!AE46,0)</f>
        <v>0</v>
      </c>
      <c r="AF46" s="24">
        <f ca="1">ROUND(FIRE1121_raw!AF46,0)</f>
        <v>0</v>
      </c>
      <c r="AG46" s="24">
        <f ca="1">ROUND(FIRE1121_raw!AG46,0)</f>
        <v>0</v>
      </c>
      <c r="AH46" s="24">
        <f ca="1">ROUND(FIRE1121_raw!AH46,0)</f>
        <v>0</v>
      </c>
      <c r="AI46" s="101">
        <f t="shared" ca="1" si="16"/>
        <v>0</v>
      </c>
      <c r="AJ46" s="46">
        <f t="shared" ca="1" si="17"/>
        <v>0</v>
      </c>
      <c r="AK46" s="72"/>
      <c r="AL46" s="24">
        <f ca="1">ROUND(FIRE1121_raw!AL46,0)</f>
        <v>10</v>
      </c>
      <c r="AM46" s="24">
        <f ca="1">ROUND(FIRE1121_raw!AM46,0)</f>
        <v>0</v>
      </c>
      <c r="AN46" s="24">
        <f ca="1">ROUND(FIRE1121_raw!AN46,0)</f>
        <v>1</v>
      </c>
      <c r="AO46" s="24">
        <f ca="1">ROUND(FIRE1121_raw!AO46,0)</f>
        <v>0</v>
      </c>
      <c r="AP46" s="24">
        <f ca="1">ROUND(FIRE1121_raw!AP46,0)</f>
        <v>0</v>
      </c>
      <c r="AQ46" s="24">
        <f ca="1">ROUND(FIRE1121_raw!AQ46,0)</f>
        <v>2</v>
      </c>
      <c r="AR46" s="101">
        <f t="shared" ca="1" si="19"/>
        <v>9.0909090909090912E-2</v>
      </c>
      <c r="AS46" s="46">
        <f t="shared" ca="1" si="20"/>
        <v>0.15384615384615385</v>
      </c>
      <c r="AT46" s="72"/>
      <c r="AU46" s="22">
        <f t="shared" ca="1" si="21"/>
        <v>35</v>
      </c>
      <c r="AV46" s="22">
        <f t="shared" ca="1" si="21"/>
        <v>0</v>
      </c>
      <c r="AW46" s="22">
        <f t="shared" ca="1" si="21"/>
        <v>1</v>
      </c>
      <c r="AX46" s="22">
        <f t="shared" ca="1" si="21"/>
        <v>0</v>
      </c>
      <c r="AY46" s="22">
        <f t="shared" ca="1" si="21"/>
        <v>0</v>
      </c>
      <c r="AZ46" s="22">
        <f t="shared" ca="1" si="21"/>
        <v>10</v>
      </c>
      <c r="BA46" s="101">
        <f t="shared" ca="1" si="22"/>
        <v>2.7777777777777776E-2</v>
      </c>
      <c r="BB46" s="101">
        <f t="shared" ca="1" si="23"/>
        <v>0.21739130434782608</v>
      </c>
      <c r="BC46" s="19"/>
      <c r="BD46" s="19"/>
      <c r="BE46" s="19"/>
      <c r="BF46" s="19"/>
      <c r="BG46" s="19"/>
      <c r="BH46" s="19"/>
      <c r="BI46" s="19"/>
      <c r="BJ46" s="19"/>
      <c r="BK46" s="19"/>
    </row>
    <row r="47" spans="1:63" s="8" customFormat="1" ht="15" customHeight="1" x14ac:dyDescent="0.35">
      <c r="A47" s="2" t="s">
        <v>54</v>
      </c>
      <c r="B47" s="24">
        <f ca="1">ROUND(FIRE1121_raw!B47,0)</f>
        <v>13</v>
      </c>
      <c r="C47" s="24">
        <f ca="1">ROUND(FIRE1121_raw!C47,0)</f>
        <v>0</v>
      </c>
      <c r="D47" s="24">
        <f ca="1">ROUND(FIRE1121_raw!D47,0)</f>
        <v>0</v>
      </c>
      <c r="E47" s="24">
        <f ca="1">ROUND(FIRE1121_raw!E47,0)</f>
        <v>0</v>
      </c>
      <c r="F47" s="24">
        <f ca="1">ROUND(FIRE1121_raw!F47,0)</f>
        <v>0</v>
      </c>
      <c r="G47" s="24">
        <f ca="1">ROUND(FIRE1121_raw!G47,0)</f>
        <v>4</v>
      </c>
      <c r="H47" s="101">
        <f t="shared" ca="1" si="7"/>
        <v>0</v>
      </c>
      <c r="I47" s="46">
        <f t="shared" ca="1" si="8"/>
        <v>0.23529411764705882</v>
      </c>
      <c r="J47" s="72"/>
      <c r="K47" s="24">
        <f ca="1">ROUND(FIRE1121_raw!K47,0)</f>
        <v>28</v>
      </c>
      <c r="L47" s="24">
        <f ca="1">ROUND(FIRE1121_raw!L47,0)</f>
        <v>0</v>
      </c>
      <c r="M47" s="24">
        <f ca="1">ROUND(FIRE1121_raw!M47,0)</f>
        <v>0</v>
      </c>
      <c r="N47" s="24">
        <f ca="1">ROUND(FIRE1121_raw!N47,0)</f>
        <v>0</v>
      </c>
      <c r="O47" s="24">
        <f ca="1">ROUND(FIRE1121_raw!O47,0)</f>
        <v>0</v>
      </c>
      <c r="P47" s="24">
        <f ca="1">ROUND(FIRE1121_raw!P47,0)</f>
        <v>14</v>
      </c>
      <c r="Q47" s="101">
        <f t="shared" ca="1" si="10"/>
        <v>0</v>
      </c>
      <c r="R47" s="46">
        <f t="shared" ca="1" si="11"/>
        <v>0.33333333333333331</v>
      </c>
      <c r="S47" s="72"/>
      <c r="T47" s="22">
        <f t="shared" ca="1" si="12"/>
        <v>41</v>
      </c>
      <c r="U47" s="22">
        <f t="shared" ca="1" si="12"/>
        <v>0</v>
      </c>
      <c r="V47" s="22">
        <f t="shared" ca="1" si="12"/>
        <v>0</v>
      </c>
      <c r="W47" s="22">
        <f t="shared" ca="1" si="12"/>
        <v>0</v>
      </c>
      <c r="X47" s="22">
        <f t="shared" ca="1" si="12"/>
        <v>0</v>
      </c>
      <c r="Y47" s="22">
        <f t="shared" ca="1" si="12"/>
        <v>18</v>
      </c>
      <c r="Z47" s="101">
        <f t="shared" ca="1" si="13"/>
        <v>0</v>
      </c>
      <c r="AA47" s="101">
        <f t="shared" ca="1" si="14"/>
        <v>0.30508474576271188</v>
      </c>
      <c r="AB47" s="24"/>
      <c r="AC47" s="24">
        <f ca="1">ROUND(FIRE1121_raw!AC47,0)</f>
        <v>0</v>
      </c>
      <c r="AD47" s="24">
        <f ca="1">ROUND(FIRE1121_raw!AD47,0)</f>
        <v>0</v>
      </c>
      <c r="AE47" s="24">
        <f ca="1">ROUND(FIRE1121_raw!AE47,0)</f>
        <v>0</v>
      </c>
      <c r="AF47" s="24">
        <f ca="1">ROUND(FIRE1121_raw!AF47,0)</f>
        <v>0</v>
      </c>
      <c r="AG47" s="24">
        <f ca="1">ROUND(FIRE1121_raw!AG47,0)</f>
        <v>0</v>
      </c>
      <c r="AH47" s="24">
        <f ca="1">ROUND(FIRE1121_raw!AH47,0)</f>
        <v>0</v>
      </c>
      <c r="AI47" s="101" t="str">
        <f t="shared" ca="1" si="16"/>
        <v>-</v>
      </c>
      <c r="AJ47" s="46" t="str">
        <f t="shared" ca="1" si="17"/>
        <v>-</v>
      </c>
      <c r="AK47" s="72"/>
      <c r="AL47" s="24">
        <f ca="1">ROUND(FIRE1121_raw!AL47,0)</f>
        <v>1</v>
      </c>
      <c r="AM47" s="24">
        <f ca="1">ROUND(FIRE1121_raw!AM47,0)</f>
        <v>0</v>
      </c>
      <c r="AN47" s="24">
        <f ca="1">ROUND(FIRE1121_raw!AN47,0)</f>
        <v>0</v>
      </c>
      <c r="AO47" s="24">
        <f ca="1">ROUND(FIRE1121_raw!AO47,0)</f>
        <v>0</v>
      </c>
      <c r="AP47" s="24">
        <f ca="1">ROUND(FIRE1121_raw!AP47,0)</f>
        <v>0</v>
      </c>
      <c r="AQ47" s="24">
        <f ca="1">ROUND(FIRE1121_raw!AQ47,0)</f>
        <v>10</v>
      </c>
      <c r="AR47" s="101">
        <f t="shared" ca="1" si="19"/>
        <v>0</v>
      </c>
      <c r="AS47" s="46">
        <f t="shared" ca="1" si="20"/>
        <v>0.90909090909090906</v>
      </c>
      <c r="AT47" s="72"/>
      <c r="AU47" s="22">
        <f t="shared" ca="1" si="21"/>
        <v>42</v>
      </c>
      <c r="AV47" s="22">
        <f t="shared" ca="1" si="21"/>
        <v>0</v>
      </c>
      <c r="AW47" s="22">
        <f t="shared" ca="1" si="21"/>
        <v>0</v>
      </c>
      <c r="AX47" s="22">
        <f t="shared" ca="1" si="21"/>
        <v>0</v>
      </c>
      <c r="AY47" s="22">
        <f t="shared" ca="1" si="21"/>
        <v>0</v>
      </c>
      <c r="AZ47" s="22">
        <f t="shared" ca="1" si="21"/>
        <v>28</v>
      </c>
      <c r="BA47" s="101">
        <f t="shared" ca="1" si="22"/>
        <v>0</v>
      </c>
      <c r="BB47" s="101">
        <f t="shared" ca="1" si="23"/>
        <v>0.4</v>
      </c>
      <c r="BC47" s="19"/>
      <c r="BD47" s="19"/>
      <c r="BE47" s="19"/>
      <c r="BF47" s="19"/>
      <c r="BG47" s="19"/>
      <c r="BH47" s="19"/>
      <c r="BI47" s="19"/>
      <c r="BJ47" s="19"/>
      <c r="BK47" s="19"/>
    </row>
    <row r="48" spans="1:63" s="8" customFormat="1" ht="15" customHeight="1" x14ac:dyDescent="0.35">
      <c r="A48" s="2" t="s">
        <v>55</v>
      </c>
      <c r="B48" s="24">
        <f ca="1">ROUND(FIRE1121_raw!B48,0)</f>
        <v>0</v>
      </c>
      <c r="C48" s="24">
        <f ca="1">ROUND(FIRE1121_raw!C48,0)</f>
        <v>0</v>
      </c>
      <c r="D48" s="24">
        <f ca="1">ROUND(FIRE1121_raw!D48,0)</f>
        <v>0</v>
      </c>
      <c r="E48" s="24">
        <f ca="1">ROUND(FIRE1121_raw!E48,0)</f>
        <v>0</v>
      </c>
      <c r="F48" s="24">
        <f ca="1">ROUND(FIRE1121_raw!F48,0)</f>
        <v>0</v>
      </c>
      <c r="G48" s="24">
        <f ca="1">ROUND(FIRE1121_raw!G48,0)</f>
        <v>0</v>
      </c>
      <c r="H48" s="101" t="str">
        <f t="shared" ca="1" si="7"/>
        <v>-</v>
      </c>
      <c r="I48" s="46" t="str">
        <f t="shared" ca="1" si="8"/>
        <v>-</v>
      </c>
      <c r="J48" s="72"/>
      <c r="K48" s="24">
        <f ca="1">ROUND(FIRE1121_raw!K48,0)</f>
        <v>2</v>
      </c>
      <c r="L48" s="24">
        <f ca="1">ROUND(FIRE1121_raw!L48,0)</f>
        <v>0</v>
      </c>
      <c r="M48" s="24">
        <f ca="1">ROUND(FIRE1121_raw!M48,0)</f>
        <v>0</v>
      </c>
      <c r="N48" s="24">
        <f ca="1">ROUND(FIRE1121_raw!N48,0)</f>
        <v>1</v>
      </c>
      <c r="O48" s="24">
        <f ca="1">ROUND(FIRE1121_raw!O48,0)</f>
        <v>0</v>
      </c>
      <c r="P48" s="24">
        <f ca="1">ROUND(FIRE1121_raw!P48,0)</f>
        <v>0</v>
      </c>
      <c r="Q48" s="101">
        <f t="shared" ca="1" si="10"/>
        <v>0.33333333333333331</v>
      </c>
      <c r="R48" s="46">
        <f t="shared" ca="1" si="11"/>
        <v>0</v>
      </c>
      <c r="S48" s="72"/>
      <c r="T48" s="22">
        <f t="shared" ca="1" si="12"/>
        <v>2</v>
      </c>
      <c r="U48" s="22">
        <f t="shared" ca="1" si="12"/>
        <v>0</v>
      </c>
      <c r="V48" s="22">
        <f t="shared" ca="1" si="12"/>
        <v>0</v>
      </c>
      <c r="W48" s="22">
        <f t="shared" ca="1" si="12"/>
        <v>1</v>
      </c>
      <c r="X48" s="22">
        <f t="shared" ca="1" si="12"/>
        <v>0</v>
      </c>
      <c r="Y48" s="22">
        <f t="shared" ca="1" si="12"/>
        <v>0</v>
      </c>
      <c r="Z48" s="101">
        <f t="shared" ca="1" si="13"/>
        <v>0.33333333333333331</v>
      </c>
      <c r="AA48" s="101">
        <f t="shared" ca="1" si="14"/>
        <v>0</v>
      </c>
      <c r="AB48" s="24"/>
      <c r="AC48" s="24">
        <f ca="1">ROUND(FIRE1121_raw!AC48,0)</f>
        <v>0</v>
      </c>
      <c r="AD48" s="24">
        <f ca="1">ROUND(FIRE1121_raw!AD48,0)</f>
        <v>0</v>
      </c>
      <c r="AE48" s="24">
        <f ca="1">ROUND(FIRE1121_raw!AE48,0)</f>
        <v>0</v>
      </c>
      <c r="AF48" s="24">
        <f ca="1">ROUND(FIRE1121_raw!AF48,0)</f>
        <v>0</v>
      </c>
      <c r="AG48" s="24">
        <f ca="1">ROUND(FIRE1121_raw!AG48,0)</f>
        <v>0</v>
      </c>
      <c r="AH48" s="24">
        <f ca="1">ROUND(FIRE1121_raw!AH48,0)</f>
        <v>0</v>
      </c>
      <c r="AI48" s="101" t="str">
        <f t="shared" ca="1" si="16"/>
        <v>-</v>
      </c>
      <c r="AJ48" s="46" t="str">
        <f t="shared" ca="1" si="17"/>
        <v>-</v>
      </c>
      <c r="AK48" s="72"/>
      <c r="AL48" s="24">
        <f ca="1">ROUND(FIRE1121_raw!AL48,0)</f>
        <v>1</v>
      </c>
      <c r="AM48" s="24">
        <f ca="1">ROUND(FIRE1121_raw!AM48,0)</f>
        <v>0</v>
      </c>
      <c r="AN48" s="24">
        <f ca="1">ROUND(FIRE1121_raw!AN48,0)</f>
        <v>0</v>
      </c>
      <c r="AO48" s="24">
        <f ca="1">ROUND(FIRE1121_raw!AO48,0)</f>
        <v>0</v>
      </c>
      <c r="AP48" s="24">
        <f ca="1">ROUND(FIRE1121_raw!AP48,0)</f>
        <v>0</v>
      </c>
      <c r="AQ48" s="24">
        <f ca="1">ROUND(FIRE1121_raw!AQ48,0)</f>
        <v>0</v>
      </c>
      <c r="AR48" s="101">
        <f t="shared" ca="1" si="19"/>
        <v>0</v>
      </c>
      <c r="AS48" s="46">
        <f t="shared" ca="1" si="20"/>
        <v>0</v>
      </c>
      <c r="AT48" s="72"/>
      <c r="AU48" s="22">
        <f t="shared" ca="1" si="21"/>
        <v>3</v>
      </c>
      <c r="AV48" s="22">
        <f t="shared" ca="1" si="21"/>
        <v>0</v>
      </c>
      <c r="AW48" s="22">
        <f t="shared" ca="1" si="21"/>
        <v>0</v>
      </c>
      <c r="AX48" s="22">
        <f t="shared" ca="1" si="21"/>
        <v>1</v>
      </c>
      <c r="AY48" s="22">
        <f t="shared" ca="1" si="21"/>
        <v>0</v>
      </c>
      <c r="AZ48" s="22">
        <f t="shared" ca="1" si="21"/>
        <v>0</v>
      </c>
      <c r="BA48" s="101">
        <f t="shared" ca="1" si="22"/>
        <v>0.25</v>
      </c>
      <c r="BB48" s="101">
        <f t="shared" ca="1" si="23"/>
        <v>0</v>
      </c>
      <c r="BC48" s="19"/>
      <c r="BD48" s="19"/>
      <c r="BE48" s="19"/>
      <c r="BF48" s="19"/>
      <c r="BG48" s="19"/>
      <c r="BH48" s="19"/>
      <c r="BI48" s="19"/>
      <c r="BJ48" s="19"/>
      <c r="BK48" s="19"/>
    </row>
    <row r="49" spans="1:63" s="8" customFormat="1" ht="15" customHeight="1" x14ac:dyDescent="0.35">
      <c r="A49" s="21" t="s">
        <v>56</v>
      </c>
      <c r="B49" s="22">
        <f ca="1">SUM(B50:B56)</f>
        <v>644</v>
      </c>
      <c r="C49" s="22">
        <f t="shared" ref="C49:G49" ca="1" si="24">SUM(C50:C56)</f>
        <v>38</v>
      </c>
      <c r="D49" s="22">
        <f t="shared" ca="1" si="24"/>
        <v>11</v>
      </c>
      <c r="E49" s="22">
        <f t="shared" ca="1" si="24"/>
        <v>22</v>
      </c>
      <c r="F49" s="22">
        <f t="shared" ca="1" si="24"/>
        <v>10</v>
      </c>
      <c r="G49" s="22">
        <f t="shared" ca="1" si="24"/>
        <v>84</v>
      </c>
      <c r="H49" s="101">
        <f t="shared" ca="1" si="7"/>
        <v>0.11172413793103449</v>
      </c>
      <c r="I49" s="46">
        <f t="shared" ca="1" si="8"/>
        <v>0.103831891223733</v>
      </c>
      <c r="J49" s="72"/>
      <c r="K49" s="22">
        <f ca="1">SUM(K50:K56)</f>
        <v>42</v>
      </c>
      <c r="L49" s="22">
        <f t="shared" ref="L49" ca="1" si="25">SUM(L50:L56)</f>
        <v>2</v>
      </c>
      <c r="M49" s="22">
        <f t="shared" ref="M49" ca="1" si="26">SUM(M50:M56)</f>
        <v>0</v>
      </c>
      <c r="N49" s="22">
        <f t="shared" ref="N49" ca="1" si="27">SUM(N50:N56)</f>
        <v>2</v>
      </c>
      <c r="O49" s="22">
        <f t="shared" ref="O49" ca="1" si="28">SUM(O50:O56)</f>
        <v>1</v>
      </c>
      <c r="P49" s="22">
        <f t="shared" ref="P49" ca="1" si="29">SUM(P50:P56)</f>
        <v>1</v>
      </c>
      <c r="Q49" s="101">
        <f t="shared" ca="1" si="10"/>
        <v>0.10638297872340426</v>
      </c>
      <c r="R49" s="46">
        <f t="shared" ca="1" si="11"/>
        <v>2.0833333333333332E-2</v>
      </c>
      <c r="S49" s="72"/>
      <c r="T49" s="22">
        <f t="shared" ca="1" si="12"/>
        <v>686</v>
      </c>
      <c r="U49" s="22">
        <f t="shared" ca="1" si="12"/>
        <v>40</v>
      </c>
      <c r="V49" s="22">
        <f t="shared" ca="1" si="12"/>
        <v>11</v>
      </c>
      <c r="W49" s="22">
        <f t="shared" ca="1" si="12"/>
        <v>24</v>
      </c>
      <c r="X49" s="22">
        <f t="shared" ca="1" si="12"/>
        <v>11</v>
      </c>
      <c r="Y49" s="22">
        <f t="shared" ca="1" si="12"/>
        <v>85</v>
      </c>
      <c r="Z49" s="101">
        <f t="shared" ca="1" si="13"/>
        <v>0.11139896373056994</v>
      </c>
      <c r="AA49" s="101">
        <f t="shared" ca="1" si="14"/>
        <v>9.9183197199533252E-2</v>
      </c>
      <c r="AB49" s="22"/>
      <c r="AC49" s="22">
        <f ca="1">SUM(AC50:AC56)</f>
        <v>21</v>
      </c>
      <c r="AD49" s="22">
        <f t="shared" ref="AD49" ca="1" si="30">SUM(AD50:AD56)</f>
        <v>1</v>
      </c>
      <c r="AE49" s="22">
        <f t="shared" ref="AE49" ca="1" si="31">SUM(AE50:AE56)</f>
        <v>0</v>
      </c>
      <c r="AF49" s="22">
        <f t="shared" ref="AF49" ca="1" si="32">SUM(AF50:AF56)</f>
        <v>0</v>
      </c>
      <c r="AG49" s="22">
        <f t="shared" ref="AG49" ca="1" si="33">SUM(AG50:AG56)</f>
        <v>0</v>
      </c>
      <c r="AH49" s="22">
        <f t="shared" ref="AH49" ca="1" si="34">SUM(AH50:AH56)</f>
        <v>0</v>
      </c>
      <c r="AI49" s="101">
        <f t="shared" ca="1" si="16"/>
        <v>4.5454545454545456E-2</v>
      </c>
      <c r="AJ49" s="46">
        <f t="shared" ca="1" si="17"/>
        <v>0</v>
      </c>
      <c r="AK49" s="72"/>
      <c r="AL49" s="22">
        <f ca="1">SUM(AL50:AL56)</f>
        <v>251</v>
      </c>
      <c r="AM49" s="22">
        <f t="shared" ref="AM49" ca="1" si="35">SUM(AM50:AM56)</f>
        <v>6</v>
      </c>
      <c r="AN49" s="22">
        <f t="shared" ref="AN49" ca="1" si="36">SUM(AN50:AN56)</f>
        <v>17</v>
      </c>
      <c r="AO49" s="22">
        <f t="shared" ref="AO49" ca="1" si="37">SUM(AO50:AO56)</f>
        <v>19</v>
      </c>
      <c r="AP49" s="22">
        <f t="shared" ref="AP49" ca="1" si="38">SUM(AP50:AP56)</f>
        <v>11</v>
      </c>
      <c r="AQ49" s="22">
        <f t="shared" ref="AQ49" ca="1" si="39">SUM(AQ50:AQ56)</f>
        <v>30</v>
      </c>
      <c r="AR49" s="101">
        <f t="shared" ca="1" si="19"/>
        <v>0.17434210526315788</v>
      </c>
      <c r="AS49" s="46">
        <f t="shared" ca="1" si="20"/>
        <v>8.9820359281437126E-2</v>
      </c>
      <c r="AT49" s="72"/>
      <c r="AU49" s="22">
        <f t="shared" ca="1" si="21"/>
        <v>958</v>
      </c>
      <c r="AV49" s="22">
        <f t="shared" ca="1" si="21"/>
        <v>47</v>
      </c>
      <c r="AW49" s="22">
        <f t="shared" ca="1" si="21"/>
        <v>28</v>
      </c>
      <c r="AX49" s="22">
        <f t="shared" ca="1" si="21"/>
        <v>43</v>
      </c>
      <c r="AY49" s="22">
        <f t="shared" ca="1" si="21"/>
        <v>22</v>
      </c>
      <c r="AZ49" s="22">
        <f t="shared" ca="1" si="21"/>
        <v>115</v>
      </c>
      <c r="BA49" s="101">
        <f t="shared" ca="1" si="22"/>
        <v>0.12750455373406194</v>
      </c>
      <c r="BB49" s="101">
        <f t="shared" ca="1" si="23"/>
        <v>9.4806265457543282E-2</v>
      </c>
      <c r="BC49" s="19"/>
      <c r="BD49" s="19"/>
      <c r="BE49" s="19"/>
      <c r="BF49" s="19"/>
      <c r="BG49" s="19"/>
      <c r="BH49" s="19"/>
      <c r="BI49" s="19"/>
      <c r="BJ49" s="19"/>
      <c r="BK49" s="19"/>
    </row>
    <row r="50" spans="1:63" s="8" customFormat="1" ht="15" customHeight="1" x14ac:dyDescent="0.35">
      <c r="A50" s="2" t="s">
        <v>57</v>
      </c>
      <c r="B50" s="24">
        <f ca="1">ROUND(FIRE1121_raw!B50,0)</f>
        <v>52</v>
      </c>
      <c r="C50" s="24">
        <f ca="1">ROUND(FIRE1121_raw!C50,0)</f>
        <v>4</v>
      </c>
      <c r="D50" s="24">
        <f ca="1">ROUND(FIRE1121_raw!D50,0)</f>
        <v>2</v>
      </c>
      <c r="E50" s="24">
        <f ca="1">ROUND(FIRE1121_raw!E50,0)</f>
        <v>0</v>
      </c>
      <c r="F50" s="24">
        <f ca="1">ROUND(FIRE1121_raw!F50,0)</f>
        <v>0</v>
      </c>
      <c r="G50" s="24">
        <f ca="1">ROUND(FIRE1121_raw!G50,0)</f>
        <v>67</v>
      </c>
      <c r="H50" s="101">
        <f t="shared" ca="1" si="7"/>
        <v>0.10344827586206896</v>
      </c>
      <c r="I50" s="46">
        <f t="shared" ca="1" si="8"/>
        <v>0.53600000000000003</v>
      </c>
      <c r="J50" s="72"/>
      <c r="K50" s="24">
        <f ca="1">ROUND(FIRE1121_raw!K50,0)</f>
        <v>0</v>
      </c>
      <c r="L50" s="24">
        <f ca="1">ROUND(FIRE1121_raw!L50,0)</f>
        <v>0</v>
      </c>
      <c r="M50" s="24">
        <f ca="1">ROUND(FIRE1121_raw!M50,0)</f>
        <v>0</v>
      </c>
      <c r="N50" s="24">
        <f ca="1">ROUND(FIRE1121_raw!N50,0)</f>
        <v>0</v>
      </c>
      <c r="O50" s="24">
        <f ca="1">ROUND(FIRE1121_raw!O50,0)</f>
        <v>0</v>
      </c>
      <c r="P50" s="24">
        <f ca="1">ROUND(FIRE1121_raw!P50,0)</f>
        <v>0</v>
      </c>
      <c r="Q50" s="101" t="str">
        <f t="shared" ca="1" si="10"/>
        <v>-</v>
      </c>
      <c r="R50" s="46" t="str">
        <f t="shared" ca="1" si="11"/>
        <v>-</v>
      </c>
      <c r="S50" s="72"/>
      <c r="T50" s="22">
        <f t="shared" ca="1" si="12"/>
        <v>52</v>
      </c>
      <c r="U50" s="22">
        <f t="shared" ca="1" si="12"/>
        <v>4</v>
      </c>
      <c r="V50" s="22">
        <f t="shared" ca="1" si="12"/>
        <v>2</v>
      </c>
      <c r="W50" s="22">
        <f t="shared" ca="1" si="12"/>
        <v>0</v>
      </c>
      <c r="X50" s="22">
        <f t="shared" ca="1" si="12"/>
        <v>0</v>
      </c>
      <c r="Y50" s="22">
        <f t="shared" ca="1" si="12"/>
        <v>67</v>
      </c>
      <c r="Z50" s="101">
        <f t="shared" ca="1" si="13"/>
        <v>0.10344827586206896</v>
      </c>
      <c r="AA50" s="101">
        <f t="shared" ca="1" si="14"/>
        <v>0.53600000000000003</v>
      </c>
      <c r="AB50" s="24"/>
      <c r="AC50" s="24">
        <f ca="1">ROUND(FIRE1121_raw!AC50,0)</f>
        <v>0</v>
      </c>
      <c r="AD50" s="24">
        <f ca="1">ROUND(FIRE1121_raw!AD50,0)</f>
        <v>0</v>
      </c>
      <c r="AE50" s="24">
        <f ca="1">ROUND(FIRE1121_raw!AE50,0)</f>
        <v>0</v>
      </c>
      <c r="AF50" s="24">
        <f ca="1">ROUND(FIRE1121_raw!AF50,0)</f>
        <v>0</v>
      </c>
      <c r="AG50" s="24">
        <f ca="1">ROUND(FIRE1121_raw!AG50,0)</f>
        <v>0</v>
      </c>
      <c r="AH50" s="24">
        <f ca="1">ROUND(FIRE1121_raw!AH50,0)</f>
        <v>0</v>
      </c>
      <c r="AI50" s="101" t="str">
        <f t="shared" ca="1" si="16"/>
        <v>-</v>
      </c>
      <c r="AJ50" s="46" t="str">
        <f t="shared" ca="1" si="17"/>
        <v>-</v>
      </c>
      <c r="AK50" s="72"/>
      <c r="AL50" s="24">
        <f ca="1">ROUND(FIRE1121_raw!AL50,0)</f>
        <v>41</v>
      </c>
      <c r="AM50" s="24">
        <f ca="1">ROUND(FIRE1121_raw!AM50,0)</f>
        <v>0</v>
      </c>
      <c r="AN50" s="24">
        <f ca="1">ROUND(FIRE1121_raw!AN50,0)</f>
        <v>1</v>
      </c>
      <c r="AO50" s="24">
        <f ca="1">ROUND(FIRE1121_raw!AO50,0)</f>
        <v>0</v>
      </c>
      <c r="AP50" s="24">
        <f ca="1">ROUND(FIRE1121_raw!AP50,0)</f>
        <v>1</v>
      </c>
      <c r="AQ50" s="24">
        <f ca="1">ROUND(FIRE1121_raw!AQ50,0)</f>
        <v>16</v>
      </c>
      <c r="AR50" s="101">
        <f t="shared" ca="1" si="19"/>
        <v>4.6511627906976744E-2</v>
      </c>
      <c r="AS50" s="46">
        <f t="shared" ca="1" si="20"/>
        <v>0.2711864406779661</v>
      </c>
      <c r="AT50" s="96"/>
      <c r="AU50" s="22">
        <f t="shared" ca="1" si="21"/>
        <v>93</v>
      </c>
      <c r="AV50" s="22">
        <f t="shared" ca="1" si="21"/>
        <v>4</v>
      </c>
      <c r="AW50" s="22">
        <f t="shared" ca="1" si="21"/>
        <v>3</v>
      </c>
      <c r="AX50" s="22">
        <f t="shared" ca="1" si="21"/>
        <v>0</v>
      </c>
      <c r="AY50" s="22">
        <f t="shared" ca="1" si="21"/>
        <v>1</v>
      </c>
      <c r="AZ50" s="22">
        <f t="shared" ca="1" si="21"/>
        <v>83</v>
      </c>
      <c r="BA50" s="101">
        <f t="shared" ca="1" si="22"/>
        <v>7.9207920792079209E-2</v>
      </c>
      <c r="BB50" s="101">
        <f t="shared" ca="1" si="23"/>
        <v>0.45108695652173914</v>
      </c>
      <c r="BC50" s="19"/>
      <c r="BD50" s="19"/>
      <c r="BE50" s="19"/>
      <c r="BF50" s="19"/>
      <c r="BG50" s="19"/>
      <c r="BH50" s="19"/>
      <c r="BI50" s="19"/>
      <c r="BJ50" s="19"/>
      <c r="BK50" s="19"/>
    </row>
    <row r="51" spans="1:63" s="8" customFormat="1" ht="15" customHeight="1" x14ac:dyDescent="0.35">
      <c r="A51" s="2" t="s">
        <v>58</v>
      </c>
      <c r="B51" s="24">
        <f ca="1">ROUND(FIRE1121_raw!B51,0)</f>
        <v>45</v>
      </c>
      <c r="C51" s="24">
        <f ca="1">ROUND(FIRE1121_raw!C51,0)</f>
        <v>3</v>
      </c>
      <c r="D51" s="24">
        <f ca="1">ROUND(FIRE1121_raw!D51,0)</f>
        <v>0</v>
      </c>
      <c r="E51" s="24">
        <f ca="1">ROUND(FIRE1121_raw!E51,0)</f>
        <v>0</v>
      </c>
      <c r="F51" s="24">
        <f ca="1">ROUND(FIRE1121_raw!F51,0)</f>
        <v>1</v>
      </c>
      <c r="G51" s="24">
        <f ca="1">ROUND(FIRE1121_raw!G51,0)</f>
        <v>2</v>
      </c>
      <c r="H51" s="101">
        <f t="shared" ca="1" si="7"/>
        <v>8.1632653061224483E-2</v>
      </c>
      <c r="I51" s="46">
        <f t="shared" ca="1" si="8"/>
        <v>3.9215686274509803E-2</v>
      </c>
      <c r="J51" s="72"/>
      <c r="K51" s="24">
        <f ca="1">ROUND(FIRE1121_raw!K51,0)</f>
        <v>21</v>
      </c>
      <c r="L51" s="24">
        <f ca="1">ROUND(FIRE1121_raw!L51,0)</f>
        <v>2</v>
      </c>
      <c r="M51" s="24">
        <f ca="1">ROUND(FIRE1121_raw!M51,0)</f>
        <v>0</v>
      </c>
      <c r="N51" s="24">
        <f ca="1">ROUND(FIRE1121_raw!N51,0)</f>
        <v>0</v>
      </c>
      <c r="O51" s="24">
        <f ca="1">ROUND(FIRE1121_raw!O51,0)</f>
        <v>1</v>
      </c>
      <c r="P51" s="24">
        <f ca="1">ROUND(FIRE1121_raw!P51,0)</f>
        <v>1</v>
      </c>
      <c r="Q51" s="101">
        <f t="shared" ca="1" si="10"/>
        <v>0.125</v>
      </c>
      <c r="R51" s="46">
        <f t="shared" ca="1" si="11"/>
        <v>0.04</v>
      </c>
      <c r="S51" s="72"/>
      <c r="T51" s="22">
        <f t="shared" ca="1" si="12"/>
        <v>66</v>
      </c>
      <c r="U51" s="22">
        <f t="shared" ca="1" si="12"/>
        <v>5</v>
      </c>
      <c r="V51" s="22">
        <f t="shared" ca="1" si="12"/>
        <v>0</v>
      </c>
      <c r="W51" s="22">
        <f t="shared" ca="1" si="12"/>
        <v>0</v>
      </c>
      <c r="X51" s="22">
        <f t="shared" ca="1" si="12"/>
        <v>2</v>
      </c>
      <c r="Y51" s="22">
        <f t="shared" ca="1" si="12"/>
        <v>3</v>
      </c>
      <c r="Z51" s="101">
        <f t="shared" ca="1" si="13"/>
        <v>9.5890410958904104E-2</v>
      </c>
      <c r="AA51" s="101">
        <f t="shared" ca="1" si="14"/>
        <v>3.9473684210526314E-2</v>
      </c>
      <c r="AB51" s="24"/>
      <c r="AC51" s="24">
        <f ca="1">ROUND(FIRE1121_raw!AC51,0)</f>
        <v>7</v>
      </c>
      <c r="AD51" s="24">
        <f ca="1">ROUND(FIRE1121_raw!AD51,0)</f>
        <v>0</v>
      </c>
      <c r="AE51" s="24">
        <f ca="1">ROUND(FIRE1121_raw!AE51,0)</f>
        <v>0</v>
      </c>
      <c r="AF51" s="24">
        <f ca="1">ROUND(FIRE1121_raw!AF51,0)</f>
        <v>0</v>
      </c>
      <c r="AG51" s="24">
        <f ca="1">ROUND(FIRE1121_raw!AG51,0)</f>
        <v>0</v>
      </c>
      <c r="AH51" s="24">
        <f ca="1">ROUND(FIRE1121_raw!AH51,0)</f>
        <v>0</v>
      </c>
      <c r="AI51" s="101">
        <f t="shared" ca="1" si="16"/>
        <v>0</v>
      </c>
      <c r="AJ51" s="46">
        <f t="shared" ca="1" si="17"/>
        <v>0</v>
      </c>
      <c r="AK51" s="72"/>
      <c r="AL51" s="24">
        <f ca="1">ROUND(FIRE1121_raw!AL51,0)</f>
        <v>49</v>
      </c>
      <c r="AM51" s="24">
        <f ca="1">ROUND(FIRE1121_raw!AM51,0)</f>
        <v>0</v>
      </c>
      <c r="AN51" s="24">
        <f ca="1">ROUND(FIRE1121_raw!AN51,0)</f>
        <v>0</v>
      </c>
      <c r="AO51" s="24">
        <f ca="1">ROUND(FIRE1121_raw!AO51,0)</f>
        <v>1</v>
      </c>
      <c r="AP51" s="24">
        <f ca="1">ROUND(FIRE1121_raw!AP51,0)</f>
        <v>0</v>
      </c>
      <c r="AQ51" s="24">
        <f ca="1">ROUND(FIRE1121_raw!AQ51,0)</f>
        <v>5</v>
      </c>
      <c r="AR51" s="101">
        <f t="shared" ca="1" si="19"/>
        <v>0.02</v>
      </c>
      <c r="AS51" s="46">
        <f t="shared" ca="1" si="20"/>
        <v>9.0909090909090912E-2</v>
      </c>
      <c r="AT51" s="72"/>
      <c r="AU51" s="22">
        <f t="shared" ca="1" si="21"/>
        <v>122</v>
      </c>
      <c r="AV51" s="22">
        <f t="shared" ca="1" si="21"/>
        <v>5</v>
      </c>
      <c r="AW51" s="22">
        <f t="shared" ca="1" si="21"/>
        <v>0</v>
      </c>
      <c r="AX51" s="22">
        <f t="shared" ca="1" si="21"/>
        <v>1</v>
      </c>
      <c r="AY51" s="22">
        <f t="shared" ca="1" si="21"/>
        <v>2</v>
      </c>
      <c r="AZ51" s="22">
        <f t="shared" ca="1" si="21"/>
        <v>8</v>
      </c>
      <c r="BA51" s="101">
        <f t="shared" ca="1" si="22"/>
        <v>6.1538461538461542E-2</v>
      </c>
      <c r="BB51" s="101">
        <f t="shared" ca="1" si="23"/>
        <v>5.7971014492753624E-2</v>
      </c>
      <c r="BC51" s="19"/>
      <c r="BD51" s="19"/>
      <c r="BE51" s="19"/>
      <c r="BF51" s="19"/>
      <c r="BG51" s="19"/>
      <c r="BH51" s="19"/>
      <c r="BI51" s="19"/>
      <c r="BJ51" s="19"/>
      <c r="BK51" s="19"/>
    </row>
    <row r="52" spans="1:63" s="8" customFormat="1" ht="15" customHeight="1" x14ac:dyDescent="0.35">
      <c r="A52" s="2" t="s">
        <v>59</v>
      </c>
      <c r="B52" s="24">
        <f ca="1">ROUND(FIRE1121_raw!B52,0)</f>
        <v>17</v>
      </c>
      <c r="C52" s="24">
        <f ca="1">ROUND(FIRE1121_raw!C52,0)</f>
        <v>3</v>
      </c>
      <c r="D52" s="24">
        <f ca="1">ROUND(FIRE1121_raw!D52,0)</f>
        <v>0</v>
      </c>
      <c r="E52" s="24">
        <f ca="1">ROUND(FIRE1121_raw!E52,0)</f>
        <v>2</v>
      </c>
      <c r="F52" s="24">
        <f ca="1">ROUND(FIRE1121_raw!F52,0)</f>
        <v>1</v>
      </c>
      <c r="G52" s="24">
        <f ca="1">ROUND(FIRE1121_raw!G52,0)</f>
        <v>0</v>
      </c>
      <c r="H52" s="101">
        <f t="shared" ca="1" si="7"/>
        <v>0.2608695652173913</v>
      </c>
      <c r="I52" s="46">
        <f t="shared" ca="1" si="8"/>
        <v>0</v>
      </c>
      <c r="J52" s="72"/>
      <c r="K52" s="24">
        <f ca="1">ROUND(FIRE1121_raw!K52,0)</f>
        <v>1</v>
      </c>
      <c r="L52" s="24">
        <f ca="1">ROUND(FIRE1121_raw!L52,0)</f>
        <v>0</v>
      </c>
      <c r="M52" s="24">
        <f ca="1">ROUND(FIRE1121_raw!M52,0)</f>
        <v>0</v>
      </c>
      <c r="N52" s="24">
        <f ca="1">ROUND(FIRE1121_raw!N52,0)</f>
        <v>0</v>
      </c>
      <c r="O52" s="24">
        <f ca="1">ROUND(FIRE1121_raw!O52,0)</f>
        <v>0</v>
      </c>
      <c r="P52" s="24">
        <f ca="1">ROUND(FIRE1121_raw!P52,0)</f>
        <v>0</v>
      </c>
      <c r="Q52" s="101">
        <f t="shared" ca="1" si="10"/>
        <v>0</v>
      </c>
      <c r="R52" s="46">
        <f t="shared" ca="1" si="11"/>
        <v>0</v>
      </c>
      <c r="S52" s="72"/>
      <c r="T52" s="22">
        <f t="shared" ca="1" si="12"/>
        <v>18</v>
      </c>
      <c r="U52" s="22">
        <f t="shared" ca="1" si="12"/>
        <v>3</v>
      </c>
      <c r="V52" s="22">
        <f t="shared" ca="1" si="12"/>
        <v>0</v>
      </c>
      <c r="W52" s="22">
        <f t="shared" ca="1" si="12"/>
        <v>2</v>
      </c>
      <c r="X52" s="22">
        <f t="shared" ca="1" si="12"/>
        <v>1</v>
      </c>
      <c r="Y52" s="22">
        <f t="shared" ca="1" si="12"/>
        <v>0</v>
      </c>
      <c r="Z52" s="101">
        <f t="shared" ca="1" si="13"/>
        <v>0.25</v>
      </c>
      <c r="AA52" s="101">
        <f t="shared" ca="1" si="14"/>
        <v>0</v>
      </c>
      <c r="AB52" s="24"/>
      <c r="AC52" s="24">
        <f ca="1">ROUND(FIRE1121_raw!AC52,0)</f>
        <v>0</v>
      </c>
      <c r="AD52" s="24">
        <f ca="1">ROUND(FIRE1121_raw!AD52,0)</f>
        <v>0</v>
      </c>
      <c r="AE52" s="24">
        <f ca="1">ROUND(FIRE1121_raw!AE52,0)</f>
        <v>0</v>
      </c>
      <c r="AF52" s="24">
        <f ca="1">ROUND(FIRE1121_raw!AF52,0)</f>
        <v>0</v>
      </c>
      <c r="AG52" s="24">
        <f ca="1">ROUND(FIRE1121_raw!AG52,0)</f>
        <v>0</v>
      </c>
      <c r="AH52" s="24">
        <f ca="1">ROUND(FIRE1121_raw!AH52,0)</f>
        <v>0</v>
      </c>
      <c r="AI52" s="101" t="str">
        <f t="shared" ca="1" si="16"/>
        <v>-</v>
      </c>
      <c r="AJ52" s="46" t="str">
        <f t="shared" ca="1" si="17"/>
        <v>-</v>
      </c>
      <c r="AK52" s="72"/>
      <c r="AL52" s="24">
        <f ca="1">ROUND(FIRE1121_raw!AL52,0)</f>
        <v>16</v>
      </c>
      <c r="AM52" s="24">
        <f ca="1">ROUND(FIRE1121_raw!AM52,0)</f>
        <v>0</v>
      </c>
      <c r="AN52" s="24">
        <f ca="1">ROUND(FIRE1121_raw!AN52,0)</f>
        <v>0</v>
      </c>
      <c r="AO52" s="24">
        <f ca="1">ROUND(FIRE1121_raw!AO52,0)</f>
        <v>1</v>
      </c>
      <c r="AP52" s="24">
        <f ca="1">ROUND(FIRE1121_raw!AP52,0)</f>
        <v>0</v>
      </c>
      <c r="AQ52" s="24">
        <f ca="1">ROUND(FIRE1121_raw!AQ52,0)</f>
        <v>0</v>
      </c>
      <c r="AR52" s="101">
        <f t="shared" ca="1" si="19"/>
        <v>5.8823529411764705E-2</v>
      </c>
      <c r="AS52" s="46">
        <f t="shared" ca="1" si="20"/>
        <v>0</v>
      </c>
      <c r="AT52" s="72"/>
      <c r="AU52" s="22">
        <f t="shared" ca="1" si="21"/>
        <v>34</v>
      </c>
      <c r="AV52" s="22">
        <f t="shared" ca="1" si="21"/>
        <v>3</v>
      </c>
      <c r="AW52" s="22">
        <f t="shared" ca="1" si="21"/>
        <v>0</v>
      </c>
      <c r="AX52" s="22">
        <f t="shared" ca="1" si="21"/>
        <v>3</v>
      </c>
      <c r="AY52" s="22">
        <f t="shared" ca="1" si="21"/>
        <v>1</v>
      </c>
      <c r="AZ52" s="22">
        <f t="shared" ca="1" si="21"/>
        <v>0</v>
      </c>
      <c r="BA52" s="101">
        <f t="shared" ca="1" si="22"/>
        <v>0.17073170731707318</v>
      </c>
      <c r="BB52" s="101">
        <f t="shared" ca="1" si="23"/>
        <v>0</v>
      </c>
      <c r="BC52" s="19"/>
      <c r="BD52" s="19"/>
      <c r="BE52" s="19"/>
      <c r="BF52" s="19"/>
      <c r="BG52" s="19"/>
      <c r="BH52" s="19"/>
      <c r="BI52" s="19"/>
      <c r="BJ52" s="19"/>
      <c r="BK52" s="19"/>
    </row>
    <row r="53" spans="1:63" s="8" customFormat="1" ht="15" customHeight="1" x14ac:dyDescent="0.35">
      <c r="A53" s="2" t="s">
        <v>60</v>
      </c>
      <c r="B53" s="24">
        <f ca="1">ROUND(FIRE1121_raw!B53,0)</f>
        <v>25</v>
      </c>
      <c r="C53" s="24">
        <f ca="1">ROUND(FIRE1121_raw!C53,0)</f>
        <v>0</v>
      </c>
      <c r="D53" s="24">
        <f ca="1">ROUND(FIRE1121_raw!D53,0)</f>
        <v>1</v>
      </c>
      <c r="E53" s="24">
        <f ca="1">ROUND(FIRE1121_raw!E53,0)</f>
        <v>0</v>
      </c>
      <c r="F53" s="24">
        <f ca="1">ROUND(FIRE1121_raw!F53,0)</f>
        <v>0</v>
      </c>
      <c r="G53" s="24">
        <f ca="1">ROUND(FIRE1121_raw!G53,0)</f>
        <v>0</v>
      </c>
      <c r="H53" s="101">
        <f t="shared" ca="1" si="7"/>
        <v>3.8461538461538464E-2</v>
      </c>
      <c r="I53" s="46">
        <f t="shared" ca="1" si="8"/>
        <v>0</v>
      </c>
      <c r="J53" s="72"/>
      <c r="K53" s="24">
        <f ca="1">ROUND(FIRE1121_raw!K53,0)</f>
        <v>0</v>
      </c>
      <c r="L53" s="24">
        <f ca="1">ROUND(FIRE1121_raw!L53,0)</f>
        <v>0</v>
      </c>
      <c r="M53" s="24">
        <f ca="1">ROUND(FIRE1121_raw!M53,0)</f>
        <v>0</v>
      </c>
      <c r="N53" s="24">
        <f ca="1">ROUND(FIRE1121_raw!N53,0)</f>
        <v>0</v>
      </c>
      <c r="O53" s="24">
        <f ca="1">ROUND(FIRE1121_raw!O53,0)</f>
        <v>0</v>
      </c>
      <c r="P53" s="24">
        <f ca="1">ROUND(FIRE1121_raw!P53,0)</f>
        <v>0</v>
      </c>
      <c r="Q53" s="101" t="str">
        <f t="shared" ca="1" si="10"/>
        <v>-</v>
      </c>
      <c r="R53" s="46" t="str">
        <f t="shared" ca="1" si="11"/>
        <v>-</v>
      </c>
      <c r="S53" s="72"/>
      <c r="T53" s="22">
        <f t="shared" ca="1" si="12"/>
        <v>25</v>
      </c>
      <c r="U53" s="22">
        <f t="shared" ca="1" si="12"/>
        <v>0</v>
      </c>
      <c r="V53" s="22">
        <f t="shared" ca="1" si="12"/>
        <v>1</v>
      </c>
      <c r="W53" s="22">
        <f t="shared" ca="1" si="12"/>
        <v>0</v>
      </c>
      <c r="X53" s="22">
        <f t="shared" ca="1" si="12"/>
        <v>0</v>
      </c>
      <c r="Y53" s="22">
        <f t="shared" ca="1" si="12"/>
        <v>0</v>
      </c>
      <c r="Z53" s="101">
        <f t="shared" ca="1" si="13"/>
        <v>3.8461538461538464E-2</v>
      </c>
      <c r="AA53" s="101">
        <f t="shared" ca="1" si="14"/>
        <v>0</v>
      </c>
      <c r="AB53" s="24"/>
      <c r="AC53" s="24">
        <f ca="1">ROUND(FIRE1121_raw!AC53,0)</f>
        <v>5</v>
      </c>
      <c r="AD53" s="24">
        <f ca="1">ROUND(FIRE1121_raw!AD53,0)</f>
        <v>0</v>
      </c>
      <c r="AE53" s="24">
        <f ca="1">ROUND(FIRE1121_raw!AE53,0)</f>
        <v>0</v>
      </c>
      <c r="AF53" s="24">
        <f ca="1">ROUND(FIRE1121_raw!AF53,0)</f>
        <v>0</v>
      </c>
      <c r="AG53" s="24">
        <f ca="1">ROUND(FIRE1121_raw!AG53,0)</f>
        <v>0</v>
      </c>
      <c r="AH53" s="24">
        <f ca="1">ROUND(FIRE1121_raw!AH53,0)</f>
        <v>0</v>
      </c>
      <c r="AI53" s="101">
        <f t="shared" ca="1" si="16"/>
        <v>0</v>
      </c>
      <c r="AJ53" s="46">
        <f t="shared" ca="1" si="17"/>
        <v>0</v>
      </c>
      <c r="AK53" s="72"/>
      <c r="AL53" s="24">
        <f ca="1">ROUND(FIRE1121_raw!AL53,0)</f>
        <v>30</v>
      </c>
      <c r="AM53" s="24">
        <f ca="1">ROUND(FIRE1121_raw!AM53,0)</f>
        <v>0</v>
      </c>
      <c r="AN53" s="24">
        <f ca="1">ROUND(FIRE1121_raw!AN53,0)</f>
        <v>0</v>
      </c>
      <c r="AO53" s="24">
        <f ca="1">ROUND(FIRE1121_raw!AO53,0)</f>
        <v>1</v>
      </c>
      <c r="AP53" s="24">
        <f ca="1">ROUND(FIRE1121_raw!AP53,0)</f>
        <v>0</v>
      </c>
      <c r="AQ53" s="24">
        <f ca="1">ROUND(FIRE1121_raw!AQ53,0)</f>
        <v>0</v>
      </c>
      <c r="AR53" s="101">
        <f t="shared" ca="1" si="19"/>
        <v>3.2258064516129031E-2</v>
      </c>
      <c r="AS53" s="46">
        <f t="shared" ca="1" si="20"/>
        <v>0</v>
      </c>
      <c r="AT53" s="72"/>
      <c r="AU53" s="22">
        <f t="shared" ca="1" si="21"/>
        <v>60</v>
      </c>
      <c r="AV53" s="22">
        <f t="shared" ca="1" si="21"/>
        <v>0</v>
      </c>
      <c r="AW53" s="22">
        <f t="shared" ca="1" si="21"/>
        <v>1</v>
      </c>
      <c r="AX53" s="22">
        <f t="shared" ca="1" si="21"/>
        <v>1</v>
      </c>
      <c r="AY53" s="22">
        <f t="shared" ca="1" si="21"/>
        <v>0</v>
      </c>
      <c r="AZ53" s="22">
        <f t="shared" ca="1" si="21"/>
        <v>0</v>
      </c>
      <c r="BA53" s="101">
        <f t="shared" ca="1" si="22"/>
        <v>3.2258064516129031E-2</v>
      </c>
      <c r="BB53" s="101">
        <f t="shared" ca="1" si="23"/>
        <v>0</v>
      </c>
      <c r="BC53" s="19"/>
      <c r="BD53" s="19"/>
      <c r="BE53" s="19"/>
      <c r="BF53" s="19"/>
      <c r="BG53" s="19"/>
      <c r="BH53" s="19"/>
      <c r="BI53" s="19"/>
      <c r="BJ53" s="19"/>
      <c r="BK53" s="19"/>
    </row>
    <row r="54" spans="1:63" s="8" customFormat="1" ht="15" customHeight="1" x14ac:dyDescent="0.35">
      <c r="A54" s="2" t="s">
        <v>61</v>
      </c>
      <c r="B54" s="24">
        <f ca="1">ROUND(FIRE1121_raw!B54,0)</f>
        <v>66</v>
      </c>
      <c r="C54" s="24">
        <f ca="1">ROUND(FIRE1121_raw!C54,0)</f>
        <v>8</v>
      </c>
      <c r="D54" s="24">
        <f ca="1">ROUND(FIRE1121_raw!D54,0)</f>
        <v>5</v>
      </c>
      <c r="E54" s="24">
        <f ca="1">ROUND(FIRE1121_raw!E54,0)</f>
        <v>8</v>
      </c>
      <c r="F54" s="24">
        <f ca="1">ROUND(FIRE1121_raw!F54,0)</f>
        <v>0</v>
      </c>
      <c r="G54" s="24">
        <f ca="1">ROUND(FIRE1121_raw!G54,0)</f>
        <v>3</v>
      </c>
      <c r="H54" s="101">
        <f t="shared" ca="1" si="7"/>
        <v>0.2413793103448276</v>
      </c>
      <c r="I54" s="46">
        <f t="shared" ca="1" si="8"/>
        <v>3.3333333333333333E-2</v>
      </c>
      <c r="J54" s="72"/>
      <c r="K54" s="24">
        <f ca="1">ROUND(FIRE1121_raw!K54,0)</f>
        <v>0</v>
      </c>
      <c r="L54" s="24">
        <f ca="1">ROUND(FIRE1121_raw!L54,0)</f>
        <v>0</v>
      </c>
      <c r="M54" s="24">
        <f ca="1">ROUND(FIRE1121_raw!M54,0)</f>
        <v>0</v>
      </c>
      <c r="N54" s="24">
        <f ca="1">ROUND(FIRE1121_raw!N54,0)</f>
        <v>0</v>
      </c>
      <c r="O54" s="24">
        <f ca="1">ROUND(FIRE1121_raw!O54,0)</f>
        <v>0</v>
      </c>
      <c r="P54" s="24">
        <f ca="1">ROUND(FIRE1121_raw!P54,0)</f>
        <v>0</v>
      </c>
      <c r="Q54" s="101" t="str">
        <f t="shared" ca="1" si="10"/>
        <v>-</v>
      </c>
      <c r="R54" s="46" t="str">
        <f t="shared" ca="1" si="11"/>
        <v>-</v>
      </c>
      <c r="S54" s="72"/>
      <c r="T54" s="22">
        <f t="shared" ca="1" si="12"/>
        <v>66</v>
      </c>
      <c r="U54" s="22">
        <f t="shared" ca="1" si="12"/>
        <v>8</v>
      </c>
      <c r="V54" s="22">
        <f t="shared" ca="1" si="12"/>
        <v>5</v>
      </c>
      <c r="W54" s="22">
        <f t="shared" ca="1" si="12"/>
        <v>8</v>
      </c>
      <c r="X54" s="22">
        <f t="shared" ca="1" si="12"/>
        <v>0</v>
      </c>
      <c r="Y54" s="22">
        <f t="shared" ca="1" si="12"/>
        <v>3</v>
      </c>
      <c r="Z54" s="101">
        <f t="shared" ca="1" si="13"/>
        <v>0.2413793103448276</v>
      </c>
      <c r="AA54" s="101">
        <f t="shared" ca="1" si="14"/>
        <v>3.3333333333333333E-2</v>
      </c>
      <c r="AB54" s="24"/>
      <c r="AC54" s="24">
        <f ca="1">ROUND(FIRE1121_raw!AC54,0)</f>
        <v>0</v>
      </c>
      <c r="AD54" s="24">
        <f ca="1">ROUND(FIRE1121_raw!AD54,0)</f>
        <v>0</v>
      </c>
      <c r="AE54" s="24">
        <f ca="1">ROUND(FIRE1121_raw!AE54,0)</f>
        <v>0</v>
      </c>
      <c r="AF54" s="24">
        <f ca="1">ROUND(FIRE1121_raw!AF54,0)</f>
        <v>0</v>
      </c>
      <c r="AG54" s="24">
        <f ca="1">ROUND(FIRE1121_raw!AG54,0)</f>
        <v>0</v>
      </c>
      <c r="AH54" s="24">
        <f ca="1">ROUND(FIRE1121_raw!AH54,0)</f>
        <v>0</v>
      </c>
      <c r="AI54" s="101" t="str">
        <f t="shared" ca="1" si="16"/>
        <v>-</v>
      </c>
      <c r="AJ54" s="46" t="str">
        <f t="shared" ca="1" si="17"/>
        <v>-</v>
      </c>
      <c r="AK54" s="72"/>
      <c r="AL54" s="24">
        <f ca="1">ROUND(FIRE1121_raw!AL54,0)</f>
        <v>12</v>
      </c>
      <c r="AM54" s="24">
        <f ca="1">ROUND(FIRE1121_raw!AM54,0)</f>
        <v>2</v>
      </c>
      <c r="AN54" s="24">
        <f ca="1">ROUND(FIRE1121_raw!AN54,0)</f>
        <v>3</v>
      </c>
      <c r="AO54" s="24">
        <f ca="1">ROUND(FIRE1121_raw!AO54,0)</f>
        <v>1</v>
      </c>
      <c r="AP54" s="24">
        <f ca="1">ROUND(FIRE1121_raw!AP54,0)</f>
        <v>0</v>
      </c>
      <c r="AQ54" s="24">
        <f ca="1">ROUND(FIRE1121_raw!AQ54,0)</f>
        <v>2</v>
      </c>
      <c r="AR54" s="101">
        <f t="shared" ca="1" si="19"/>
        <v>0.33333333333333331</v>
      </c>
      <c r="AS54" s="46">
        <f t="shared" ca="1" si="20"/>
        <v>0.1</v>
      </c>
      <c r="AT54" s="72"/>
      <c r="AU54" s="22">
        <f t="shared" ca="1" si="21"/>
        <v>78</v>
      </c>
      <c r="AV54" s="22">
        <f t="shared" ca="1" si="21"/>
        <v>10</v>
      </c>
      <c r="AW54" s="22">
        <f t="shared" ca="1" si="21"/>
        <v>8</v>
      </c>
      <c r="AX54" s="22">
        <f t="shared" ca="1" si="21"/>
        <v>9</v>
      </c>
      <c r="AY54" s="22">
        <f t="shared" ca="1" si="21"/>
        <v>0</v>
      </c>
      <c r="AZ54" s="22">
        <f t="shared" ca="1" si="21"/>
        <v>5</v>
      </c>
      <c r="BA54" s="101">
        <f t="shared" ca="1" si="22"/>
        <v>0.25714285714285712</v>
      </c>
      <c r="BB54" s="101">
        <f t="shared" ca="1" si="23"/>
        <v>4.5454545454545456E-2</v>
      </c>
      <c r="BC54" s="19"/>
      <c r="BD54" s="19"/>
      <c r="BE54" s="19"/>
      <c r="BF54" s="19"/>
      <c r="BG54" s="19"/>
      <c r="BH54" s="19"/>
      <c r="BI54" s="19"/>
      <c r="BJ54" s="19"/>
      <c r="BK54" s="19"/>
    </row>
    <row r="55" spans="1:63" s="8" customFormat="1" ht="15" customHeight="1" x14ac:dyDescent="0.35">
      <c r="A55" s="2" t="s">
        <v>62</v>
      </c>
      <c r="B55" s="24">
        <f ca="1">ROUND(FIRE1121_raw!B55,0)</f>
        <v>62</v>
      </c>
      <c r="C55" s="24">
        <f ca="1">ROUND(FIRE1121_raw!C55,0)</f>
        <v>2</v>
      </c>
      <c r="D55" s="24">
        <f ca="1">ROUND(FIRE1121_raw!D55,0)</f>
        <v>1</v>
      </c>
      <c r="E55" s="24">
        <f ca="1">ROUND(FIRE1121_raw!E55,0)</f>
        <v>1</v>
      </c>
      <c r="F55" s="24">
        <f ca="1">ROUND(FIRE1121_raw!F55,0)</f>
        <v>0</v>
      </c>
      <c r="G55" s="24">
        <f ca="1">ROUND(FIRE1121_raw!G55,0)</f>
        <v>0</v>
      </c>
      <c r="H55" s="101">
        <f t="shared" ca="1" si="7"/>
        <v>6.0606060606060608E-2</v>
      </c>
      <c r="I55" s="46">
        <f t="shared" ca="1" si="8"/>
        <v>0</v>
      </c>
      <c r="J55" s="72"/>
      <c r="K55" s="24">
        <f ca="1">ROUND(FIRE1121_raw!K55,0)</f>
        <v>20</v>
      </c>
      <c r="L55" s="24">
        <f ca="1">ROUND(FIRE1121_raw!L55,0)</f>
        <v>0</v>
      </c>
      <c r="M55" s="24">
        <f ca="1">ROUND(FIRE1121_raw!M55,0)</f>
        <v>0</v>
      </c>
      <c r="N55" s="24">
        <f ca="1">ROUND(FIRE1121_raw!N55,0)</f>
        <v>2</v>
      </c>
      <c r="O55" s="24">
        <f ca="1">ROUND(FIRE1121_raw!O55,0)</f>
        <v>0</v>
      </c>
      <c r="P55" s="24">
        <f ca="1">ROUND(FIRE1121_raw!P55,0)</f>
        <v>0</v>
      </c>
      <c r="Q55" s="101">
        <f t="shared" ca="1" si="10"/>
        <v>9.0909090909090912E-2</v>
      </c>
      <c r="R55" s="46">
        <f t="shared" ca="1" si="11"/>
        <v>0</v>
      </c>
      <c r="S55" s="72"/>
      <c r="T55" s="22">
        <f t="shared" ca="1" si="12"/>
        <v>82</v>
      </c>
      <c r="U55" s="22">
        <f t="shared" ca="1" si="12"/>
        <v>2</v>
      </c>
      <c r="V55" s="22">
        <f t="shared" ca="1" si="12"/>
        <v>1</v>
      </c>
      <c r="W55" s="22">
        <f t="shared" ca="1" si="12"/>
        <v>3</v>
      </c>
      <c r="X55" s="22">
        <f t="shared" ca="1" si="12"/>
        <v>0</v>
      </c>
      <c r="Y55" s="22">
        <f t="shared" ca="1" si="12"/>
        <v>0</v>
      </c>
      <c r="Z55" s="101">
        <f t="shared" ca="1" si="13"/>
        <v>6.8181818181818177E-2</v>
      </c>
      <c r="AA55" s="101">
        <f t="shared" ca="1" si="14"/>
        <v>0</v>
      </c>
      <c r="AB55" s="24"/>
      <c r="AC55" s="24">
        <f ca="1">ROUND(FIRE1121_raw!AC55,0)</f>
        <v>4</v>
      </c>
      <c r="AD55" s="24">
        <f ca="1">ROUND(FIRE1121_raw!AD55,0)</f>
        <v>1</v>
      </c>
      <c r="AE55" s="24">
        <f ca="1">ROUND(FIRE1121_raw!AE55,0)</f>
        <v>0</v>
      </c>
      <c r="AF55" s="24">
        <f ca="1">ROUND(FIRE1121_raw!AF55,0)</f>
        <v>0</v>
      </c>
      <c r="AG55" s="24">
        <f ca="1">ROUND(FIRE1121_raw!AG55,0)</f>
        <v>0</v>
      </c>
      <c r="AH55" s="24">
        <f ca="1">ROUND(FIRE1121_raw!AH55,0)</f>
        <v>0</v>
      </c>
      <c r="AI55" s="101">
        <f t="shared" ca="1" si="16"/>
        <v>0.2</v>
      </c>
      <c r="AJ55" s="46">
        <f t="shared" ca="1" si="17"/>
        <v>0</v>
      </c>
      <c r="AK55" s="72"/>
      <c r="AL55" s="24">
        <f ca="1">ROUND(FIRE1121_raw!AL55,0)</f>
        <v>33</v>
      </c>
      <c r="AM55" s="24">
        <f ca="1">ROUND(FIRE1121_raw!AM55,0)</f>
        <v>0</v>
      </c>
      <c r="AN55" s="24">
        <f ca="1">ROUND(FIRE1121_raw!AN55,0)</f>
        <v>6</v>
      </c>
      <c r="AO55" s="24">
        <f ca="1">ROUND(FIRE1121_raw!AO55,0)</f>
        <v>1</v>
      </c>
      <c r="AP55" s="24">
        <f ca="1">ROUND(FIRE1121_raw!AP55,0)</f>
        <v>0</v>
      </c>
      <c r="AQ55" s="24">
        <f ca="1">ROUND(FIRE1121_raw!AQ55,0)</f>
        <v>4</v>
      </c>
      <c r="AR55" s="101">
        <f t="shared" ca="1" si="19"/>
        <v>0.17499999999999999</v>
      </c>
      <c r="AS55" s="46">
        <f t="shared" ca="1" si="20"/>
        <v>9.0909090909090912E-2</v>
      </c>
      <c r="AT55" s="72"/>
      <c r="AU55" s="22">
        <f t="shared" ca="1" si="21"/>
        <v>119</v>
      </c>
      <c r="AV55" s="22">
        <f t="shared" ca="1" si="21"/>
        <v>3</v>
      </c>
      <c r="AW55" s="22">
        <f t="shared" ca="1" si="21"/>
        <v>7</v>
      </c>
      <c r="AX55" s="22">
        <f t="shared" ca="1" si="21"/>
        <v>4</v>
      </c>
      <c r="AY55" s="22">
        <f t="shared" ca="1" si="21"/>
        <v>0</v>
      </c>
      <c r="AZ55" s="22">
        <f t="shared" ca="1" si="21"/>
        <v>4</v>
      </c>
      <c r="BA55" s="101">
        <f t="shared" ca="1" si="22"/>
        <v>0.10526315789473684</v>
      </c>
      <c r="BB55" s="101">
        <f t="shared" ca="1" si="23"/>
        <v>2.9197080291970802E-2</v>
      </c>
      <c r="BC55" s="19"/>
      <c r="BD55" s="19"/>
      <c r="BE55" s="19"/>
      <c r="BF55" s="19"/>
      <c r="BG55" s="19"/>
      <c r="BH55" s="19"/>
      <c r="BI55" s="19"/>
      <c r="BJ55" s="19"/>
      <c r="BK55" s="19"/>
    </row>
    <row r="56" spans="1:63" s="8" customFormat="1" ht="15" customHeight="1" thickBot="1" x14ac:dyDescent="0.4">
      <c r="A56" s="2" t="s">
        <v>63</v>
      </c>
      <c r="B56" s="24">
        <f ca="1">ROUND(FIRE1121_raw!B56,0)</f>
        <v>377</v>
      </c>
      <c r="C56" s="24">
        <f ca="1">ROUND(FIRE1121_raw!C56,0)</f>
        <v>18</v>
      </c>
      <c r="D56" s="24">
        <f ca="1">ROUND(FIRE1121_raw!D56,0)</f>
        <v>2</v>
      </c>
      <c r="E56" s="24">
        <f ca="1">ROUND(FIRE1121_raw!E56,0)</f>
        <v>11</v>
      </c>
      <c r="F56" s="24">
        <f ca="1">ROUND(FIRE1121_raw!F56,0)</f>
        <v>8</v>
      </c>
      <c r="G56" s="24">
        <f ca="1">ROUND(FIRE1121_raw!G56,0)</f>
        <v>12</v>
      </c>
      <c r="H56" s="101">
        <f t="shared" ca="1" si="7"/>
        <v>9.375E-2</v>
      </c>
      <c r="I56" s="46">
        <f t="shared" ca="1" si="8"/>
        <v>2.8037383177570093E-2</v>
      </c>
      <c r="J56" s="28"/>
      <c r="K56" s="28">
        <f ca="1">ROUND(FIRE1121_raw!K56,0)</f>
        <v>0</v>
      </c>
      <c r="L56" s="28">
        <f ca="1">ROUND(FIRE1121_raw!L56,0)</f>
        <v>0</v>
      </c>
      <c r="M56" s="28">
        <f ca="1">ROUND(FIRE1121_raw!M56,0)</f>
        <v>0</v>
      </c>
      <c r="N56" s="28">
        <f ca="1">ROUND(FIRE1121_raw!N56,0)</f>
        <v>0</v>
      </c>
      <c r="O56" s="28">
        <f ca="1">ROUND(FIRE1121_raw!O56,0)</f>
        <v>0</v>
      </c>
      <c r="P56" s="28">
        <f ca="1">ROUND(FIRE1121_raw!P56,0)</f>
        <v>0</v>
      </c>
      <c r="Q56" s="103" t="str">
        <f t="shared" ca="1" si="10"/>
        <v>-</v>
      </c>
      <c r="R56" s="104" t="str">
        <f t="shared" ca="1" si="11"/>
        <v>-</v>
      </c>
      <c r="S56" s="28"/>
      <c r="T56" s="30">
        <f t="shared" ca="1" si="12"/>
        <v>377</v>
      </c>
      <c r="U56" s="30">
        <f t="shared" ca="1" si="12"/>
        <v>18</v>
      </c>
      <c r="V56" s="30">
        <f t="shared" ca="1" si="12"/>
        <v>2</v>
      </c>
      <c r="W56" s="30">
        <f t="shared" ca="1" si="12"/>
        <v>11</v>
      </c>
      <c r="X56" s="30">
        <f t="shared" ca="1" si="12"/>
        <v>8</v>
      </c>
      <c r="Y56" s="30">
        <f t="shared" ca="1" si="12"/>
        <v>12</v>
      </c>
      <c r="Z56" s="103">
        <f t="shared" ca="1" si="13"/>
        <v>9.375E-2</v>
      </c>
      <c r="AA56" s="103">
        <f t="shared" ca="1" si="14"/>
        <v>2.8037383177570093E-2</v>
      </c>
      <c r="AB56" s="28"/>
      <c r="AC56" s="28">
        <f ca="1">ROUND(FIRE1121_raw!AC56,0)</f>
        <v>5</v>
      </c>
      <c r="AD56" s="28">
        <f ca="1">ROUND(FIRE1121_raw!AD56,0)</f>
        <v>0</v>
      </c>
      <c r="AE56" s="28">
        <f ca="1">ROUND(FIRE1121_raw!AE56,0)</f>
        <v>0</v>
      </c>
      <c r="AF56" s="28">
        <f ca="1">ROUND(FIRE1121_raw!AF56,0)</f>
        <v>0</v>
      </c>
      <c r="AG56" s="28">
        <f ca="1">ROUND(FIRE1121_raw!AG56,0)</f>
        <v>0</v>
      </c>
      <c r="AH56" s="28">
        <f ca="1">ROUND(FIRE1121_raw!AH56,0)</f>
        <v>0</v>
      </c>
      <c r="AI56" s="103">
        <f t="shared" ca="1" si="16"/>
        <v>0</v>
      </c>
      <c r="AJ56" s="104">
        <f t="shared" ca="1" si="17"/>
        <v>0</v>
      </c>
      <c r="AK56" s="28"/>
      <c r="AL56" s="28">
        <f ca="1">ROUND(FIRE1121_raw!AL56,0)</f>
        <v>70</v>
      </c>
      <c r="AM56" s="28">
        <f ca="1">ROUND(FIRE1121_raw!AM56,0)</f>
        <v>4</v>
      </c>
      <c r="AN56" s="28">
        <f ca="1">ROUND(FIRE1121_raw!AN56,0)</f>
        <v>7</v>
      </c>
      <c r="AO56" s="28">
        <f ca="1">ROUND(FIRE1121_raw!AO56,0)</f>
        <v>14</v>
      </c>
      <c r="AP56" s="28">
        <f ca="1">ROUND(FIRE1121_raw!AP56,0)</f>
        <v>10</v>
      </c>
      <c r="AQ56" s="28">
        <f ca="1">ROUND(FIRE1121_raw!AQ56,0)</f>
        <v>3</v>
      </c>
      <c r="AR56" s="103">
        <f t="shared" ca="1" si="19"/>
        <v>0.33333333333333331</v>
      </c>
      <c r="AS56" s="104">
        <f t="shared" ca="1" si="20"/>
        <v>2.7777777777777776E-2</v>
      </c>
      <c r="AT56" s="105"/>
      <c r="AU56" s="30">
        <f t="shared" ca="1" si="21"/>
        <v>452</v>
      </c>
      <c r="AV56" s="30">
        <f t="shared" ca="1" si="21"/>
        <v>22</v>
      </c>
      <c r="AW56" s="30">
        <f t="shared" ca="1" si="21"/>
        <v>9</v>
      </c>
      <c r="AX56" s="30">
        <f t="shared" ca="1" si="21"/>
        <v>25</v>
      </c>
      <c r="AY56" s="30">
        <f t="shared" ca="1" si="21"/>
        <v>18</v>
      </c>
      <c r="AZ56" s="30">
        <f t="shared" ca="1" si="21"/>
        <v>15</v>
      </c>
      <c r="BA56" s="103">
        <f t="shared" ca="1" si="22"/>
        <v>0.14068441064638784</v>
      </c>
      <c r="BB56" s="103">
        <f t="shared" ca="1" si="23"/>
        <v>2.7726432532347505E-2</v>
      </c>
      <c r="BC56" s="19"/>
      <c r="BD56" s="19"/>
      <c r="BE56" s="19"/>
      <c r="BF56" s="19"/>
      <c r="BG56" s="19"/>
      <c r="BH56" s="19"/>
      <c r="BI56" s="19"/>
      <c r="BJ56" s="19"/>
      <c r="BK56" s="19"/>
    </row>
    <row r="57" spans="1:63" s="8" customFormat="1" ht="15" customHeight="1" x14ac:dyDescent="0.35">
      <c r="A57" s="47"/>
      <c r="B57" s="47"/>
      <c r="C57" s="47"/>
      <c r="D57" s="47"/>
      <c r="E57" s="47"/>
      <c r="F57" s="47"/>
      <c r="G57" s="47"/>
      <c r="H57" s="47"/>
      <c r="I57" s="47"/>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6"/>
      <c r="AU57" s="2"/>
      <c r="AV57" s="2"/>
      <c r="AW57" s="2"/>
      <c r="AX57" s="2"/>
      <c r="AY57" s="2"/>
      <c r="AZ57" s="2"/>
      <c r="BA57" s="2"/>
      <c r="BB57" s="2"/>
      <c r="BC57" s="19"/>
      <c r="BD57" s="19"/>
      <c r="BE57" s="19"/>
      <c r="BF57" s="19"/>
      <c r="BG57" s="19"/>
      <c r="BH57" s="19"/>
      <c r="BI57" s="19"/>
      <c r="BJ57" s="19"/>
      <c r="BK57" s="19"/>
    </row>
    <row r="58" spans="1:63" x14ac:dyDescent="0.35">
      <c r="A58" s="119" t="s">
        <v>64</v>
      </c>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63" x14ac:dyDescent="0.35">
      <c r="A59" s="48" t="s">
        <v>90</v>
      </c>
      <c r="B59" s="48"/>
      <c r="C59" s="48"/>
      <c r="D59" s="48"/>
      <c r="E59" s="48"/>
      <c r="F59" s="48"/>
      <c r="G59" s="48"/>
      <c r="H59" s="48"/>
      <c r="I59" s="48"/>
      <c r="J59" s="48"/>
      <c r="K59" s="48"/>
      <c r="L59" s="48"/>
      <c r="M59" s="48"/>
      <c r="N59" s="48"/>
      <c r="O59" s="48"/>
      <c r="P59" s="48"/>
      <c r="Q59" s="48"/>
      <c r="R59" s="48"/>
      <c r="S59" s="48"/>
      <c r="T59" s="48"/>
      <c r="U59" s="48"/>
      <c r="V59" s="48"/>
      <c r="W59" s="48"/>
      <c r="X59" s="48"/>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63" x14ac:dyDescent="0.35">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63" x14ac:dyDescent="0.35">
      <c r="A61" s="49" t="s">
        <v>65</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63" x14ac:dyDescent="0.35">
      <c r="A62" s="121" t="s">
        <v>66</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63"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63" x14ac:dyDescent="0.35">
      <c r="A64" s="2" t="s">
        <v>67</v>
      </c>
      <c r="B64" s="50"/>
      <c r="C64" s="50"/>
      <c r="D64" s="50"/>
      <c r="E64" s="50"/>
      <c r="F64" s="50"/>
      <c r="G64" s="50"/>
      <c r="H64" s="50"/>
      <c r="I64" s="50"/>
      <c r="J64" s="50"/>
      <c r="K64" s="50"/>
      <c r="L64" s="50"/>
      <c r="M64" s="50"/>
      <c r="N64" s="50"/>
      <c r="O64" s="50"/>
      <c r="P64" s="50"/>
      <c r="Q64" s="50"/>
      <c r="R64" s="50"/>
      <c r="S64" s="50"/>
      <c r="T64" s="50"/>
      <c r="U64" s="50"/>
      <c r="V64" s="50"/>
      <c r="W64" s="50"/>
      <c r="X64" s="50"/>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x14ac:dyDescent="0.35">
      <c r="A65" s="51" t="s">
        <v>68</v>
      </c>
      <c r="B65" s="50"/>
      <c r="C65" s="50"/>
      <c r="D65" s="50"/>
      <c r="E65" s="50"/>
      <c r="F65" s="50"/>
      <c r="G65" s="50"/>
      <c r="H65" s="50"/>
      <c r="I65" s="50"/>
      <c r="J65" s="50"/>
      <c r="K65" s="50"/>
      <c r="L65" s="50"/>
      <c r="M65" s="50"/>
      <c r="N65" s="50"/>
      <c r="O65" s="50"/>
      <c r="P65" s="50"/>
      <c r="Q65" s="50"/>
      <c r="R65" s="50"/>
      <c r="S65" s="50"/>
      <c r="T65" s="50"/>
      <c r="U65" s="50"/>
      <c r="V65" s="50"/>
      <c r="W65" s="50"/>
      <c r="X65" s="50"/>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x14ac:dyDescent="0.35">
      <c r="A67" s="119" t="s">
        <v>69</v>
      </c>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x14ac:dyDescent="0.3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3"/>
    </row>
    <row r="69" spans="1:54" x14ac:dyDescent="0.35">
      <c r="A69" s="4" t="s">
        <v>94</v>
      </c>
      <c r="B69" s="2"/>
      <c r="C69" s="2"/>
      <c r="D69" s="2"/>
      <c r="E69" s="2"/>
      <c r="F69" s="2"/>
      <c r="G69" s="2"/>
      <c r="H69" s="2"/>
      <c r="I69" s="2"/>
      <c r="J69" s="2"/>
      <c r="K69" s="2"/>
      <c r="L69" s="2"/>
      <c r="M69" s="2"/>
      <c r="N69" s="2"/>
      <c r="O69" s="2"/>
      <c r="P69" s="2"/>
      <c r="Q69" s="2"/>
      <c r="R69" s="2"/>
      <c r="S69" s="2"/>
      <c r="T69" s="2"/>
      <c r="U69" s="2"/>
      <c r="V69" s="2"/>
      <c r="W69" s="2"/>
      <c r="X69" s="5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117" t="s">
        <v>213</v>
      </c>
      <c r="BA69" s="117"/>
      <c r="BB69" s="117"/>
    </row>
    <row r="70" spans="1:54" x14ac:dyDescent="0.35">
      <c r="A70" s="73" t="s">
        <v>93</v>
      </c>
      <c r="B70" s="2"/>
      <c r="C70" s="2"/>
      <c r="D70" s="2"/>
      <c r="E70" s="2"/>
      <c r="F70" s="2"/>
      <c r="G70" s="2"/>
      <c r="H70" s="2"/>
      <c r="I70" s="2"/>
      <c r="J70" s="2"/>
      <c r="K70" s="2"/>
      <c r="L70" s="2"/>
      <c r="M70" s="2"/>
      <c r="N70" s="2"/>
      <c r="O70" s="2"/>
      <c r="P70" s="2"/>
      <c r="Q70" s="2"/>
      <c r="R70" s="2"/>
      <c r="S70" s="2"/>
      <c r="T70" s="2"/>
      <c r="U70" s="2"/>
      <c r="V70" s="2"/>
      <c r="W70" s="2"/>
      <c r="X70" s="5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118" t="s">
        <v>214</v>
      </c>
      <c r="BA70" s="118"/>
      <c r="BB70" s="118"/>
    </row>
    <row r="85" spans="56:56" x14ac:dyDescent="0.35">
      <c r="BD85" s="4" t="s">
        <v>181</v>
      </c>
    </row>
    <row r="86" spans="56:56" x14ac:dyDescent="0.35">
      <c r="BD86" s="4" t="s">
        <v>88</v>
      </c>
    </row>
    <row r="87" spans="56:56" x14ac:dyDescent="0.35">
      <c r="BD87" s="4" t="s">
        <v>89</v>
      </c>
    </row>
  </sheetData>
  <mergeCells count="15">
    <mergeCell ref="AZ69:BB69"/>
    <mergeCell ref="AZ70:BB70"/>
    <mergeCell ref="A1:BB1"/>
    <mergeCell ref="B5:BB5"/>
    <mergeCell ref="B6:H6"/>
    <mergeCell ref="K6:R6"/>
    <mergeCell ref="T6:Z6"/>
    <mergeCell ref="AC6:AI6"/>
    <mergeCell ref="AL6:AR6"/>
    <mergeCell ref="AU6:BB6"/>
    <mergeCell ref="A58:X58"/>
    <mergeCell ref="A60:X60"/>
    <mergeCell ref="A62:X62"/>
    <mergeCell ref="A67:X67"/>
    <mergeCell ref="A4:L4"/>
  </mergeCells>
  <dataValidations count="1">
    <dataValidation type="list" allowBlank="1" showInputMessage="1" showErrorMessage="1" sqref="A4:L4" xr:uid="{00000000-0002-0000-0400-000000000000}">
      <formula1>$BD$85:$BD$87</formula1>
    </dataValidation>
  </dataValidations>
  <hyperlinks>
    <hyperlink ref="A65" r:id="rId1" xr:uid="{00000000-0004-0000-0400-000000000000}"/>
    <hyperlink ref="A70" r:id="rId2" xr:uid="{DD84EC49-9625-452A-8545-604EC4573FD2}"/>
    <hyperlink ref="AZ69" r:id="rId3" display="Updated alongside Fire and rescue workforce and pensions statistics" xr:uid="{B9AD6B26-8654-47C8-BE92-64460EAB6201}"/>
    <hyperlink ref="AZ70:BB70" r:id="rId4" display="Next Update: Autumn 2020" xr:uid="{17509542-E4DC-46CF-B716-10DF1D2626DB}"/>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57"/>
  <sheetViews>
    <sheetView workbookViewId="0">
      <selection activeCell="A4" sqref="A4:L4"/>
    </sheetView>
  </sheetViews>
  <sheetFormatPr defaultColWidth="9.1796875" defaultRowHeight="14.5" x14ac:dyDescent="0.35"/>
  <cols>
    <col min="1" max="1" width="50.7265625" style="4" customWidth="1"/>
    <col min="2" max="9" width="8.7265625" style="4" customWidth="1"/>
    <col min="10" max="10" width="2.7265625" style="4" customWidth="1"/>
    <col min="11" max="18" width="8.7265625" style="4" customWidth="1"/>
    <col min="19" max="19" width="2.7265625" style="4" customWidth="1"/>
    <col min="20" max="27" width="8.7265625" style="4" customWidth="1"/>
    <col min="28" max="28" width="2.7265625" style="4" customWidth="1"/>
    <col min="29" max="36" width="8.7265625" style="4" customWidth="1"/>
    <col min="37" max="16384" width="9.1796875" style="4"/>
  </cols>
  <sheetData>
    <row r="1" spans="1:40" s="1" customFormat="1" ht="23.25" customHeight="1" x14ac:dyDescent="0.5">
      <c r="A1" s="109" t="s">
        <v>77</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row>
    <row r="2" spans="1:40" s="3" customFormat="1" x14ac:dyDescent="0.35">
      <c r="A2" s="2"/>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row>
    <row r="3" spans="1:40" s="3" customFormat="1" x14ac:dyDescent="0.35">
      <c r="A3" s="2"/>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row>
    <row r="4" spans="1:40" s="3" customFormat="1" x14ac:dyDescent="0.35">
      <c r="A4" s="2"/>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row>
    <row r="5" spans="1:40" s="3" customFormat="1" x14ac:dyDescent="0.35">
      <c r="A5" s="2"/>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row>
    <row r="6" spans="1:40" s="8" customFormat="1" ht="15.75" customHeight="1" thickBot="1" x14ac:dyDescent="0.4">
      <c r="A6" s="4"/>
      <c r="B6" s="113" t="s">
        <v>1</v>
      </c>
      <c r="C6" s="113"/>
      <c r="D6" s="113"/>
      <c r="E6" s="113"/>
      <c r="F6" s="113"/>
      <c r="G6" s="113"/>
      <c r="H6" s="113"/>
      <c r="I6" s="113"/>
      <c r="J6" s="39"/>
      <c r="K6" s="113" t="s">
        <v>83</v>
      </c>
      <c r="L6" s="113"/>
      <c r="M6" s="113"/>
      <c r="N6" s="113"/>
      <c r="O6" s="113"/>
      <c r="P6" s="113"/>
      <c r="Q6" s="113"/>
      <c r="R6" s="113"/>
      <c r="S6" s="39"/>
      <c r="T6" s="113" t="s">
        <v>3</v>
      </c>
      <c r="U6" s="113"/>
      <c r="V6" s="113"/>
      <c r="W6" s="113"/>
      <c r="X6" s="113"/>
      <c r="Y6" s="113"/>
      <c r="Z6" s="113"/>
      <c r="AA6" s="113"/>
      <c r="AB6" s="39"/>
      <c r="AC6" s="113" t="s">
        <v>4</v>
      </c>
      <c r="AD6" s="113"/>
      <c r="AE6" s="113"/>
      <c r="AF6" s="113"/>
      <c r="AG6" s="113"/>
      <c r="AH6" s="113"/>
      <c r="AI6" s="113"/>
      <c r="AJ6" s="113"/>
    </row>
    <row r="7" spans="1:40" s="15" customFormat="1" ht="87.5" thickBot="1" x14ac:dyDescent="0.4">
      <c r="A7" s="9" t="s">
        <v>6</v>
      </c>
      <c r="B7" s="10" t="s">
        <v>78</v>
      </c>
      <c r="C7" s="10" t="s">
        <v>79</v>
      </c>
      <c r="D7" s="10" t="s">
        <v>8</v>
      </c>
      <c r="E7" s="10" t="s">
        <v>9</v>
      </c>
      <c r="F7" s="10" t="s">
        <v>10</v>
      </c>
      <c r="G7" s="10" t="s">
        <v>80</v>
      </c>
      <c r="H7" s="10" t="s">
        <v>81</v>
      </c>
      <c r="I7" s="10" t="s">
        <v>82</v>
      </c>
      <c r="J7" s="41"/>
      <c r="K7" s="10" t="s">
        <v>78</v>
      </c>
      <c r="L7" s="10" t="s">
        <v>79</v>
      </c>
      <c r="M7" s="10" t="s">
        <v>8</v>
      </c>
      <c r="N7" s="10" t="s">
        <v>9</v>
      </c>
      <c r="O7" s="10" t="s">
        <v>10</v>
      </c>
      <c r="P7" s="10" t="s">
        <v>80</v>
      </c>
      <c r="Q7" s="10" t="s">
        <v>81</v>
      </c>
      <c r="R7" s="10" t="s">
        <v>82</v>
      </c>
      <c r="S7" s="41"/>
      <c r="T7" s="10" t="s">
        <v>78</v>
      </c>
      <c r="U7" s="10" t="s">
        <v>79</v>
      </c>
      <c r="V7" s="10" t="s">
        <v>8</v>
      </c>
      <c r="W7" s="10" t="s">
        <v>9</v>
      </c>
      <c r="X7" s="10" t="s">
        <v>10</v>
      </c>
      <c r="Y7" s="10" t="s">
        <v>80</v>
      </c>
      <c r="Z7" s="10" t="s">
        <v>81</v>
      </c>
      <c r="AA7" s="10" t="s">
        <v>82</v>
      </c>
      <c r="AB7" s="41"/>
      <c r="AC7" s="10" t="s">
        <v>78</v>
      </c>
      <c r="AD7" s="10" t="s">
        <v>79</v>
      </c>
      <c r="AE7" s="10" t="s">
        <v>8</v>
      </c>
      <c r="AF7" s="10" t="s">
        <v>9</v>
      </c>
      <c r="AG7" s="10" t="s">
        <v>10</v>
      </c>
      <c r="AH7" s="10" t="s">
        <v>80</v>
      </c>
      <c r="AI7" s="10" t="s">
        <v>81</v>
      </c>
      <c r="AJ7" s="10" t="s">
        <v>82</v>
      </c>
    </row>
    <row r="8" spans="1:40" s="8" customFormat="1" ht="15" customHeight="1" x14ac:dyDescent="0.35">
      <c r="A8" s="16" t="s">
        <v>15</v>
      </c>
      <c r="B8" s="22">
        <f>B9+B49</f>
        <v>804</v>
      </c>
      <c r="C8" s="22">
        <f t="shared" ref="C8:I8" si="0">C9+C49</f>
        <v>20</v>
      </c>
      <c r="D8" s="22">
        <f t="shared" si="0"/>
        <v>48</v>
      </c>
      <c r="E8" s="22">
        <f t="shared" si="0"/>
        <v>17</v>
      </c>
      <c r="F8" s="22">
        <f t="shared" si="0"/>
        <v>18</v>
      </c>
      <c r="G8" s="22">
        <f t="shared" si="0"/>
        <v>0</v>
      </c>
      <c r="H8" s="22">
        <f t="shared" si="0"/>
        <v>5</v>
      </c>
      <c r="I8" s="22">
        <f t="shared" si="0"/>
        <v>194</v>
      </c>
      <c r="J8" s="22"/>
      <c r="K8" s="22">
        <f>K9+K49</f>
        <v>1015</v>
      </c>
      <c r="L8" s="22">
        <f t="shared" ref="L8" si="1">L9+L49</f>
        <v>48</v>
      </c>
      <c r="M8" s="22">
        <f t="shared" ref="M8" si="2">M9+M49</f>
        <v>10</v>
      </c>
      <c r="N8" s="22">
        <f t="shared" ref="N8" si="3">N9+N49</f>
        <v>1</v>
      </c>
      <c r="O8" s="22">
        <f t="shared" ref="O8" si="4">O9+O49</f>
        <v>0</v>
      </c>
      <c r="P8" s="22">
        <f t="shared" ref="P8" si="5">P9+P49</f>
        <v>0</v>
      </c>
      <c r="Q8" s="22">
        <f t="shared" ref="Q8" si="6">Q9+Q49</f>
        <v>4</v>
      </c>
      <c r="R8" s="22">
        <f t="shared" ref="R8" si="7">R9+R49</f>
        <v>430</v>
      </c>
      <c r="S8" s="22"/>
      <c r="T8" s="22">
        <f>T9+T49</f>
        <v>89</v>
      </c>
      <c r="U8" s="22">
        <f t="shared" ref="U8" si="8">U9+U49</f>
        <v>2</v>
      </c>
      <c r="V8" s="22">
        <f t="shared" ref="V8" si="9">V9+V49</f>
        <v>2</v>
      </c>
      <c r="W8" s="22">
        <f t="shared" ref="W8" si="10">W9+W49</f>
        <v>1</v>
      </c>
      <c r="X8" s="22">
        <f t="shared" ref="X8" si="11">X9+X49</f>
        <v>1</v>
      </c>
      <c r="Y8" s="22">
        <f t="shared" ref="Y8" si="12">Y9+Y49</f>
        <v>0</v>
      </c>
      <c r="Z8" s="22">
        <f t="shared" ref="Z8" si="13">Z9+Z49</f>
        <v>0</v>
      </c>
      <c r="AA8" s="22">
        <f t="shared" ref="AA8" si="14">AA9+AA49</f>
        <v>29</v>
      </c>
      <c r="AB8" s="22"/>
      <c r="AC8" s="22">
        <f>AC9+AC49</f>
        <v>688</v>
      </c>
      <c r="AD8" s="22">
        <f t="shared" ref="AD8" si="15">AD9+AD49</f>
        <v>13</v>
      </c>
      <c r="AE8" s="22">
        <f t="shared" ref="AE8" si="16">AE9+AE49</f>
        <v>18</v>
      </c>
      <c r="AF8" s="22">
        <f t="shared" ref="AF8" si="17">AF9+AF49</f>
        <v>28</v>
      </c>
      <c r="AG8" s="22">
        <f t="shared" ref="AG8" si="18">AG9+AG49</f>
        <v>30</v>
      </c>
      <c r="AH8" s="22">
        <f t="shared" ref="AH8" si="19">AH9+AH49</f>
        <v>4</v>
      </c>
      <c r="AI8" s="22">
        <f t="shared" ref="AI8" si="20">AI9+AI49</f>
        <v>11</v>
      </c>
      <c r="AJ8" s="22">
        <f t="shared" ref="AJ8" si="21">AJ9+AJ49</f>
        <v>236</v>
      </c>
    </row>
    <row r="9" spans="1:40" s="8" customFormat="1" ht="15" customHeight="1" x14ac:dyDescent="0.35">
      <c r="A9" s="21" t="s">
        <v>16</v>
      </c>
      <c r="B9" s="22">
        <f>SUM(B10:B48)</f>
        <v>487</v>
      </c>
      <c r="C9" s="22">
        <f t="shared" ref="C9:I9" si="22">SUM(C10:C48)</f>
        <v>9</v>
      </c>
      <c r="D9" s="22">
        <f t="shared" si="22"/>
        <v>11</v>
      </c>
      <c r="E9" s="22">
        <f t="shared" si="22"/>
        <v>5</v>
      </c>
      <c r="F9" s="22">
        <f t="shared" si="22"/>
        <v>1</v>
      </c>
      <c r="G9" s="22">
        <f t="shared" si="22"/>
        <v>0</v>
      </c>
      <c r="H9" s="22">
        <f t="shared" si="22"/>
        <v>0</v>
      </c>
      <c r="I9" s="22">
        <f t="shared" si="22"/>
        <v>153</v>
      </c>
      <c r="J9" s="22"/>
      <c r="K9" s="22">
        <f>SUM(K10:K48)</f>
        <v>962</v>
      </c>
      <c r="L9" s="22">
        <f t="shared" ref="L9" si="23">SUM(L10:L48)</f>
        <v>48</v>
      </c>
      <c r="M9" s="22">
        <f t="shared" ref="M9" si="24">SUM(M10:M48)</f>
        <v>9</v>
      </c>
      <c r="N9" s="22">
        <f t="shared" ref="N9" si="25">SUM(N10:N48)</f>
        <v>1</v>
      </c>
      <c r="O9" s="22">
        <f t="shared" ref="O9" si="26">SUM(O10:O48)</f>
        <v>0</v>
      </c>
      <c r="P9" s="22">
        <f t="shared" ref="P9" si="27">SUM(P10:P48)</f>
        <v>0</v>
      </c>
      <c r="Q9" s="22">
        <f t="shared" ref="Q9" si="28">SUM(Q10:Q48)</f>
        <v>4</v>
      </c>
      <c r="R9" s="22">
        <f t="shared" ref="R9" si="29">SUM(R10:R48)</f>
        <v>429</v>
      </c>
      <c r="S9" s="22"/>
      <c r="T9" s="22">
        <f>SUM(T10:T48)</f>
        <v>61</v>
      </c>
      <c r="U9" s="22">
        <f t="shared" ref="U9" si="30">SUM(U10:U48)</f>
        <v>1</v>
      </c>
      <c r="V9" s="22">
        <f t="shared" ref="V9" si="31">SUM(V10:V48)</f>
        <v>0</v>
      </c>
      <c r="W9" s="22">
        <f t="shared" ref="W9" si="32">SUM(W10:W48)</f>
        <v>0</v>
      </c>
      <c r="X9" s="22">
        <f t="shared" ref="X9" si="33">SUM(X10:X48)</f>
        <v>0</v>
      </c>
      <c r="Y9" s="22">
        <f t="shared" ref="Y9" si="34">SUM(Y10:Y48)</f>
        <v>0</v>
      </c>
      <c r="Z9" s="22">
        <f t="shared" ref="Z9" si="35">SUM(Z10:Z48)</f>
        <v>0</v>
      </c>
      <c r="AA9" s="22">
        <f t="shared" ref="AA9" si="36">SUM(AA10:AA48)</f>
        <v>29</v>
      </c>
      <c r="AB9" s="22"/>
      <c r="AC9" s="22">
        <f>SUM(AC10:AC48)</f>
        <v>484</v>
      </c>
      <c r="AD9" s="22">
        <f t="shared" ref="AD9" si="37">SUM(AD10:AD48)</f>
        <v>7</v>
      </c>
      <c r="AE9" s="22">
        <f t="shared" ref="AE9" si="38">SUM(AE10:AE48)</f>
        <v>14</v>
      </c>
      <c r="AF9" s="22">
        <f t="shared" ref="AF9" si="39">SUM(AF10:AF48)</f>
        <v>12</v>
      </c>
      <c r="AG9" s="22">
        <f t="shared" ref="AG9" si="40">SUM(AG10:AG48)</f>
        <v>10</v>
      </c>
      <c r="AH9" s="22">
        <f t="shared" ref="AH9" si="41">SUM(AH10:AH48)</f>
        <v>2</v>
      </c>
      <c r="AI9" s="22">
        <f t="shared" ref="AI9" si="42">SUM(AI10:AI48)</f>
        <v>3</v>
      </c>
      <c r="AJ9" s="22">
        <f t="shared" ref="AJ9" si="43">SUM(AJ10:AJ48)</f>
        <v>194</v>
      </c>
    </row>
    <row r="10" spans="1:40" s="8" customFormat="1" ht="15" customHeight="1" x14ac:dyDescent="0.35">
      <c r="A10" s="4" t="s">
        <v>17</v>
      </c>
      <c r="B10" s="24">
        <v>21</v>
      </c>
      <c r="C10" s="24">
        <v>0</v>
      </c>
      <c r="D10" s="24">
        <v>1</v>
      </c>
      <c r="E10" s="24">
        <v>0</v>
      </c>
      <c r="F10" s="24">
        <v>0</v>
      </c>
      <c r="G10" s="24">
        <v>0</v>
      </c>
      <c r="H10" s="24">
        <v>0</v>
      </c>
      <c r="I10" s="24">
        <v>3</v>
      </c>
      <c r="J10" s="24"/>
      <c r="K10" s="24">
        <v>22</v>
      </c>
      <c r="L10" s="24">
        <v>0</v>
      </c>
      <c r="M10" s="24">
        <v>0</v>
      </c>
      <c r="N10" s="24">
        <v>0</v>
      </c>
      <c r="O10" s="24">
        <v>0</v>
      </c>
      <c r="P10" s="24">
        <v>0</v>
      </c>
      <c r="Q10" s="24">
        <v>1</v>
      </c>
      <c r="R10" s="24">
        <v>7</v>
      </c>
      <c r="S10" s="24"/>
      <c r="T10" s="24">
        <v>2</v>
      </c>
      <c r="U10" s="24">
        <v>0</v>
      </c>
      <c r="V10" s="24">
        <v>0</v>
      </c>
      <c r="W10" s="24">
        <v>0</v>
      </c>
      <c r="X10" s="24">
        <v>0</v>
      </c>
      <c r="Y10" s="24">
        <v>0</v>
      </c>
      <c r="Z10" s="24">
        <v>0</v>
      </c>
      <c r="AA10" s="24">
        <v>0</v>
      </c>
      <c r="AB10" s="24"/>
      <c r="AC10" s="24">
        <v>18</v>
      </c>
      <c r="AD10" s="24">
        <v>1</v>
      </c>
      <c r="AE10" s="24">
        <v>0</v>
      </c>
      <c r="AF10" s="24">
        <v>0</v>
      </c>
      <c r="AG10" s="24">
        <v>0</v>
      </c>
      <c r="AH10" s="24">
        <v>0</v>
      </c>
      <c r="AI10" s="24">
        <v>1</v>
      </c>
      <c r="AJ10" s="24">
        <v>4</v>
      </c>
    </row>
    <row r="11" spans="1:40" s="8" customFormat="1" ht="15" customHeight="1" x14ac:dyDescent="0.35">
      <c r="A11" s="4" t="s">
        <v>18</v>
      </c>
      <c r="B11" s="24">
        <v>18</v>
      </c>
      <c r="C11" s="24">
        <v>0</v>
      </c>
      <c r="D11" s="24">
        <v>1</v>
      </c>
      <c r="E11" s="24">
        <v>0</v>
      </c>
      <c r="F11" s="24">
        <v>1</v>
      </c>
      <c r="G11" s="24">
        <v>0</v>
      </c>
      <c r="H11" s="24">
        <v>0</v>
      </c>
      <c r="I11" s="24">
        <v>5</v>
      </c>
      <c r="J11" s="24"/>
      <c r="K11" s="24">
        <v>18</v>
      </c>
      <c r="L11" s="24">
        <v>1</v>
      </c>
      <c r="M11" s="24">
        <v>1</v>
      </c>
      <c r="N11" s="24">
        <v>0</v>
      </c>
      <c r="O11" s="24">
        <v>0</v>
      </c>
      <c r="P11" s="24">
        <v>0</v>
      </c>
      <c r="Q11" s="24">
        <v>0</v>
      </c>
      <c r="R11" s="24">
        <v>13</v>
      </c>
      <c r="S11" s="24"/>
      <c r="T11" s="24">
        <v>0</v>
      </c>
      <c r="U11" s="24">
        <v>0</v>
      </c>
      <c r="V11" s="24">
        <v>0</v>
      </c>
      <c r="W11" s="24">
        <v>0</v>
      </c>
      <c r="X11" s="24">
        <v>0</v>
      </c>
      <c r="Y11" s="24">
        <v>0</v>
      </c>
      <c r="Z11" s="24">
        <v>0</v>
      </c>
      <c r="AA11" s="24">
        <v>0</v>
      </c>
      <c r="AB11" s="24"/>
      <c r="AC11" s="24">
        <v>16</v>
      </c>
      <c r="AD11" s="24">
        <v>0</v>
      </c>
      <c r="AE11" s="24">
        <v>0</v>
      </c>
      <c r="AF11" s="24">
        <v>0</v>
      </c>
      <c r="AG11" s="24">
        <v>0</v>
      </c>
      <c r="AH11" s="24">
        <v>0</v>
      </c>
      <c r="AI11" s="24">
        <v>0</v>
      </c>
      <c r="AJ11" s="24">
        <v>10</v>
      </c>
    </row>
    <row r="12" spans="1:40" s="8" customFormat="1" ht="15" customHeight="1" x14ac:dyDescent="0.35">
      <c r="A12" s="4" t="s">
        <v>19</v>
      </c>
      <c r="B12" s="24">
        <v>20</v>
      </c>
      <c r="C12" s="24">
        <v>0</v>
      </c>
      <c r="D12" s="24">
        <v>0</v>
      </c>
      <c r="E12" s="24">
        <v>0</v>
      </c>
      <c r="F12" s="24">
        <v>0</v>
      </c>
      <c r="G12" s="24">
        <v>0</v>
      </c>
      <c r="H12" s="24">
        <v>0</v>
      </c>
      <c r="I12" s="24">
        <v>1</v>
      </c>
      <c r="J12" s="24"/>
      <c r="K12" s="24">
        <v>19</v>
      </c>
      <c r="L12" s="24">
        <v>0</v>
      </c>
      <c r="M12" s="24">
        <v>1</v>
      </c>
      <c r="N12" s="24">
        <v>0</v>
      </c>
      <c r="O12" s="24">
        <v>0</v>
      </c>
      <c r="P12" s="24">
        <v>0</v>
      </c>
      <c r="Q12" s="24">
        <v>0</v>
      </c>
      <c r="R12" s="24">
        <v>0</v>
      </c>
      <c r="S12" s="24"/>
      <c r="T12" s="24">
        <v>9</v>
      </c>
      <c r="U12" s="24">
        <v>0</v>
      </c>
      <c r="V12" s="24">
        <v>0</v>
      </c>
      <c r="W12" s="24">
        <v>0</v>
      </c>
      <c r="X12" s="24">
        <v>0</v>
      </c>
      <c r="Y12" s="24">
        <v>0</v>
      </c>
      <c r="Z12" s="24">
        <v>0</v>
      </c>
      <c r="AA12" s="24">
        <v>0</v>
      </c>
      <c r="AB12" s="24"/>
      <c r="AC12" s="24">
        <v>32</v>
      </c>
      <c r="AD12" s="24">
        <v>0</v>
      </c>
      <c r="AE12" s="24">
        <v>3</v>
      </c>
      <c r="AF12" s="24">
        <v>2</v>
      </c>
      <c r="AG12" s="24">
        <v>2</v>
      </c>
      <c r="AH12" s="24">
        <v>1</v>
      </c>
      <c r="AI12" s="24">
        <v>0</v>
      </c>
      <c r="AJ12" s="24">
        <v>2</v>
      </c>
    </row>
    <row r="13" spans="1:40" s="8" customFormat="1" ht="15" customHeight="1" x14ac:dyDescent="0.35">
      <c r="A13" s="4" t="s">
        <v>20</v>
      </c>
      <c r="B13" s="24">
        <v>11</v>
      </c>
      <c r="C13" s="24">
        <v>0</v>
      </c>
      <c r="D13" s="24">
        <v>0</v>
      </c>
      <c r="E13" s="24">
        <v>0</v>
      </c>
      <c r="F13" s="24">
        <v>0</v>
      </c>
      <c r="G13" s="24">
        <v>0</v>
      </c>
      <c r="H13" s="24">
        <v>0</v>
      </c>
      <c r="I13" s="24">
        <v>0</v>
      </c>
      <c r="J13" s="24"/>
      <c r="K13" s="24">
        <v>20</v>
      </c>
      <c r="L13" s="24">
        <v>0</v>
      </c>
      <c r="M13" s="24">
        <v>0</v>
      </c>
      <c r="N13" s="24">
        <v>0</v>
      </c>
      <c r="O13" s="24">
        <v>0</v>
      </c>
      <c r="P13" s="24">
        <v>0</v>
      </c>
      <c r="Q13" s="24">
        <v>0</v>
      </c>
      <c r="R13" s="24">
        <v>0</v>
      </c>
      <c r="S13" s="24"/>
      <c r="T13" s="24">
        <v>0</v>
      </c>
      <c r="U13" s="24">
        <v>0</v>
      </c>
      <c r="V13" s="24">
        <v>0</v>
      </c>
      <c r="W13" s="24">
        <v>0</v>
      </c>
      <c r="X13" s="24">
        <v>0</v>
      </c>
      <c r="Y13" s="24">
        <v>0</v>
      </c>
      <c r="Z13" s="24">
        <v>0</v>
      </c>
      <c r="AA13" s="24">
        <v>0</v>
      </c>
      <c r="AB13" s="24"/>
      <c r="AC13" s="24">
        <v>13</v>
      </c>
      <c r="AD13" s="24">
        <v>0</v>
      </c>
      <c r="AE13" s="24">
        <v>0</v>
      </c>
      <c r="AF13" s="24">
        <v>0</v>
      </c>
      <c r="AG13" s="24">
        <v>0</v>
      </c>
      <c r="AH13" s="24">
        <v>0</v>
      </c>
      <c r="AI13" s="24">
        <v>0</v>
      </c>
      <c r="AJ13" s="24">
        <v>0</v>
      </c>
    </row>
    <row r="14" spans="1:40" s="8" customFormat="1" ht="15" customHeight="1" x14ac:dyDescent="0.35">
      <c r="A14" s="4" t="s">
        <v>21</v>
      </c>
      <c r="B14" s="24">
        <v>7</v>
      </c>
      <c r="C14" s="24">
        <v>0</v>
      </c>
      <c r="D14" s="24">
        <v>0</v>
      </c>
      <c r="E14" s="24">
        <v>0</v>
      </c>
      <c r="F14" s="24">
        <v>0</v>
      </c>
      <c r="G14" s="24">
        <v>0</v>
      </c>
      <c r="H14" s="24">
        <v>0</v>
      </c>
      <c r="I14" s="24">
        <v>0</v>
      </c>
      <c r="J14" s="24"/>
      <c r="K14" s="24">
        <v>30</v>
      </c>
      <c r="L14" s="24">
        <v>0</v>
      </c>
      <c r="M14" s="24">
        <v>0</v>
      </c>
      <c r="N14" s="24">
        <v>0</v>
      </c>
      <c r="O14" s="24">
        <v>0</v>
      </c>
      <c r="P14" s="24">
        <v>0</v>
      </c>
      <c r="Q14" s="24">
        <v>0</v>
      </c>
      <c r="R14" s="24">
        <v>0</v>
      </c>
      <c r="S14" s="24"/>
      <c r="T14" s="24">
        <v>3</v>
      </c>
      <c r="U14" s="24">
        <v>1</v>
      </c>
      <c r="V14" s="24">
        <v>0</v>
      </c>
      <c r="W14" s="24">
        <v>0</v>
      </c>
      <c r="X14" s="24">
        <v>0</v>
      </c>
      <c r="Y14" s="24">
        <v>0</v>
      </c>
      <c r="Z14" s="24">
        <v>0</v>
      </c>
      <c r="AA14" s="24">
        <v>5</v>
      </c>
      <c r="AB14" s="24"/>
      <c r="AC14" s="24">
        <v>18</v>
      </c>
      <c r="AD14" s="24">
        <v>1</v>
      </c>
      <c r="AE14" s="24">
        <v>0</v>
      </c>
      <c r="AF14" s="24">
        <v>1</v>
      </c>
      <c r="AG14" s="24">
        <v>1</v>
      </c>
      <c r="AH14" s="24">
        <v>0</v>
      </c>
      <c r="AI14" s="24">
        <v>1</v>
      </c>
      <c r="AJ14" s="24">
        <v>2</v>
      </c>
    </row>
    <row r="15" spans="1:40" s="8" customFormat="1" ht="15" customHeight="1" x14ac:dyDescent="0.35">
      <c r="A15" s="4" t="s">
        <v>22</v>
      </c>
      <c r="B15" s="24">
        <v>18</v>
      </c>
      <c r="C15" s="24">
        <v>0</v>
      </c>
      <c r="D15" s="24">
        <v>0</v>
      </c>
      <c r="E15" s="24">
        <v>1</v>
      </c>
      <c r="F15" s="24">
        <v>0</v>
      </c>
      <c r="G15" s="24">
        <v>0</v>
      </c>
      <c r="H15" s="24">
        <v>0</v>
      </c>
      <c r="I15" s="24">
        <v>0</v>
      </c>
      <c r="J15" s="24"/>
      <c r="K15" s="24">
        <v>21</v>
      </c>
      <c r="L15" s="24">
        <v>0</v>
      </c>
      <c r="M15" s="24">
        <v>0</v>
      </c>
      <c r="N15" s="24">
        <v>0</v>
      </c>
      <c r="O15" s="24">
        <v>0</v>
      </c>
      <c r="P15" s="24">
        <v>0</v>
      </c>
      <c r="Q15" s="24">
        <v>0</v>
      </c>
      <c r="R15" s="24">
        <v>0</v>
      </c>
      <c r="S15" s="24"/>
      <c r="T15" s="24">
        <v>0</v>
      </c>
      <c r="U15" s="24">
        <v>0</v>
      </c>
      <c r="V15" s="24">
        <v>0</v>
      </c>
      <c r="W15" s="24">
        <v>0</v>
      </c>
      <c r="X15" s="24">
        <v>0</v>
      </c>
      <c r="Y15" s="24">
        <v>0</v>
      </c>
      <c r="Z15" s="24">
        <v>0</v>
      </c>
      <c r="AA15" s="24">
        <v>0</v>
      </c>
      <c r="AB15" s="24"/>
      <c r="AC15" s="24">
        <v>37</v>
      </c>
      <c r="AD15" s="24">
        <v>0</v>
      </c>
      <c r="AE15" s="24">
        <v>0</v>
      </c>
      <c r="AF15" s="24">
        <v>0</v>
      </c>
      <c r="AG15" s="24">
        <v>0</v>
      </c>
      <c r="AH15" s="24">
        <v>0</v>
      </c>
      <c r="AI15" s="24">
        <v>0</v>
      </c>
      <c r="AJ15" s="24">
        <v>1</v>
      </c>
    </row>
    <row r="16" spans="1:40" s="8" customFormat="1" ht="15" customHeight="1" x14ac:dyDescent="0.35">
      <c r="A16" s="4" t="s">
        <v>23</v>
      </c>
      <c r="B16" s="24">
        <v>22</v>
      </c>
      <c r="C16" s="24">
        <v>0</v>
      </c>
      <c r="D16" s="24">
        <v>0</v>
      </c>
      <c r="E16" s="24">
        <v>0</v>
      </c>
      <c r="F16" s="24">
        <v>0</v>
      </c>
      <c r="G16" s="24">
        <v>0</v>
      </c>
      <c r="H16" s="24">
        <v>0</v>
      </c>
      <c r="I16" s="24">
        <v>0</v>
      </c>
      <c r="J16" s="24"/>
      <c r="K16" s="24">
        <v>11</v>
      </c>
      <c r="L16" s="24">
        <v>0</v>
      </c>
      <c r="M16" s="24">
        <v>0</v>
      </c>
      <c r="N16" s="24">
        <v>0</v>
      </c>
      <c r="O16" s="24">
        <v>0</v>
      </c>
      <c r="P16" s="24">
        <v>0</v>
      </c>
      <c r="Q16" s="24">
        <v>0</v>
      </c>
      <c r="R16" s="24">
        <v>0</v>
      </c>
      <c r="S16" s="24"/>
      <c r="T16" s="24">
        <v>1</v>
      </c>
      <c r="U16" s="24">
        <v>0</v>
      </c>
      <c r="V16" s="24">
        <v>0</v>
      </c>
      <c r="W16" s="24">
        <v>0</v>
      </c>
      <c r="X16" s="24">
        <v>0</v>
      </c>
      <c r="Y16" s="24">
        <v>0</v>
      </c>
      <c r="Z16" s="24">
        <v>0</v>
      </c>
      <c r="AA16" s="24">
        <v>0</v>
      </c>
      <c r="AB16" s="24"/>
      <c r="AC16" s="24">
        <v>13</v>
      </c>
      <c r="AD16" s="24">
        <v>0</v>
      </c>
      <c r="AE16" s="24">
        <v>0</v>
      </c>
      <c r="AF16" s="24">
        <v>0</v>
      </c>
      <c r="AG16" s="24">
        <v>0</v>
      </c>
      <c r="AH16" s="24">
        <v>0</v>
      </c>
      <c r="AI16" s="24">
        <v>0</v>
      </c>
      <c r="AJ16" s="24">
        <v>0</v>
      </c>
    </row>
    <row r="17" spans="1:36" s="8" customFormat="1" ht="15" customHeight="1" x14ac:dyDescent="0.35">
      <c r="A17" s="4" t="s">
        <v>24</v>
      </c>
      <c r="B17" s="24">
        <v>0</v>
      </c>
      <c r="C17" s="24">
        <v>0</v>
      </c>
      <c r="D17" s="24">
        <v>0</v>
      </c>
      <c r="E17" s="24">
        <v>0</v>
      </c>
      <c r="F17" s="24">
        <v>0</v>
      </c>
      <c r="G17" s="24">
        <v>0</v>
      </c>
      <c r="H17" s="24">
        <v>0</v>
      </c>
      <c r="I17" s="24">
        <v>5</v>
      </c>
      <c r="J17" s="24"/>
      <c r="K17" s="24">
        <v>8</v>
      </c>
      <c r="L17" s="24">
        <v>0</v>
      </c>
      <c r="M17" s="24">
        <v>0</v>
      </c>
      <c r="N17" s="24">
        <v>0</v>
      </c>
      <c r="O17" s="24">
        <v>0</v>
      </c>
      <c r="P17" s="24">
        <v>0</v>
      </c>
      <c r="Q17" s="24">
        <v>0</v>
      </c>
      <c r="R17" s="24">
        <v>15</v>
      </c>
      <c r="S17" s="24"/>
      <c r="T17" s="24">
        <v>0</v>
      </c>
      <c r="U17" s="24">
        <v>0</v>
      </c>
      <c r="V17" s="24">
        <v>0</v>
      </c>
      <c r="W17" s="24">
        <v>0</v>
      </c>
      <c r="X17" s="24">
        <v>0</v>
      </c>
      <c r="Y17" s="24">
        <v>0</v>
      </c>
      <c r="Z17" s="24">
        <v>0</v>
      </c>
      <c r="AA17" s="24">
        <v>3</v>
      </c>
      <c r="AB17" s="24"/>
      <c r="AC17" s="24">
        <v>1</v>
      </c>
      <c r="AD17" s="24">
        <v>0</v>
      </c>
      <c r="AE17" s="24">
        <v>0</v>
      </c>
      <c r="AF17" s="24">
        <v>0</v>
      </c>
      <c r="AG17" s="24">
        <v>0</v>
      </c>
      <c r="AH17" s="24">
        <v>0</v>
      </c>
      <c r="AI17" s="24">
        <v>0</v>
      </c>
      <c r="AJ17" s="24">
        <v>6</v>
      </c>
    </row>
    <row r="18" spans="1:36" s="8" customFormat="1" ht="15" customHeight="1" x14ac:dyDescent="0.35">
      <c r="A18" s="4" t="s">
        <v>25</v>
      </c>
      <c r="B18" s="24">
        <v>1</v>
      </c>
      <c r="C18" s="24">
        <v>0</v>
      </c>
      <c r="D18" s="24">
        <v>0</v>
      </c>
      <c r="E18" s="24">
        <v>0</v>
      </c>
      <c r="F18" s="24">
        <v>0</v>
      </c>
      <c r="G18" s="24">
        <v>0</v>
      </c>
      <c r="H18" s="24">
        <v>0</v>
      </c>
      <c r="I18" s="24">
        <v>0</v>
      </c>
      <c r="J18" s="24"/>
      <c r="K18" s="24">
        <v>6</v>
      </c>
      <c r="L18" s="24">
        <v>0</v>
      </c>
      <c r="M18" s="24">
        <v>0</v>
      </c>
      <c r="N18" s="24">
        <v>1</v>
      </c>
      <c r="O18" s="24">
        <v>0</v>
      </c>
      <c r="P18" s="24">
        <v>0</v>
      </c>
      <c r="Q18" s="24">
        <v>0</v>
      </c>
      <c r="R18" s="24">
        <v>27</v>
      </c>
      <c r="S18" s="24"/>
      <c r="T18" s="24">
        <v>0</v>
      </c>
      <c r="U18" s="24">
        <v>0</v>
      </c>
      <c r="V18" s="24">
        <v>0</v>
      </c>
      <c r="W18" s="24">
        <v>0</v>
      </c>
      <c r="X18" s="24">
        <v>0</v>
      </c>
      <c r="Y18" s="24">
        <v>0</v>
      </c>
      <c r="Z18" s="24">
        <v>0</v>
      </c>
      <c r="AA18" s="24">
        <v>0</v>
      </c>
      <c r="AB18" s="24"/>
      <c r="AC18" s="24">
        <v>1</v>
      </c>
      <c r="AD18" s="24">
        <v>0</v>
      </c>
      <c r="AE18" s="24">
        <v>0</v>
      </c>
      <c r="AF18" s="24">
        <v>0</v>
      </c>
      <c r="AG18" s="24">
        <v>0</v>
      </c>
      <c r="AH18" s="24">
        <v>0</v>
      </c>
      <c r="AI18" s="24">
        <v>0</v>
      </c>
      <c r="AJ18" s="24">
        <v>0</v>
      </c>
    </row>
    <row r="19" spans="1:36" s="8" customFormat="1" ht="15" customHeight="1" x14ac:dyDescent="0.35">
      <c r="A19" s="42" t="s">
        <v>26</v>
      </c>
      <c r="B19" s="24">
        <v>2</v>
      </c>
      <c r="C19" s="24">
        <v>0</v>
      </c>
      <c r="D19" s="24">
        <v>0</v>
      </c>
      <c r="E19" s="24">
        <v>0</v>
      </c>
      <c r="F19" s="24">
        <v>0</v>
      </c>
      <c r="G19" s="24">
        <v>0</v>
      </c>
      <c r="H19" s="24">
        <v>0</v>
      </c>
      <c r="I19" s="24">
        <v>1</v>
      </c>
      <c r="J19" s="24"/>
      <c r="K19" s="24">
        <v>17</v>
      </c>
      <c r="L19" s="24">
        <v>0</v>
      </c>
      <c r="M19" s="24">
        <v>0</v>
      </c>
      <c r="N19" s="24">
        <v>0</v>
      </c>
      <c r="O19" s="24">
        <v>0</v>
      </c>
      <c r="P19" s="24">
        <v>0</v>
      </c>
      <c r="Q19" s="24">
        <v>0</v>
      </c>
      <c r="R19" s="24">
        <v>11</v>
      </c>
      <c r="S19" s="24"/>
      <c r="T19" s="24">
        <v>2</v>
      </c>
      <c r="U19" s="24">
        <v>0</v>
      </c>
      <c r="V19" s="24">
        <v>0</v>
      </c>
      <c r="W19" s="24">
        <v>0</v>
      </c>
      <c r="X19" s="24">
        <v>0</v>
      </c>
      <c r="Y19" s="24">
        <v>0</v>
      </c>
      <c r="Z19" s="24">
        <v>0</v>
      </c>
      <c r="AA19" s="24">
        <v>2</v>
      </c>
      <c r="AB19" s="24"/>
      <c r="AC19" s="24">
        <v>8</v>
      </c>
      <c r="AD19" s="24">
        <v>0</v>
      </c>
      <c r="AE19" s="24">
        <v>0</v>
      </c>
      <c r="AF19" s="24">
        <v>1</v>
      </c>
      <c r="AG19" s="24">
        <v>0</v>
      </c>
      <c r="AH19" s="24">
        <v>0</v>
      </c>
      <c r="AI19" s="24">
        <v>0</v>
      </c>
      <c r="AJ19" s="24">
        <v>5</v>
      </c>
    </row>
    <row r="20" spans="1:36" s="8" customFormat="1" ht="15" customHeight="1" x14ac:dyDescent="0.35">
      <c r="A20" s="42" t="s">
        <v>27</v>
      </c>
      <c r="B20" s="24">
        <v>33</v>
      </c>
      <c r="C20" s="24">
        <v>1</v>
      </c>
      <c r="D20" s="24">
        <v>0</v>
      </c>
      <c r="E20" s="24">
        <v>0</v>
      </c>
      <c r="F20" s="24">
        <v>0</v>
      </c>
      <c r="G20" s="24">
        <v>0</v>
      </c>
      <c r="H20" s="24">
        <v>0</v>
      </c>
      <c r="I20" s="24">
        <v>1</v>
      </c>
      <c r="J20" s="24"/>
      <c r="K20" s="24">
        <v>72</v>
      </c>
      <c r="L20" s="24">
        <v>1</v>
      </c>
      <c r="M20" s="24">
        <v>1</v>
      </c>
      <c r="N20" s="24">
        <v>0</v>
      </c>
      <c r="O20" s="24">
        <v>0</v>
      </c>
      <c r="P20" s="24">
        <v>0</v>
      </c>
      <c r="Q20" s="24">
        <v>0</v>
      </c>
      <c r="R20" s="24">
        <v>34</v>
      </c>
      <c r="S20" s="24"/>
      <c r="T20" s="24">
        <v>2</v>
      </c>
      <c r="U20" s="24">
        <v>0</v>
      </c>
      <c r="V20" s="24">
        <v>0</v>
      </c>
      <c r="W20" s="24">
        <v>0</v>
      </c>
      <c r="X20" s="24">
        <v>0</v>
      </c>
      <c r="Y20" s="24">
        <v>0</v>
      </c>
      <c r="Z20" s="24">
        <v>0</v>
      </c>
      <c r="AA20" s="24">
        <v>0</v>
      </c>
      <c r="AB20" s="24"/>
      <c r="AC20" s="24">
        <v>19</v>
      </c>
      <c r="AD20" s="24">
        <v>0</v>
      </c>
      <c r="AE20" s="24">
        <v>0</v>
      </c>
      <c r="AF20" s="24">
        <v>0</v>
      </c>
      <c r="AG20" s="24">
        <v>0</v>
      </c>
      <c r="AH20" s="24">
        <v>0</v>
      </c>
      <c r="AI20" s="24">
        <v>0</v>
      </c>
      <c r="AJ20" s="24">
        <v>7</v>
      </c>
    </row>
    <row r="21" spans="1:36" s="8" customFormat="1" ht="15" customHeight="1" x14ac:dyDescent="0.35">
      <c r="A21" s="4" t="s">
        <v>28</v>
      </c>
      <c r="B21" s="24">
        <v>11</v>
      </c>
      <c r="C21" s="24">
        <v>0</v>
      </c>
      <c r="D21" s="24">
        <v>0</v>
      </c>
      <c r="E21" s="24">
        <v>0</v>
      </c>
      <c r="F21" s="24">
        <v>0</v>
      </c>
      <c r="G21" s="24">
        <v>0</v>
      </c>
      <c r="H21" s="24">
        <v>0</v>
      </c>
      <c r="I21" s="24">
        <v>10</v>
      </c>
      <c r="J21" s="24"/>
      <c r="K21" s="24">
        <v>44</v>
      </c>
      <c r="L21" s="24">
        <v>2</v>
      </c>
      <c r="M21" s="24">
        <v>0</v>
      </c>
      <c r="N21" s="24">
        <v>0</v>
      </c>
      <c r="O21" s="24">
        <v>0</v>
      </c>
      <c r="P21" s="24">
        <v>0</v>
      </c>
      <c r="Q21" s="24">
        <v>1</v>
      </c>
      <c r="R21" s="24">
        <v>31</v>
      </c>
      <c r="S21" s="24"/>
      <c r="T21" s="24">
        <v>0</v>
      </c>
      <c r="U21" s="24">
        <v>0</v>
      </c>
      <c r="V21" s="24">
        <v>0</v>
      </c>
      <c r="W21" s="24">
        <v>0</v>
      </c>
      <c r="X21" s="24">
        <v>0</v>
      </c>
      <c r="Y21" s="24">
        <v>0</v>
      </c>
      <c r="Z21" s="24">
        <v>0</v>
      </c>
      <c r="AA21" s="24">
        <v>4</v>
      </c>
      <c r="AB21" s="24"/>
      <c r="AC21" s="24">
        <v>11</v>
      </c>
      <c r="AD21" s="24">
        <v>0</v>
      </c>
      <c r="AE21" s="24">
        <v>0</v>
      </c>
      <c r="AF21" s="24">
        <v>0</v>
      </c>
      <c r="AG21" s="24">
        <v>0</v>
      </c>
      <c r="AH21" s="24">
        <v>0</v>
      </c>
      <c r="AI21" s="24">
        <v>0</v>
      </c>
      <c r="AJ21" s="24">
        <v>14</v>
      </c>
    </row>
    <row r="22" spans="1:36" s="8" customFormat="1" ht="15" customHeight="1" x14ac:dyDescent="0.35">
      <c r="A22" s="4" t="s">
        <v>29</v>
      </c>
      <c r="B22" s="24">
        <v>14</v>
      </c>
      <c r="C22" s="24">
        <v>0</v>
      </c>
      <c r="D22" s="24">
        <v>0</v>
      </c>
      <c r="E22" s="24">
        <v>0</v>
      </c>
      <c r="F22" s="24">
        <v>0</v>
      </c>
      <c r="G22" s="24">
        <v>0</v>
      </c>
      <c r="H22" s="24">
        <v>0</v>
      </c>
      <c r="I22" s="24">
        <v>8</v>
      </c>
      <c r="J22" s="24"/>
      <c r="K22" s="24">
        <v>7</v>
      </c>
      <c r="L22" s="24">
        <v>0</v>
      </c>
      <c r="M22" s="24">
        <v>0</v>
      </c>
      <c r="N22" s="24">
        <v>0</v>
      </c>
      <c r="O22" s="24">
        <v>0</v>
      </c>
      <c r="P22" s="24">
        <v>0</v>
      </c>
      <c r="Q22" s="24">
        <v>0</v>
      </c>
      <c r="R22" s="24">
        <v>20</v>
      </c>
      <c r="S22" s="24"/>
      <c r="T22" s="24">
        <v>0</v>
      </c>
      <c r="U22" s="24">
        <v>0</v>
      </c>
      <c r="V22" s="24">
        <v>0</v>
      </c>
      <c r="W22" s="24">
        <v>0</v>
      </c>
      <c r="X22" s="24">
        <v>0</v>
      </c>
      <c r="Y22" s="24">
        <v>0</v>
      </c>
      <c r="Z22" s="24">
        <v>0</v>
      </c>
      <c r="AA22" s="24">
        <v>0</v>
      </c>
      <c r="AB22" s="24"/>
      <c r="AC22" s="24">
        <v>6</v>
      </c>
      <c r="AD22" s="24">
        <v>0</v>
      </c>
      <c r="AE22" s="24">
        <v>0</v>
      </c>
      <c r="AF22" s="24">
        <v>0</v>
      </c>
      <c r="AG22" s="24">
        <v>0</v>
      </c>
      <c r="AH22" s="24">
        <v>0</v>
      </c>
      <c r="AI22" s="24">
        <v>0</v>
      </c>
      <c r="AJ22" s="24">
        <v>12</v>
      </c>
    </row>
    <row r="23" spans="1:36" s="8" customFormat="1" ht="15" customHeight="1" x14ac:dyDescent="0.35">
      <c r="A23" s="4" t="s">
        <v>30</v>
      </c>
      <c r="B23" s="24">
        <v>7</v>
      </c>
      <c r="C23" s="24">
        <v>1</v>
      </c>
      <c r="D23" s="24">
        <v>0</v>
      </c>
      <c r="E23" s="24">
        <v>0</v>
      </c>
      <c r="F23" s="24">
        <v>0</v>
      </c>
      <c r="G23" s="24">
        <v>0</v>
      </c>
      <c r="H23" s="24">
        <v>0</v>
      </c>
      <c r="I23" s="24">
        <v>0</v>
      </c>
      <c r="J23" s="24"/>
      <c r="K23" s="24">
        <v>19</v>
      </c>
      <c r="L23" s="24">
        <v>0</v>
      </c>
      <c r="M23" s="24">
        <v>0</v>
      </c>
      <c r="N23" s="24">
        <v>0</v>
      </c>
      <c r="O23" s="24">
        <v>0</v>
      </c>
      <c r="P23" s="24">
        <v>0</v>
      </c>
      <c r="Q23" s="24">
        <v>0</v>
      </c>
      <c r="R23" s="24">
        <v>3</v>
      </c>
      <c r="S23" s="24"/>
      <c r="T23" s="24">
        <v>3</v>
      </c>
      <c r="U23" s="24">
        <v>0</v>
      </c>
      <c r="V23" s="24">
        <v>0</v>
      </c>
      <c r="W23" s="24">
        <v>0</v>
      </c>
      <c r="X23" s="24">
        <v>0</v>
      </c>
      <c r="Y23" s="24">
        <v>0</v>
      </c>
      <c r="Z23" s="24">
        <v>0</v>
      </c>
      <c r="AA23" s="24">
        <v>1</v>
      </c>
      <c r="AB23" s="24"/>
      <c r="AC23" s="24">
        <v>13</v>
      </c>
      <c r="AD23" s="24">
        <v>0</v>
      </c>
      <c r="AE23" s="24">
        <v>0</v>
      </c>
      <c r="AF23" s="24">
        <v>0</v>
      </c>
      <c r="AG23" s="24">
        <v>0</v>
      </c>
      <c r="AH23" s="24">
        <v>0</v>
      </c>
      <c r="AI23" s="24">
        <v>0</v>
      </c>
      <c r="AJ23" s="24">
        <v>10</v>
      </c>
    </row>
    <row r="24" spans="1:36" s="8" customFormat="1" ht="15" customHeight="1" x14ac:dyDescent="0.35">
      <c r="A24" s="4" t="s">
        <v>31</v>
      </c>
      <c r="B24" s="24">
        <v>18</v>
      </c>
      <c r="C24" s="24">
        <v>0</v>
      </c>
      <c r="D24" s="24">
        <v>0</v>
      </c>
      <c r="E24" s="24">
        <v>0</v>
      </c>
      <c r="F24" s="24">
        <v>0</v>
      </c>
      <c r="G24" s="24">
        <v>0</v>
      </c>
      <c r="H24" s="24">
        <v>0</v>
      </c>
      <c r="I24" s="24">
        <v>4</v>
      </c>
      <c r="J24" s="24"/>
      <c r="K24" s="24">
        <v>22</v>
      </c>
      <c r="L24" s="24">
        <v>1</v>
      </c>
      <c r="M24" s="24">
        <v>1</v>
      </c>
      <c r="N24" s="24">
        <v>0</v>
      </c>
      <c r="O24" s="24">
        <v>0</v>
      </c>
      <c r="P24" s="24">
        <v>0</v>
      </c>
      <c r="Q24" s="24">
        <v>1</v>
      </c>
      <c r="R24" s="24">
        <v>63</v>
      </c>
      <c r="S24" s="24"/>
      <c r="T24" s="24">
        <v>0</v>
      </c>
      <c r="U24" s="24">
        <v>0</v>
      </c>
      <c r="V24" s="24">
        <v>0</v>
      </c>
      <c r="W24" s="24">
        <v>0</v>
      </c>
      <c r="X24" s="24">
        <v>0</v>
      </c>
      <c r="Y24" s="24">
        <v>0</v>
      </c>
      <c r="Z24" s="24">
        <v>0</v>
      </c>
      <c r="AA24" s="24">
        <v>3</v>
      </c>
      <c r="AB24" s="24"/>
      <c r="AC24" s="24">
        <v>19</v>
      </c>
      <c r="AD24" s="24">
        <v>0</v>
      </c>
      <c r="AE24" s="24">
        <v>0</v>
      </c>
      <c r="AF24" s="24">
        <v>0</v>
      </c>
      <c r="AG24" s="24">
        <v>0</v>
      </c>
      <c r="AH24" s="24">
        <v>0</v>
      </c>
      <c r="AI24" s="24">
        <v>0</v>
      </c>
      <c r="AJ24" s="24">
        <v>41</v>
      </c>
    </row>
    <row r="25" spans="1:36" s="8" customFormat="1" ht="15" customHeight="1" x14ac:dyDescent="0.35">
      <c r="A25" s="4" t="s">
        <v>32</v>
      </c>
      <c r="B25" s="24">
        <v>18</v>
      </c>
      <c r="C25" s="24">
        <v>2</v>
      </c>
      <c r="D25" s="24">
        <v>1</v>
      </c>
      <c r="E25" s="24">
        <v>1</v>
      </c>
      <c r="F25" s="24">
        <v>0</v>
      </c>
      <c r="G25" s="24">
        <v>0</v>
      </c>
      <c r="H25" s="24">
        <v>0</v>
      </c>
      <c r="I25" s="24">
        <v>13</v>
      </c>
      <c r="J25" s="24"/>
      <c r="K25" s="24">
        <v>37</v>
      </c>
      <c r="L25" s="24">
        <v>0</v>
      </c>
      <c r="M25" s="24">
        <v>0</v>
      </c>
      <c r="N25" s="24">
        <v>0</v>
      </c>
      <c r="O25" s="24">
        <v>0</v>
      </c>
      <c r="P25" s="24">
        <v>0</v>
      </c>
      <c r="Q25" s="24">
        <v>0</v>
      </c>
      <c r="R25" s="24">
        <v>1</v>
      </c>
      <c r="S25" s="24"/>
      <c r="T25" s="24">
        <v>5</v>
      </c>
      <c r="U25" s="24">
        <v>0</v>
      </c>
      <c r="V25" s="24">
        <v>0</v>
      </c>
      <c r="W25" s="24">
        <v>0</v>
      </c>
      <c r="X25" s="24">
        <v>0</v>
      </c>
      <c r="Y25" s="24">
        <v>0</v>
      </c>
      <c r="Z25" s="24">
        <v>0</v>
      </c>
      <c r="AA25" s="24">
        <v>1</v>
      </c>
      <c r="AB25" s="24"/>
      <c r="AC25" s="24">
        <v>6</v>
      </c>
      <c r="AD25" s="24">
        <v>0</v>
      </c>
      <c r="AE25" s="24">
        <v>0</v>
      </c>
      <c r="AF25" s="24">
        <v>0</v>
      </c>
      <c r="AG25" s="24">
        <v>0</v>
      </c>
      <c r="AH25" s="24">
        <v>0</v>
      </c>
      <c r="AI25" s="24">
        <v>0</v>
      </c>
      <c r="AJ25" s="24">
        <v>3</v>
      </c>
    </row>
    <row r="26" spans="1:36" s="8" customFormat="1" ht="15" customHeight="1" x14ac:dyDescent="0.35">
      <c r="A26" s="4" t="s">
        <v>33</v>
      </c>
      <c r="B26" s="24">
        <v>42</v>
      </c>
      <c r="C26" s="24">
        <v>1</v>
      </c>
      <c r="D26" s="24">
        <v>0</v>
      </c>
      <c r="E26" s="24">
        <v>0</v>
      </c>
      <c r="F26" s="24">
        <v>0</v>
      </c>
      <c r="G26" s="24">
        <v>0</v>
      </c>
      <c r="H26" s="24">
        <v>0</v>
      </c>
      <c r="I26" s="24">
        <v>13</v>
      </c>
      <c r="J26" s="24"/>
      <c r="K26" s="24">
        <v>78</v>
      </c>
      <c r="L26" s="24">
        <v>12</v>
      </c>
      <c r="M26" s="24">
        <v>1</v>
      </c>
      <c r="N26" s="24">
        <v>0</v>
      </c>
      <c r="O26" s="24">
        <v>0</v>
      </c>
      <c r="P26" s="24">
        <v>0</v>
      </c>
      <c r="Q26" s="24">
        <v>0</v>
      </c>
      <c r="R26" s="24">
        <v>8</v>
      </c>
      <c r="S26" s="24"/>
      <c r="T26" s="24">
        <v>2</v>
      </c>
      <c r="U26" s="24">
        <v>0</v>
      </c>
      <c r="V26" s="24">
        <v>0</v>
      </c>
      <c r="W26" s="24">
        <v>0</v>
      </c>
      <c r="X26" s="24">
        <v>0</v>
      </c>
      <c r="Y26" s="24">
        <v>0</v>
      </c>
      <c r="Z26" s="24">
        <v>0</v>
      </c>
      <c r="AA26" s="24">
        <v>0</v>
      </c>
      <c r="AB26" s="24"/>
      <c r="AC26" s="24">
        <v>44</v>
      </c>
      <c r="AD26" s="24">
        <v>2</v>
      </c>
      <c r="AE26" s="24">
        <v>1</v>
      </c>
      <c r="AF26" s="24">
        <v>1</v>
      </c>
      <c r="AG26" s="24">
        <v>1</v>
      </c>
      <c r="AH26" s="24">
        <v>0</v>
      </c>
      <c r="AI26" s="24">
        <v>0</v>
      </c>
      <c r="AJ26" s="24">
        <v>3</v>
      </c>
    </row>
    <row r="27" spans="1:36" s="8" customFormat="1" ht="15" customHeight="1" x14ac:dyDescent="0.35">
      <c r="A27" s="4" t="s">
        <v>34</v>
      </c>
      <c r="B27" s="24">
        <v>21</v>
      </c>
      <c r="C27" s="24">
        <v>0</v>
      </c>
      <c r="D27" s="24">
        <v>0</v>
      </c>
      <c r="E27" s="24">
        <v>0</v>
      </c>
      <c r="F27" s="24">
        <v>0</v>
      </c>
      <c r="G27" s="24">
        <v>0</v>
      </c>
      <c r="H27" s="24">
        <v>0</v>
      </c>
      <c r="I27" s="24">
        <v>0</v>
      </c>
      <c r="J27" s="24"/>
      <c r="K27" s="24">
        <v>27</v>
      </c>
      <c r="L27" s="24">
        <v>7</v>
      </c>
      <c r="M27" s="24">
        <v>1</v>
      </c>
      <c r="N27" s="24">
        <v>0</v>
      </c>
      <c r="O27" s="24">
        <v>0</v>
      </c>
      <c r="P27" s="24">
        <v>0</v>
      </c>
      <c r="Q27" s="24">
        <v>0</v>
      </c>
      <c r="R27" s="24">
        <v>2</v>
      </c>
      <c r="S27" s="24"/>
      <c r="T27" s="24">
        <v>2</v>
      </c>
      <c r="U27" s="24">
        <v>0</v>
      </c>
      <c r="V27" s="24">
        <v>0</v>
      </c>
      <c r="W27" s="24">
        <v>0</v>
      </c>
      <c r="X27" s="24">
        <v>0</v>
      </c>
      <c r="Y27" s="24">
        <v>0</v>
      </c>
      <c r="Z27" s="24">
        <v>0</v>
      </c>
      <c r="AA27" s="24">
        <v>0</v>
      </c>
      <c r="AB27" s="24"/>
      <c r="AC27" s="24">
        <v>12</v>
      </c>
      <c r="AD27" s="24">
        <v>0</v>
      </c>
      <c r="AE27" s="24">
        <v>0</v>
      </c>
      <c r="AF27" s="24">
        <v>0</v>
      </c>
      <c r="AG27" s="24">
        <v>0</v>
      </c>
      <c r="AH27" s="24">
        <v>0</v>
      </c>
      <c r="AI27" s="24">
        <v>0</v>
      </c>
      <c r="AJ27" s="24">
        <v>2</v>
      </c>
    </row>
    <row r="28" spans="1:36" s="8" customFormat="1" ht="15" customHeight="1" x14ac:dyDescent="0.35">
      <c r="A28" s="4" t="s">
        <v>35</v>
      </c>
      <c r="B28" s="24">
        <v>33</v>
      </c>
      <c r="C28" s="24">
        <v>1</v>
      </c>
      <c r="D28" s="24">
        <v>2</v>
      </c>
      <c r="E28" s="24">
        <v>0</v>
      </c>
      <c r="F28" s="24">
        <v>0</v>
      </c>
      <c r="G28" s="24">
        <v>0</v>
      </c>
      <c r="H28" s="24">
        <v>0</v>
      </c>
      <c r="I28" s="24">
        <v>1</v>
      </c>
      <c r="J28" s="24"/>
      <c r="K28" s="24">
        <v>34</v>
      </c>
      <c r="L28" s="24">
        <v>1</v>
      </c>
      <c r="M28" s="24">
        <v>0</v>
      </c>
      <c r="N28" s="24">
        <v>0</v>
      </c>
      <c r="O28" s="24">
        <v>0</v>
      </c>
      <c r="P28" s="24">
        <v>0</v>
      </c>
      <c r="Q28" s="24">
        <v>0</v>
      </c>
      <c r="R28" s="24">
        <v>0</v>
      </c>
      <c r="S28" s="24"/>
      <c r="T28" s="24">
        <v>0</v>
      </c>
      <c r="U28" s="24">
        <v>0</v>
      </c>
      <c r="V28" s="24">
        <v>0</v>
      </c>
      <c r="W28" s="24">
        <v>0</v>
      </c>
      <c r="X28" s="24">
        <v>0</v>
      </c>
      <c r="Y28" s="24">
        <v>0</v>
      </c>
      <c r="Z28" s="24">
        <v>0</v>
      </c>
      <c r="AA28" s="24">
        <v>0</v>
      </c>
      <c r="AB28" s="24"/>
      <c r="AC28" s="24">
        <v>16</v>
      </c>
      <c r="AD28" s="24">
        <v>0</v>
      </c>
      <c r="AE28" s="24">
        <v>2</v>
      </c>
      <c r="AF28" s="24">
        <v>0</v>
      </c>
      <c r="AG28" s="24">
        <v>1</v>
      </c>
      <c r="AH28" s="24">
        <v>0</v>
      </c>
      <c r="AI28" s="24">
        <v>1</v>
      </c>
      <c r="AJ28" s="24">
        <v>0</v>
      </c>
    </row>
    <row r="29" spans="1:36" s="8" customFormat="1" ht="15" customHeight="1" x14ac:dyDescent="0.35">
      <c r="A29" s="4" t="s">
        <v>36</v>
      </c>
      <c r="B29" s="24">
        <v>22</v>
      </c>
      <c r="C29" s="24">
        <v>0</v>
      </c>
      <c r="D29" s="24">
        <v>0</v>
      </c>
      <c r="E29" s="24">
        <v>0</v>
      </c>
      <c r="F29" s="24">
        <v>0</v>
      </c>
      <c r="G29" s="24">
        <v>0</v>
      </c>
      <c r="H29" s="24">
        <v>0</v>
      </c>
      <c r="I29" s="24">
        <v>0</v>
      </c>
      <c r="J29" s="24"/>
      <c r="K29" s="24">
        <v>41</v>
      </c>
      <c r="L29" s="24">
        <v>5</v>
      </c>
      <c r="M29" s="24">
        <v>0</v>
      </c>
      <c r="N29" s="24">
        <v>0</v>
      </c>
      <c r="O29" s="24">
        <v>0</v>
      </c>
      <c r="P29" s="24">
        <v>0</v>
      </c>
      <c r="Q29" s="24">
        <v>0</v>
      </c>
      <c r="R29" s="24">
        <v>0</v>
      </c>
      <c r="S29" s="24"/>
      <c r="T29" s="24">
        <v>2</v>
      </c>
      <c r="U29" s="24">
        <v>0</v>
      </c>
      <c r="V29" s="24">
        <v>0</v>
      </c>
      <c r="W29" s="24">
        <v>0</v>
      </c>
      <c r="X29" s="24">
        <v>0</v>
      </c>
      <c r="Y29" s="24">
        <v>0</v>
      </c>
      <c r="Z29" s="24">
        <v>0</v>
      </c>
      <c r="AA29" s="24">
        <v>0</v>
      </c>
      <c r="AB29" s="24"/>
      <c r="AC29" s="24">
        <v>26</v>
      </c>
      <c r="AD29" s="24">
        <v>1</v>
      </c>
      <c r="AE29" s="24">
        <v>5</v>
      </c>
      <c r="AF29" s="24">
        <v>2</v>
      </c>
      <c r="AG29" s="24">
        <v>0</v>
      </c>
      <c r="AH29" s="24">
        <v>0</v>
      </c>
      <c r="AI29" s="24">
        <v>0</v>
      </c>
      <c r="AJ29" s="24">
        <v>0</v>
      </c>
    </row>
    <row r="30" spans="1:36" s="8" customFormat="1" ht="15" customHeight="1" x14ac:dyDescent="0.35">
      <c r="A30" s="4" t="s">
        <v>37</v>
      </c>
      <c r="B30" s="24">
        <v>0</v>
      </c>
      <c r="C30" s="24">
        <v>0</v>
      </c>
      <c r="D30" s="24">
        <v>0</v>
      </c>
      <c r="E30" s="24">
        <v>0</v>
      </c>
      <c r="F30" s="24">
        <v>0</v>
      </c>
      <c r="G30" s="24">
        <v>0</v>
      </c>
      <c r="H30" s="24">
        <v>0</v>
      </c>
      <c r="I30" s="24">
        <v>0</v>
      </c>
      <c r="J30" s="24"/>
      <c r="K30" s="24">
        <v>0</v>
      </c>
      <c r="L30" s="24">
        <v>0</v>
      </c>
      <c r="M30" s="24">
        <v>0</v>
      </c>
      <c r="N30" s="24">
        <v>0</v>
      </c>
      <c r="O30" s="24">
        <v>0</v>
      </c>
      <c r="P30" s="24">
        <v>0</v>
      </c>
      <c r="Q30" s="24">
        <v>0</v>
      </c>
      <c r="R30" s="24">
        <v>0</v>
      </c>
      <c r="S30" s="24"/>
      <c r="T30" s="24">
        <v>0</v>
      </c>
      <c r="U30" s="24">
        <v>0</v>
      </c>
      <c r="V30" s="24">
        <v>0</v>
      </c>
      <c r="W30" s="24">
        <v>0</v>
      </c>
      <c r="X30" s="24">
        <v>0</v>
      </c>
      <c r="Y30" s="24">
        <v>0</v>
      </c>
      <c r="Z30" s="24">
        <v>0</v>
      </c>
      <c r="AA30" s="24">
        <v>0</v>
      </c>
      <c r="AB30" s="24"/>
      <c r="AC30" s="24">
        <v>2</v>
      </c>
      <c r="AD30" s="24">
        <v>0</v>
      </c>
      <c r="AE30" s="24">
        <v>0</v>
      </c>
      <c r="AF30" s="24">
        <v>0</v>
      </c>
      <c r="AG30" s="24">
        <v>0</v>
      </c>
      <c r="AH30" s="24">
        <v>0</v>
      </c>
      <c r="AI30" s="24">
        <v>0</v>
      </c>
      <c r="AJ30" s="24">
        <v>0</v>
      </c>
    </row>
    <row r="31" spans="1:36" s="8" customFormat="1" ht="15" customHeight="1" x14ac:dyDescent="0.35">
      <c r="A31" s="8" t="s">
        <v>38</v>
      </c>
      <c r="B31" s="24">
        <v>4</v>
      </c>
      <c r="C31" s="24">
        <v>0</v>
      </c>
      <c r="D31" s="24">
        <v>0</v>
      </c>
      <c r="E31" s="24">
        <v>0</v>
      </c>
      <c r="F31" s="24">
        <v>0</v>
      </c>
      <c r="G31" s="24">
        <v>0</v>
      </c>
      <c r="H31" s="24">
        <v>0</v>
      </c>
      <c r="I31" s="24">
        <v>25</v>
      </c>
      <c r="J31" s="24"/>
      <c r="K31" s="24">
        <v>8</v>
      </c>
      <c r="L31" s="24">
        <v>0</v>
      </c>
      <c r="M31" s="24">
        <v>0</v>
      </c>
      <c r="N31" s="24">
        <v>0</v>
      </c>
      <c r="O31" s="24">
        <v>0</v>
      </c>
      <c r="P31" s="24">
        <v>0</v>
      </c>
      <c r="Q31" s="24">
        <v>0</v>
      </c>
      <c r="R31" s="24">
        <v>48</v>
      </c>
      <c r="S31" s="24"/>
      <c r="T31" s="24">
        <v>1</v>
      </c>
      <c r="U31" s="24">
        <v>0</v>
      </c>
      <c r="V31" s="24">
        <v>0</v>
      </c>
      <c r="W31" s="24">
        <v>0</v>
      </c>
      <c r="X31" s="24">
        <v>0</v>
      </c>
      <c r="Y31" s="24">
        <v>0</v>
      </c>
      <c r="Z31" s="24">
        <v>0</v>
      </c>
      <c r="AA31" s="24">
        <v>7</v>
      </c>
      <c r="AB31" s="24"/>
      <c r="AC31" s="24">
        <v>13</v>
      </c>
      <c r="AD31" s="24">
        <v>0</v>
      </c>
      <c r="AE31" s="24">
        <v>1</v>
      </c>
      <c r="AF31" s="24">
        <v>1</v>
      </c>
      <c r="AG31" s="24">
        <v>0</v>
      </c>
      <c r="AH31" s="24">
        <v>0</v>
      </c>
      <c r="AI31" s="24">
        <v>0</v>
      </c>
      <c r="AJ31" s="24">
        <v>37</v>
      </c>
    </row>
    <row r="32" spans="1:36" s="8" customFormat="1" ht="15" customHeight="1" x14ac:dyDescent="0.35">
      <c r="A32" s="8" t="s">
        <v>39</v>
      </c>
      <c r="B32" s="24">
        <v>52</v>
      </c>
      <c r="C32" s="24">
        <v>0</v>
      </c>
      <c r="D32" s="24">
        <v>2</v>
      </c>
      <c r="E32" s="24">
        <v>2</v>
      </c>
      <c r="F32" s="24">
        <v>0</v>
      </c>
      <c r="G32" s="24">
        <v>0</v>
      </c>
      <c r="H32" s="24">
        <v>0</v>
      </c>
      <c r="I32" s="24">
        <v>0</v>
      </c>
      <c r="J32" s="24"/>
      <c r="K32" s="24">
        <v>47</v>
      </c>
      <c r="L32" s="24">
        <v>0</v>
      </c>
      <c r="M32" s="24">
        <v>1</v>
      </c>
      <c r="N32" s="24">
        <v>0</v>
      </c>
      <c r="O32" s="24">
        <v>0</v>
      </c>
      <c r="P32" s="24">
        <v>0</v>
      </c>
      <c r="Q32" s="24">
        <v>0</v>
      </c>
      <c r="R32" s="24">
        <v>9</v>
      </c>
      <c r="S32" s="24"/>
      <c r="T32" s="24">
        <v>0</v>
      </c>
      <c r="U32" s="24">
        <v>0</v>
      </c>
      <c r="V32" s="24">
        <v>0</v>
      </c>
      <c r="W32" s="24">
        <v>0</v>
      </c>
      <c r="X32" s="24">
        <v>0</v>
      </c>
      <c r="Y32" s="24">
        <v>0</v>
      </c>
      <c r="Z32" s="24">
        <v>0</v>
      </c>
      <c r="AA32" s="24">
        <v>0</v>
      </c>
      <c r="AB32" s="24"/>
      <c r="AC32" s="24">
        <v>39</v>
      </c>
      <c r="AD32" s="24">
        <v>0</v>
      </c>
      <c r="AE32" s="24">
        <v>1</v>
      </c>
      <c r="AF32" s="24">
        <v>2</v>
      </c>
      <c r="AG32" s="24">
        <v>1</v>
      </c>
      <c r="AH32" s="24">
        <v>0</v>
      </c>
      <c r="AI32" s="24">
        <v>0</v>
      </c>
      <c r="AJ32" s="24">
        <v>2</v>
      </c>
    </row>
    <row r="33" spans="1:36" s="8" customFormat="1" ht="15" customHeight="1" x14ac:dyDescent="0.35">
      <c r="A33" s="4" t="s">
        <v>40</v>
      </c>
      <c r="B33" s="24">
        <v>12</v>
      </c>
      <c r="C33" s="24">
        <v>0</v>
      </c>
      <c r="D33" s="24">
        <v>4</v>
      </c>
      <c r="E33" s="24">
        <v>1</v>
      </c>
      <c r="F33" s="24">
        <v>0</v>
      </c>
      <c r="G33" s="24">
        <v>0</v>
      </c>
      <c r="H33" s="24">
        <v>0</v>
      </c>
      <c r="I33" s="24">
        <v>8</v>
      </c>
      <c r="J33" s="24"/>
      <c r="K33" s="24">
        <v>18</v>
      </c>
      <c r="L33" s="24">
        <v>0</v>
      </c>
      <c r="M33" s="24">
        <v>0</v>
      </c>
      <c r="N33" s="24">
        <v>0</v>
      </c>
      <c r="O33" s="24">
        <v>0</v>
      </c>
      <c r="P33" s="24">
        <v>0</v>
      </c>
      <c r="Q33" s="24">
        <v>0</v>
      </c>
      <c r="R33" s="24">
        <v>9</v>
      </c>
      <c r="S33" s="24"/>
      <c r="T33" s="24">
        <v>2</v>
      </c>
      <c r="U33" s="24">
        <v>0</v>
      </c>
      <c r="V33" s="24">
        <v>0</v>
      </c>
      <c r="W33" s="24">
        <v>0</v>
      </c>
      <c r="X33" s="24">
        <v>0</v>
      </c>
      <c r="Y33" s="24">
        <v>0</v>
      </c>
      <c r="Z33" s="24">
        <v>0</v>
      </c>
      <c r="AA33" s="24">
        <v>0</v>
      </c>
      <c r="AB33" s="24"/>
      <c r="AC33" s="24">
        <v>6</v>
      </c>
      <c r="AD33" s="24">
        <v>0</v>
      </c>
      <c r="AE33" s="24">
        <v>1</v>
      </c>
      <c r="AF33" s="24">
        <v>1</v>
      </c>
      <c r="AG33" s="24">
        <v>0</v>
      </c>
      <c r="AH33" s="24">
        <v>0</v>
      </c>
      <c r="AI33" s="24">
        <v>0</v>
      </c>
      <c r="AJ33" s="24">
        <v>4</v>
      </c>
    </row>
    <row r="34" spans="1:36" s="8" customFormat="1" ht="15" customHeight="1" x14ac:dyDescent="0.35">
      <c r="A34" s="8" t="s">
        <v>41</v>
      </c>
      <c r="B34" s="24">
        <v>10</v>
      </c>
      <c r="C34" s="24">
        <v>0</v>
      </c>
      <c r="D34" s="24">
        <v>0</v>
      </c>
      <c r="E34" s="24">
        <v>0</v>
      </c>
      <c r="F34" s="24">
        <v>0</v>
      </c>
      <c r="G34" s="24">
        <v>0</v>
      </c>
      <c r="H34" s="24">
        <v>0</v>
      </c>
      <c r="I34" s="24">
        <v>0</v>
      </c>
      <c r="J34" s="24"/>
      <c r="K34" s="24">
        <v>44</v>
      </c>
      <c r="L34" s="24">
        <v>0</v>
      </c>
      <c r="M34" s="24">
        <v>1</v>
      </c>
      <c r="N34" s="24">
        <v>0</v>
      </c>
      <c r="O34" s="24">
        <v>0</v>
      </c>
      <c r="P34" s="24">
        <v>0</v>
      </c>
      <c r="Q34" s="24">
        <v>0</v>
      </c>
      <c r="R34" s="24">
        <v>0</v>
      </c>
      <c r="S34" s="24"/>
      <c r="T34" s="24">
        <v>2</v>
      </c>
      <c r="U34" s="24">
        <v>0</v>
      </c>
      <c r="V34" s="24">
        <v>0</v>
      </c>
      <c r="W34" s="24">
        <v>0</v>
      </c>
      <c r="X34" s="24">
        <v>0</v>
      </c>
      <c r="Y34" s="24">
        <v>0</v>
      </c>
      <c r="Z34" s="24">
        <v>0</v>
      </c>
      <c r="AA34" s="24">
        <v>0</v>
      </c>
      <c r="AB34" s="24"/>
      <c r="AC34" s="24">
        <v>3</v>
      </c>
      <c r="AD34" s="24">
        <v>0</v>
      </c>
      <c r="AE34" s="24">
        <v>0</v>
      </c>
      <c r="AF34" s="24">
        <v>0</v>
      </c>
      <c r="AG34" s="24">
        <v>0</v>
      </c>
      <c r="AH34" s="24">
        <v>0</v>
      </c>
      <c r="AI34" s="24">
        <v>0</v>
      </c>
      <c r="AJ34" s="24">
        <v>0</v>
      </c>
    </row>
    <row r="35" spans="1:36" s="8" customFormat="1" ht="15" customHeight="1" x14ac:dyDescent="0.35">
      <c r="A35" s="8" t="s">
        <v>42</v>
      </c>
      <c r="B35" s="24">
        <v>14</v>
      </c>
      <c r="C35" s="24">
        <v>2</v>
      </c>
      <c r="D35" s="24">
        <v>0</v>
      </c>
      <c r="E35" s="24">
        <v>0</v>
      </c>
      <c r="F35" s="24">
        <v>0</v>
      </c>
      <c r="G35" s="24">
        <v>0</v>
      </c>
      <c r="H35" s="24">
        <v>0</v>
      </c>
      <c r="I35" s="24">
        <v>3</v>
      </c>
      <c r="J35" s="24"/>
      <c r="K35" s="24">
        <v>43</v>
      </c>
      <c r="L35" s="24">
        <v>1</v>
      </c>
      <c r="M35" s="24">
        <v>0</v>
      </c>
      <c r="N35" s="24">
        <v>0</v>
      </c>
      <c r="O35" s="24">
        <v>0</v>
      </c>
      <c r="P35" s="24">
        <v>0</v>
      </c>
      <c r="Q35" s="24">
        <v>0</v>
      </c>
      <c r="R35" s="24">
        <v>12</v>
      </c>
      <c r="S35" s="24"/>
      <c r="T35" s="24">
        <v>4</v>
      </c>
      <c r="U35" s="24">
        <v>0</v>
      </c>
      <c r="V35" s="24">
        <v>0</v>
      </c>
      <c r="W35" s="24">
        <v>0</v>
      </c>
      <c r="X35" s="24">
        <v>0</v>
      </c>
      <c r="Y35" s="24">
        <v>0</v>
      </c>
      <c r="Z35" s="24">
        <v>0</v>
      </c>
      <c r="AA35" s="24">
        <v>0</v>
      </c>
      <c r="AB35" s="24"/>
      <c r="AC35" s="24">
        <v>13</v>
      </c>
      <c r="AD35" s="24">
        <v>0</v>
      </c>
      <c r="AE35" s="24">
        <v>0</v>
      </c>
      <c r="AF35" s="24">
        <v>0</v>
      </c>
      <c r="AG35" s="24">
        <v>0</v>
      </c>
      <c r="AH35" s="24">
        <v>0</v>
      </c>
      <c r="AI35" s="24">
        <v>0</v>
      </c>
      <c r="AJ35" s="24">
        <v>3</v>
      </c>
    </row>
    <row r="36" spans="1:36" s="8" customFormat="1" ht="15" customHeight="1" x14ac:dyDescent="0.35">
      <c r="A36" s="4" t="s">
        <v>43</v>
      </c>
      <c r="B36" s="24">
        <v>0</v>
      </c>
      <c r="C36" s="24">
        <v>0</v>
      </c>
      <c r="D36" s="24">
        <v>0</v>
      </c>
      <c r="E36" s="24">
        <v>0</v>
      </c>
      <c r="F36" s="24">
        <v>0</v>
      </c>
      <c r="G36" s="24">
        <v>0</v>
      </c>
      <c r="H36" s="24">
        <v>0</v>
      </c>
      <c r="I36" s="24">
        <v>0</v>
      </c>
      <c r="J36" s="24"/>
      <c r="K36" s="24">
        <v>0</v>
      </c>
      <c r="L36" s="24">
        <v>0</v>
      </c>
      <c r="M36" s="24">
        <v>0</v>
      </c>
      <c r="N36" s="24">
        <v>0</v>
      </c>
      <c r="O36" s="24">
        <v>0</v>
      </c>
      <c r="P36" s="24">
        <v>0</v>
      </c>
      <c r="Q36" s="24">
        <v>0</v>
      </c>
      <c r="R36" s="24">
        <v>0</v>
      </c>
      <c r="S36" s="24"/>
      <c r="T36" s="24">
        <v>10</v>
      </c>
      <c r="U36" s="24">
        <v>0</v>
      </c>
      <c r="V36" s="24">
        <v>0</v>
      </c>
      <c r="W36" s="24">
        <v>0</v>
      </c>
      <c r="X36" s="24">
        <v>0</v>
      </c>
      <c r="Y36" s="24">
        <v>0</v>
      </c>
      <c r="Z36" s="24">
        <v>0</v>
      </c>
      <c r="AA36" s="24">
        <v>0</v>
      </c>
      <c r="AB36" s="24"/>
      <c r="AC36" s="24">
        <v>0</v>
      </c>
      <c r="AD36" s="24">
        <v>0</v>
      </c>
      <c r="AE36" s="24">
        <v>0</v>
      </c>
      <c r="AF36" s="24">
        <v>0</v>
      </c>
      <c r="AG36" s="24">
        <v>0</v>
      </c>
      <c r="AH36" s="24">
        <v>0</v>
      </c>
      <c r="AI36" s="24">
        <v>0</v>
      </c>
      <c r="AJ36" s="24">
        <v>0</v>
      </c>
    </row>
    <row r="37" spans="1:36" s="8" customFormat="1" ht="15" customHeight="1" x14ac:dyDescent="0.35">
      <c r="A37" s="8" t="s">
        <v>44</v>
      </c>
      <c r="B37" s="24">
        <v>4</v>
      </c>
      <c r="C37" s="24">
        <v>0</v>
      </c>
      <c r="D37" s="24">
        <v>0</v>
      </c>
      <c r="E37" s="24">
        <v>0</v>
      </c>
      <c r="F37" s="24">
        <v>0</v>
      </c>
      <c r="G37" s="24">
        <v>0</v>
      </c>
      <c r="H37" s="24">
        <v>0</v>
      </c>
      <c r="I37" s="24">
        <v>0</v>
      </c>
      <c r="J37" s="24"/>
      <c r="K37" s="24">
        <v>47</v>
      </c>
      <c r="L37" s="24">
        <v>2</v>
      </c>
      <c r="M37" s="24">
        <v>0</v>
      </c>
      <c r="N37" s="24">
        <v>0</v>
      </c>
      <c r="O37" s="24">
        <v>0</v>
      </c>
      <c r="P37" s="24">
        <v>0</v>
      </c>
      <c r="Q37" s="24">
        <v>0</v>
      </c>
      <c r="R37" s="24">
        <v>4</v>
      </c>
      <c r="S37" s="24"/>
      <c r="T37" s="24">
        <v>3</v>
      </c>
      <c r="U37" s="24">
        <v>0</v>
      </c>
      <c r="V37" s="24">
        <v>0</v>
      </c>
      <c r="W37" s="24">
        <v>0</v>
      </c>
      <c r="X37" s="24">
        <v>0</v>
      </c>
      <c r="Y37" s="24">
        <v>0</v>
      </c>
      <c r="Z37" s="24">
        <v>0</v>
      </c>
      <c r="AA37" s="24">
        <v>0</v>
      </c>
      <c r="AB37" s="24"/>
      <c r="AC37" s="24">
        <v>19</v>
      </c>
      <c r="AD37" s="24">
        <v>0</v>
      </c>
      <c r="AE37" s="24">
        <v>0</v>
      </c>
      <c r="AF37" s="24">
        <v>0</v>
      </c>
      <c r="AG37" s="24">
        <v>1</v>
      </c>
      <c r="AH37" s="24">
        <v>0</v>
      </c>
      <c r="AI37" s="24">
        <v>0</v>
      </c>
      <c r="AJ37" s="24">
        <v>0</v>
      </c>
    </row>
    <row r="38" spans="1:36" s="8" customFormat="1" ht="15" customHeight="1" x14ac:dyDescent="0.35">
      <c r="A38" s="8" t="s">
        <v>45</v>
      </c>
      <c r="B38" s="24">
        <v>1</v>
      </c>
      <c r="C38" s="24">
        <v>0</v>
      </c>
      <c r="D38" s="24">
        <v>0</v>
      </c>
      <c r="E38" s="24">
        <v>0</v>
      </c>
      <c r="F38" s="24">
        <v>0</v>
      </c>
      <c r="G38" s="24">
        <v>0</v>
      </c>
      <c r="H38" s="24">
        <v>0</v>
      </c>
      <c r="I38" s="24">
        <v>12</v>
      </c>
      <c r="J38" s="24"/>
      <c r="K38" s="24">
        <v>5</v>
      </c>
      <c r="L38" s="24">
        <v>0</v>
      </c>
      <c r="M38" s="24">
        <v>0</v>
      </c>
      <c r="N38" s="24">
        <v>0</v>
      </c>
      <c r="O38" s="24">
        <v>0</v>
      </c>
      <c r="P38" s="24">
        <v>0</v>
      </c>
      <c r="Q38" s="24">
        <v>0</v>
      </c>
      <c r="R38" s="24">
        <v>29</v>
      </c>
      <c r="S38" s="24"/>
      <c r="T38" s="24">
        <v>0</v>
      </c>
      <c r="U38" s="24">
        <v>0</v>
      </c>
      <c r="V38" s="24">
        <v>0</v>
      </c>
      <c r="W38" s="24">
        <v>0</v>
      </c>
      <c r="X38" s="24">
        <v>0</v>
      </c>
      <c r="Y38" s="24">
        <v>0</v>
      </c>
      <c r="Z38" s="24">
        <v>0</v>
      </c>
      <c r="AA38" s="24">
        <v>0</v>
      </c>
      <c r="AB38" s="24"/>
      <c r="AC38" s="24">
        <v>2</v>
      </c>
      <c r="AD38" s="24">
        <v>0</v>
      </c>
      <c r="AE38" s="24">
        <v>0</v>
      </c>
      <c r="AF38" s="24">
        <v>0</v>
      </c>
      <c r="AG38" s="24">
        <v>1</v>
      </c>
      <c r="AH38" s="24">
        <v>0</v>
      </c>
      <c r="AI38" s="24">
        <v>0</v>
      </c>
      <c r="AJ38" s="24">
        <v>7</v>
      </c>
    </row>
    <row r="39" spans="1:36" s="8" customFormat="1" ht="15" customHeight="1" x14ac:dyDescent="0.35">
      <c r="A39" s="8" t="s">
        <v>46</v>
      </c>
      <c r="B39" s="24">
        <v>1</v>
      </c>
      <c r="C39" s="24">
        <v>0</v>
      </c>
      <c r="D39" s="24">
        <v>0</v>
      </c>
      <c r="E39" s="24">
        <v>0</v>
      </c>
      <c r="F39" s="24">
        <v>0</v>
      </c>
      <c r="G39" s="24">
        <v>0</v>
      </c>
      <c r="H39" s="24">
        <v>0</v>
      </c>
      <c r="I39" s="24">
        <v>0</v>
      </c>
      <c r="J39" s="24"/>
      <c r="K39" s="24">
        <v>18</v>
      </c>
      <c r="L39" s="24">
        <v>0</v>
      </c>
      <c r="M39" s="24">
        <v>0</v>
      </c>
      <c r="N39" s="24">
        <v>0</v>
      </c>
      <c r="O39" s="24">
        <v>0</v>
      </c>
      <c r="P39" s="24">
        <v>0</v>
      </c>
      <c r="Q39" s="24">
        <v>0</v>
      </c>
      <c r="R39" s="24">
        <v>0</v>
      </c>
      <c r="S39" s="24"/>
      <c r="T39" s="24">
        <v>1</v>
      </c>
      <c r="U39" s="24">
        <v>0</v>
      </c>
      <c r="V39" s="24">
        <v>0</v>
      </c>
      <c r="W39" s="24">
        <v>0</v>
      </c>
      <c r="X39" s="24">
        <v>0</v>
      </c>
      <c r="Y39" s="24">
        <v>0</v>
      </c>
      <c r="Z39" s="24">
        <v>0</v>
      </c>
      <c r="AA39" s="24">
        <v>0</v>
      </c>
      <c r="AB39" s="24"/>
      <c r="AC39" s="24">
        <v>1</v>
      </c>
      <c r="AD39" s="24">
        <v>0</v>
      </c>
      <c r="AE39" s="24">
        <v>0</v>
      </c>
      <c r="AF39" s="24">
        <v>0</v>
      </c>
      <c r="AG39" s="24">
        <v>0</v>
      </c>
      <c r="AH39" s="24">
        <v>0</v>
      </c>
      <c r="AI39" s="24">
        <v>0</v>
      </c>
      <c r="AJ39" s="24">
        <v>3</v>
      </c>
    </row>
    <row r="40" spans="1:36" s="8" customFormat="1" ht="15" customHeight="1" x14ac:dyDescent="0.35">
      <c r="A40" s="4" t="s">
        <v>47</v>
      </c>
      <c r="B40" s="24">
        <v>13</v>
      </c>
      <c r="C40" s="24">
        <v>0</v>
      </c>
      <c r="D40" s="24">
        <v>0</v>
      </c>
      <c r="E40" s="24">
        <v>0</v>
      </c>
      <c r="F40" s="24">
        <v>0</v>
      </c>
      <c r="G40" s="24">
        <v>0</v>
      </c>
      <c r="H40" s="24">
        <v>0</v>
      </c>
      <c r="I40" s="24">
        <v>0</v>
      </c>
      <c r="J40" s="24"/>
      <c r="K40" s="24">
        <v>32</v>
      </c>
      <c r="L40" s="24">
        <v>1</v>
      </c>
      <c r="M40" s="24">
        <v>0</v>
      </c>
      <c r="N40" s="24">
        <v>0</v>
      </c>
      <c r="O40" s="24">
        <v>0</v>
      </c>
      <c r="P40" s="24">
        <v>0</v>
      </c>
      <c r="Q40" s="24">
        <v>0</v>
      </c>
      <c r="R40" s="24">
        <v>3</v>
      </c>
      <c r="S40" s="24"/>
      <c r="T40" s="24">
        <v>1</v>
      </c>
      <c r="U40" s="24">
        <v>0</v>
      </c>
      <c r="V40" s="24">
        <v>0</v>
      </c>
      <c r="W40" s="24">
        <v>0</v>
      </c>
      <c r="X40" s="24">
        <v>0</v>
      </c>
      <c r="Y40" s="24">
        <v>0</v>
      </c>
      <c r="Z40" s="24">
        <v>0</v>
      </c>
      <c r="AA40" s="24">
        <v>0</v>
      </c>
      <c r="AB40" s="24"/>
      <c r="AC40" s="24">
        <v>10</v>
      </c>
      <c r="AD40" s="24">
        <v>0</v>
      </c>
      <c r="AE40" s="24">
        <v>0</v>
      </c>
      <c r="AF40" s="24">
        <v>0</v>
      </c>
      <c r="AG40" s="24">
        <v>2</v>
      </c>
      <c r="AH40" s="24">
        <v>0</v>
      </c>
      <c r="AI40" s="24">
        <v>0</v>
      </c>
      <c r="AJ40" s="24">
        <v>7</v>
      </c>
    </row>
    <row r="41" spans="1:36" s="8" customFormat="1" ht="15" customHeight="1" x14ac:dyDescent="0.35">
      <c r="A41" s="4" t="s">
        <v>48</v>
      </c>
      <c r="B41" s="24">
        <v>0</v>
      </c>
      <c r="C41" s="24">
        <v>0</v>
      </c>
      <c r="D41" s="24">
        <v>0</v>
      </c>
      <c r="E41" s="24">
        <v>0</v>
      </c>
      <c r="F41" s="24">
        <v>0</v>
      </c>
      <c r="G41" s="24">
        <v>0</v>
      </c>
      <c r="H41" s="24">
        <v>0</v>
      </c>
      <c r="I41" s="24">
        <v>0</v>
      </c>
      <c r="J41" s="24"/>
      <c r="K41" s="24">
        <v>64</v>
      </c>
      <c r="L41" s="24">
        <v>2</v>
      </c>
      <c r="M41" s="24">
        <v>0</v>
      </c>
      <c r="N41" s="24">
        <v>0</v>
      </c>
      <c r="O41" s="24">
        <v>0</v>
      </c>
      <c r="P41" s="24">
        <v>0</v>
      </c>
      <c r="Q41" s="24">
        <v>1</v>
      </c>
      <c r="R41" s="24">
        <v>7</v>
      </c>
      <c r="S41" s="24"/>
      <c r="T41" s="24">
        <v>0</v>
      </c>
      <c r="U41" s="24">
        <v>0</v>
      </c>
      <c r="V41" s="24">
        <v>0</v>
      </c>
      <c r="W41" s="24">
        <v>0</v>
      </c>
      <c r="X41" s="24">
        <v>0</v>
      </c>
      <c r="Y41" s="24">
        <v>0</v>
      </c>
      <c r="Z41" s="24">
        <v>0</v>
      </c>
      <c r="AA41" s="24">
        <v>0</v>
      </c>
      <c r="AB41" s="24"/>
      <c r="AC41" s="24">
        <v>4</v>
      </c>
      <c r="AD41" s="24">
        <v>0</v>
      </c>
      <c r="AE41" s="24">
        <v>0</v>
      </c>
      <c r="AF41" s="24">
        <v>0</v>
      </c>
      <c r="AG41" s="24">
        <v>0</v>
      </c>
      <c r="AH41" s="24">
        <v>0</v>
      </c>
      <c r="AI41" s="24">
        <v>0</v>
      </c>
      <c r="AJ41" s="24">
        <v>0</v>
      </c>
    </row>
    <row r="42" spans="1:36" s="8" customFormat="1" ht="15" customHeight="1" x14ac:dyDescent="0.35">
      <c r="A42" s="4" t="s">
        <v>49</v>
      </c>
      <c r="B42" s="24">
        <v>5</v>
      </c>
      <c r="C42" s="24">
        <v>0</v>
      </c>
      <c r="D42" s="24">
        <v>0</v>
      </c>
      <c r="E42" s="24">
        <v>0</v>
      </c>
      <c r="F42" s="24">
        <v>0</v>
      </c>
      <c r="G42" s="24">
        <v>0</v>
      </c>
      <c r="H42" s="24">
        <v>0</v>
      </c>
      <c r="I42" s="24">
        <v>0</v>
      </c>
      <c r="J42" s="24"/>
      <c r="K42" s="24">
        <v>11</v>
      </c>
      <c r="L42" s="24">
        <v>12</v>
      </c>
      <c r="M42" s="24">
        <v>0</v>
      </c>
      <c r="N42" s="24">
        <v>0</v>
      </c>
      <c r="O42" s="24">
        <v>0</v>
      </c>
      <c r="P42" s="24">
        <v>0</v>
      </c>
      <c r="Q42" s="24">
        <v>0</v>
      </c>
      <c r="R42" s="24">
        <v>3</v>
      </c>
      <c r="S42" s="24"/>
      <c r="T42" s="24">
        <v>0</v>
      </c>
      <c r="U42" s="24">
        <v>0</v>
      </c>
      <c r="V42" s="24">
        <v>0</v>
      </c>
      <c r="W42" s="24">
        <v>0</v>
      </c>
      <c r="X42" s="24">
        <v>0</v>
      </c>
      <c r="Y42" s="24">
        <v>0</v>
      </c>
      <c r="Z42" s="24">
        <v>0</v>
      </c>
      <c r="AA42" s="24">
        <v>1</v>
      </c>
      <c r="AB42" s="24"/>
      <c r="AC42" s="24">
        <v>6</v>
      </c>
      <c r="AD42" s="24">
        <v>1</v>
      </c>
      <c r="AE42" s="24">
        <v>0</v>
      </c>
      <c r="AF42" s="24">
        <v>0</v>
      </c>
      <c r="AG42" s="24">
        <v>0</v>
      </c>
      <c r="AH42" s="24">
        <v>1</v>
      </c>
      <c r="AI42" s="24">
        <v>0</v>
      </c>
      <c r="AJ42" s="24">
        <v>1</v>
      </c>
    </row>
    <row r="43" spans="1:36" s="8" customFormat="1" ht="15" customHeight="1" x14ac:dyDescent="0.35">
      <c r="A43" s="4" t="s">
        <v>50</v>
      </c>
      <c r="B43" s="24">
        <v>7</v>
      </c>
      <c r="C43" s="24">
        <v>1</v>
      </c>
      <c r="D43" s="24">
        <v>0</v>
      </c>
      <c r="E43" s="24">
        <v>0</v>
      </c>
      <c r="F43" s="24">
        <v>0</v>
      </c>
      <c r="G43" s="24">
        <v>0</v>
      </c>
      <c r="H43" s="24">
        <v>0</v>
      </c>
      <c r="I43" s="24">
        <v>0</v>
      </c>
      <c r="J43" s="24"/>
      <c r="K43" s="24">
        <v>16</v>
      </c>
      <c r="L43" s="24">
        <v>0</v>
      </c>
      <c r="M43" s="24">
        <v>0</v>
      </c>
      <c r="N43" s="24">
        <v>0</v>
      </c>
      <c r="O43" s="24">
        <v>0</v>
      </c>
      <c r="P43" s="24">
        <v>0</v>
      </c>
      <c r="Q43" s="24">
        <v>0</v>
      </c>
      <c r="R43" s="24">
        <v>0</v>
      </c>
      <c r="S43" s="24"/>
      <c r="T43" s="24">
        <v>0</v>
      </c>
      <c r="U43" s="24">
        <v>0</v>
      </c>
      <c r="V43" s="24">
        <v>0</v>
      </c>
      <c r="W43" s="24">
        <v>0</v>
      </c>
      <c r="X43" s="24">
        <v>0</v>
      </c>
      <c r="Y43" s="24">
        <v>0</v>
      </c>
      <c r="Z43" s="24">
        <v>0</v>
      </c>
      <c r="AA43" s="24">
        <v>0</v>
      </c>
      <c r="AB43" s="24"/>
      <c r="AC43" s="24">
        <v>9</v>
      </c>
      <c r="AD43" s="24">
        <v>1</v>
      </c>
      <c r="AE43" s="24">
        <v>0</v>
      </c>
      <c r="AF43" s="24">
        <v>0</v>
      </c>
      <c r="AG43" s="24">
        <v>0</v>
      </c>
      <c r="AH43" s="24">
        <v>0</v>
      </c>
      <c r="AI43" s="24">
        <v>0</v>
      </c>
      <c r="AJ43" s="24">
        <v>0</v>
      </c>
    </row>
    <row r="44" spans="1:36" s="8" customFormat="1" ht="15" customHeight="1" x14ac:dyDescent="0.35">
      <c r="A44" s="4" t="s">
        <v>51</v>
      </c>
      <c r="B44" s="24">
        <v>1</v>
      </c>
      <c r="C44" s="24">
        <v>0</v>
      </c>
      <c r="D44" s="24">
        <v>0</v>
      </c>
      <c r="E44" s="24">
        <v>0</v>
      </c>
      <c r="F44" s="24">
        <v>0</v>
      </c>
      <c r="G44" s="24">
        <v>0</v>
      </c>
      <c r="H44" s="24">
        <v>0</v>
      </c>
      <c r="I44" s="24">
        <v>1</v>
      </c>
      <c r="J44" s="24"/>
      <c r="K44" s="24">
        <v>2</v>
      </c>
      <c r="L44" s="24">
        <v>0</v>
      </c>
      <c r="M44" s="24">
        <v>0</v>
      </c>
      <c r="N44" s="24">
        <v>0</v>
      </c>
      <c r="O44" s="24">
        <v>0</v>
      </c>
      <c r="P44" s="24">
        <v>0</v>
      </c>
      <c r="Q44" s="24">
        <v>0</v>
      </c>
      <c r="R44" s="24">
        <v>47</v>
      </c>
      <c r="S44" s="24"/>
      <c r="T44" s="24">
        <v>0</v>
      </c>
      <c r="U44" s="24">
        <v>0</v>
      </c>
      <c r="V44" s="24">
        <v>0</v>
      </c>
      <c r="W44" s="24">
        <v>0</v>
      </c>
      <c r="X44" s="24">
        <v>0</v>
      </c>
      <c r="Y44" s="24">
        <v>0</v>
      </c>
      <c r="Z44" s="24">
        <v>0</v>
      </c>
      <c r="AA44" s="24">
        <v>0</v>
      </c>
      <c r="AB44" s="24"/>
      <c r="AC44" s="24">
        <v>5</v>
      </c>
      <c r="AD44" s="24">
        <v>0</v>
      </c>
      <c r="AE44" s="24">
        <v>0</v>
      </c>
      <c r="AF44" s="24">
        <v>0</v>
      </c>
      <c r="AG44" s="24">
        <v>0</v>
      </c>
      <c r="AH44" s="24">
        <v>0</v>
      </c>
      <c r="AI44" s="24">
        <v>0</v>
      </c>
      <c r="AJ44" s="24">
        <v>1</v>
      </c>
    </row>
    <row r="45" spans="1:36" s="8" customFormat="1" ht="15" customHeight="1" x14ac:dyDescent="0.35">
      <c r="A45" s="4" t="s">
        <v>52</v>
      </c>
      <c r="B45" s="24">
        <v>5</v>
      </c>
      <c r="C45" s="24">
        <v>0</v>
      </c>
      <c r="D45" s="24">
        <v>0</v>
      </c>
      <c r="E45" s="24">
        <v>0</v>
      </c>
      <c r="F45" s="24">
        <v>0</v>
      </c>
      <c r="G45" s="24">
        <v>0</v>
      </c>
      <c r="H45" s="24">
        <v>0</v>
      </c>
      <c r="I45" s="24">
        <v>3</v>
      </c>
      <c r="J45" s="24"/>
      <c r="K45" s="24">
        <v>5</v>
      </c>
      <c r="L45" s="24">
        <v>0</v>
      </c>
      <c r="M45" s="24">
        <v>0</v>
      </c>
      <c r="N45" s="24">
        <v>0</v>
      </c>
      <c r="O45" s="24">
        <v>0</v>
      </c>
      <c r="P45" s="24">
        <v>0</v>
      </c>
      <c r="Q45" s="24">
        <v>0</v>
      </c>
      <c r="R45" s="24">
        <v>4</v>
      </c>
      <c r="S45" s="24"/>
      <c r="T45" s="24">
        <v>1</v>
      </c>
      <c r="U45" s="24">
        <v>0</v>
      </c>
      <c r="V45" s="24">
        <v>0</v>
      </c>
      <c r="W45" s="24">
        <v>0</v>
      </c>
      <c r="X45" s="24">
        <v>0</v>
      </c>
      <c r="Y45" s="24">
        <v>0</v>
      </c>
      <c r="Z45" s="24">
        <v>0</v>
      </c>
      <c r="AA45" s="24">
        <v>2</v>
      </c>
      <c r="AB45" s="24"/>
      <c r="AC45" s="24">
        <v>1</v>
      </c>
      <c r="AD45" s="24">
        <v>0</v>
      </c>
      <c r="AE45" s="24">
        <v>0</v>
      </c>
      <c r="AF45" s="24">
        <v>0</v>
      </c>
      <c r="AG45" s="24">
        <v>0</v>
      </c>
      <c r="AH45" s="24">
        <v>0</v>
      </c>
      <c r="AI45" s="24">
        <v>0</v>
      </c>
      <c r="AJ45" s="24">
        <v>0</v>
      </c>
    </row>
    <row r="46" spans="1:36" s="8" customFormat="1" ht="15" customHeight="1" x14ac:dyDescent="0.35">
      <c r="A46" s="4" t="s">
        <v>53</v>
      </c>
      <c r="B46" s="24">
        <v>7</v>
      </c>
      <c r="C46" s="24">
        <v>0</v>
      </c>
      <c r="D46" s="24">
        <v>0</v>
      </c>
      <c r="E46" s="24">
        <v>0</v>
      </c>
      <c r="F46" s="24">
        <v>0</v>
      </c>
      <c r="G46" s="24">
        <v>0</v>
      </c>
      <c r="H46" s="24">
        <v>0</v>
      </c>
      <c r="I46" s="24">
        <v>24</v>
      </c>
      <c r="J46" s="24"/>
      <c r="K46" s="24">
        <v>12</v>
      </c>
      <c r="L46" s="24">
        <v>0</v>
      </c>
      <c r="M46" s="24">
        <v>0</v>
      </c>
      <c r="N46" s="24">
        <v>0</v>
      </c>
      <c r="O46" s="24">
        <v>0</v>
      </c>
      <c r="P46" s="24">
        <v>0</v>
      </c>
      <c r="Q46" s="24">
        <v>0</v>
      </c>
      <c r="R46" s="24">
        <v>8</v>
      </c>
      <c r="S46" s="24"/>
      <c r="T46" s="24">
        <v>3</v>
      </c>
      <c r="U46" s="24">
        <v>0</v>
      </c>
      <c r="V46" s="24">
        <v>0</v>
      </c>
      <c r="W46" s="24">
        <v>0</v>
      </c>
      <c r="X46" s="24">
        <v>0</v>
      </c>
      <c r="Y46" s="24">
        <v>0</v>
      </c>
      <c r="Z46" s="24">
        <v>0</v>
      </c>
      <c r="AA46" s="24">
        <v>0</v>
      </c>
      <c r="AB46" s="24"/>
      <c r="AC46" s="24">
        <v>12</v>
      </c>
      <c r="AD46" s="24">
        <v>0</v>
      </c>
      <c r="AE46" s="24">
        <v>0</v>
      </c>
      <c r="AF46" s="24">
        <v>1</v>
      </c>
      <c r="AG46" s="24">
        <v>0</v>
      </c>
      <c r="AH46" s="24">
        <v>0</v>
      </c>
      <c r="AI46" s="24">
        <v>0</v>
      </c>
      <c r="AJ46" s="24">
        <v>7</v>
      </c>
    </row>
    <row r="47" spans="1:36" s="8" customFormat="1" ht="15" customHeight="1" x14ac:dyDescent="0.35">
      <c r="A47" s="4" t="s">
        <v>54</v>
      </c>
      <c r="B47" s="24">
        <v>12</v>
      </c>
      <c r="C47" s="24">
        <v>0</v>
      </c>
      <c r="D47" s="24">
        <v>0</v>
      </c>
      <c r="E47" s="24">
        <v>0</v>
      </c>
      <c r="F47" s="24">
        <v>0</v>
      </c>
      <c r="G47" s="24">
        <v>0</v>
      </c>
      <c r="H47" s="24">
        <v>0</v>
      </c>
      <c r="I47" s="24">
        <v>12</v>
      </c>
      <c r="J47" s="24"/>
      <c r="K47" s="24">
        <v>37</v>
      </c>
      <c r="L47" s="24">
        <v>0</v>
      </c>
      <c r="M47" s="24">
        <v>1</v>
      </c>
      <c r="N47" s="24">
        <v>0</v>
      </c>
      <c r="O47" s="24">
        <v>0</v>
      </c>
      <c r="P47" s="24">
        <v>0</v>
      </c>
      <c r="Q47" s="24">
        <v>0</v>
      </c>
      <c r="R47" s="24">
        <v>9</v>
      </c>
      <c r="S47" s="24"/>
      <c r="T47" s="24">
        <v>0</v>
      </c>
      <c r="U47" s="24">
        <v>0</v>
      </c>
      <c r="V47" s="24">
        <v>0</v>
      </c>
      <c r="W47" s="24">
        <v>0</v>
      </c>
      <c r="X47" s="24">
        <v>0</v>
      </c>
      <c r="Y47" s="24">
        <v>0</v>
      </c>
      <c r="Z47" s="24">
        <v>0</v>
      </c>
      <c r="AA47" s="24">
        <v>0</v>
      </c>
      <c r="AB47" s="24"/>
      <c r="AC47" s="24">
        <v>10</v>
      </c>
      <c r="AD47" s="24">
        <v>0</v>
      </c>
      <c r="AE47" s="24">
        <v>0</v>
      </c>
      <c r="AF47" s="24">
        <v>0</v>
      </c>
      <c r="AG47" s="24">
        <v>0</v>
      </c>
      <c r="AH47" s="24">
        <v>0</v>
      </c>
      <c r="AI47" s="24">
        <v>0</v>
      </c>
      <c r="AJ47" s="24">
        <v>0</v>
      </c>
    </row>
    <row r="48" spans="1:36" s="8" customFormat="1" ht="15" customHeight="1" x14ac:dyDescent="0.35">
      <c r="A48" s="4" t="s">
        <v>55</v>
      </c>
      <c r="B48" s="24">
        <v>0</v>
      </c>
      <c r="C48" s="24">
        <v>0</v>
      </c>
      <c r="D48" s="24">
        <v>0</v>
      </c>
      <c r="E48" s="24">
        <v>0</v>
      </c>
      <c r="F48" s="24">
        <v>0</v>
      </c>
      <c r="G48" s="24">
        <v>0</v>
      </c>
      <c r="H48" s="24">
        <v>0</v>
      </c>
      <c r="I48" s="24">
        <v>0</v>
      </c>
      <c r="J48" s="24"/>
      <c r="K48" s="24">
        <v>0</v>
      </c>
      <c r="L48" s="24">
        <v>0</v>
      </c>
      <c r="M48" s="24">
        <v>0</v>
      </c>
      <c r="N48" s="24">
        <v>0</v>
      </c>
      <c r="O48" s="24">
        <v>0</v>
      </c>
      <c r="P48" s="24">
        <v>0</v>
      </c>
      <c r="Q48" s="24">
        <v>0</v>
      </c>
      <c r="R48" s="24">
        <v>2</v>
      </c>
      <c r="S48" s="24"/>
      <c r="T48" s="24">
        <v>0</v>
      </c>
      <c r="U48" s="24">
        <v>0</v>
      </c>
      <c r="V48" s="24">
        <v>0</v>
      </c>
      <c r="W48" s="24">
        <v>0</v>
      </c>
      <c r="X48" s="24">
        <v>0</v>
      </c>
      <c r="Y48" s="24">
        <v>0</v>
      </c>
      <c r="Z48" s="24">
        <v>0</v>
      </c>
      <c r="AA48" s="24">
        <v>0</v>
      </c>
      <c r="AB48" s="24"/>
      <c r="AC48" s="24">
        <v>0</v>
      </c>
      <c r="AD48" s="24">
        <v>0</v>
      </c>
      <c r="AE48" s="24">
        <v>0</v>
      </c>
      <c r="AF48" s="24">
        <v>0</v>
      </c>
      <c r="AG48" s="24">
        <v>0</v>
      </c>
      <c r="AH48" s="24">
        <v>0</v>
      </c>
      <c r="AI48" s="24">
        <v>0</v>
      </c>
      <c r="AJ48" s="24">
        <v>0</v>
      </c>
    </row>
    <row r="49" spans="1:36" s="8" customFormat="1" ht="15" customHeight="1" x14ac:dyDescent="0.35">
      <c r="A49" s="43" t="s">
        <v>56</v>
      </c>
      <c r="B49" s="22">
        <f>SUM(B50:B56)</f>
        <v>317</v>
      </c>
      <c r="C49" s="22">
        <f t="shared" ref="C49:I49" si="44">SUM(C50:C56)</f>
        <v>11</v>
      </c>
      <c r="D49" s="22">
        <f t="shared" si="44"/>
        <v>37</v>
      </c>
      <c r="E49" s="22">
        <f t="shared" si="44"/>
        <v>12</v>
      </c>
      <c r="F49" s="22">
        <f t="shared" si="44"/>
        <v>17</v>
      </c>
      <c r="G49" s="22">
        <f t="shared" si="44"/>
        <v>0</v>
      </c>
      <c r="H49" s="22">
        <f t="shared" si="44"/>
        <v>5</v>
      </c>
      <c r="I49" s="22">
        <f t="shared" si="44"/>
        <v>41</v>
      </c>
      <c r="J49" s="22"/>
      <c r="K49" s="22">
        <f>SUM(K50:K56)</f>
        <v>53</v>
      </c>
      <c r="L49" s="22">
        <f t="shared" ref="L49" si="45">SUM(L50:L56)</f>
        <v>0</v>
      </c>
      <c r="M49" s="22">
        <f t="shared" ref="M49" si="46">SUM(M50:M56)</f>
        <v>1</v>
      </c>
      <c r="N49" s="22">
        <f t="shared" ref="N49" si="47">SUM(N50:N56)</f>
        <v>0</v>
      </c>
      <c r="O49" s="22">
        <f t="shared" ref="O49" si="48">SUM(O50:O56)</f>
        <v>0</v>
      </c>
      <c r="P49" s="22">
        <f t="shared" ref="P49" si="49">SUM(P50:P56)</f>
        <v>0</v>
      </c>
      <c r="Q49" s="22">
        <f t="shared" ref="Q49" si="50">SUM(Q50:Q56)</f>
        <v>0</v>
      </c>
      <c r="R49" s="22">
        <f t="shared" ref="R49" si="51">SUM(R50:R56)</f>
        <v>1</v>
      </c>
      <c r="S49" s="22"/>
      <c r="T49" s="22">
        <f t="shared" ref="T49:AA49" si="52">SUM(T50:T56)</f>
        <v>28</v>
      </c>
      <c r="U49" s="22">
        <f t="shared" si="52"/>
        <v>1</v>
      </c>
      <c r="V49" s="22">
        <f t="shared" si="52"/>
        <v>2</v>
      </c>
      <c r="W49" s="22">
        <f t="shared" si="52"/>
        <v>1</v>
      </c>
      <c r="X49" s="22">
        <f t="shared" si="52"/>
        <v>1</v>
      </c>
      <c r="Y49" s="22">
        <f t="shared" si="52"/>
        <v>0</v>
      </c>
      <c r="Z49" s="22">
        <f t="shared" si="52"/>
        <v>0</v>
      </c>
      <c r="AA49" s="22">
        <f t="shared" si="52"/>
        <v>0</v>
      </c>
      <c r="AB49" s="22"/>
      <c r="AC49" s="22">
        <f t="shared" ref="AC49:AJ49" si="53">SUM(AC50:AC56)</f>
        <v>204</v>
      </c>
      <c r="AD49" s="22">
        <f t="shared" si="53"/>
        <v>6</v>
      </c>
      <c r="AE49" s="22">
        <f t="shared" si="53"/>
        <v>4</v>
      </c>
      <c r="AF49" s="22">
        <f t="shared" si="53"/>
        <v>16</v>
      </c>
      <c r="AG49" s="22">
        <f t="shared" si="53"/>
        <v>20</v>
      </c>
      <c r="AH49" s="22">
        <f t="shared" si="53"/>
        <v>2</v>
      </c>
      <c r="AI49" s="22">
        <f t="shared" si="53"/>
        <v>8</v>
      </c>
      <c r="AJ49" s="22">
        <f t="shared" si="53"/>
        <v>42</v>
      </c>
    </row>
    <row r="50" spans="1:36" s="8" customFormat="1" ht="15" customHeight="1" x14ac:dyDescent="0.35">
      <c r="A50" s="4" t="s">
        <v>57</v>
      </c>
      <c r="B50" s="24">
        <v>15</v>
      </c>
      <c r="C50" s="24">
        <v>1</v>
      </c>
      <c r="D50" s="24">
        <v>7</v>
      </c>
      <c r="E50" s="24">
        <v>2</v>
      </c>
      <c r="F50" s="24">
        <v>1</v>
      </c>
      <c r="G50" s="24">
        <v>0</v>
      </c>
      <c r="H50" s="24">
        <v>1</v>
      </c>
      <c r="I50" s="24">
        <v>28</v>
      </c>
      <c r="J50" s="24"/>
      <c r="K50" s="24">
        <v>0</v>
      </c>
      <c r="L50" s="24">
        <v>0</v>
      </c>
      <c r="M50" s="24">
        <v>0</v>
      </c>
      <c r="N50" s="24">
        <v>0</v>
      </c>
      <c r="O50" s="24">
        <v>0</v>
      </c>
      <c r="P50" s="24">
        <v>0</v>
      </c>
      <c r="Q50" s="24">
        <v>0</v>
      </c>
      <c r="R50" s="24">
        <v>0</v>
      </c>
      <c r="S50" s="24"/>
      <c r="T50" s="24">
        <v>0</v>
      </c>
      <c r="U50" s="24">
        <v>0</v>
      </c>
      <c r="V50" s="24">
        <v>0</v>
      </c>
      <c r="W50" s="24">
        <v>0</v>
      </c>
      <c r="X50" s="24">
        <v>0</v>
      </c>
      <c r="Y50" s="24">
        <v>0</v>
      </c>
      <c r="Z50" s="24">
        <v>0</v>
      </c>
      <c r="AA50" s="24">
        <v>0</v>
      </c>
      <c r="AB50" s="24"/>
      <c r="AC50" s="24">
        <v>50</v>
      </c>
      <c r="AD50" s="24">
        <v>1</v>
      </c>
      <c r="AE50" s="24">
        <v>1</v>
      </c>
      <c r="AF50" s="24">
        <v>1</v>
      </c>
      <c r="AG50" s="24">
        <v>2</v>
      </c>
      <c r="AH50" s="24">
        <v>1</v>
      </c>
      <c r="AI50" s="24">
        <v>0</v>
      </c>
      <c r="AJ50" s="24">
        <v>24</v>
      </c>
    </row>
    <row r="51" spans="1:36" s="8" customFormat="1" ht="15" customHeight="1" x14ac:dyDescent="0.35">
      <c r="A51" s="4" t="s">
        <v>58</v>
      </c>
      <c r="B51" s="24">
        <v>26</v>
      </c>
      <c r="C51" s="24">
        <v>0</v>
      </c>
      <c r="D51" s="24">
        <v>5</v>
      </c>
      <c r="E51" s="24">
        <v>0</v>
      </c>
      <c r="F51" s="24">
        <v>0</v>
      </c>
      <c r="G51" s="24">
        <v>0</v>
      </c>
      <c r="H51" s="24">
        <v>0</v>
      </c>
      <c r="I51" s="24">
        <v>1</v>
      </c>
      <c r="J51" s="24"/>
      <c r="K51" s="24">
        <v>14</v>
      </c>
      <c r="L51" s="24">
        <v>0</v>
      </c>
      <c r="M51" s="24">
        <v>1</v>
      </c>
      <c r="N51" s="24">
        <v>0</v>
      </c>
      <c r="O51" s="24">
        <v>0</v>
      </c>
      <c r="P51" s="24">
        <v>0</v>
      </c>
      <c r="Q51" s="24">
        <v>0</v>
      </c>
      <c r="R51" s="24">
        <v>1</v>
      </c>
      <c r="S51" s="24"/>
      <c r="T51" s="24">
        <v>7</v>
      </c>
      <c r="U51" s="24">
        <v>0</v>
      </c>
      <c r="V51" s="24">
        <v>0</v>
      </c>
      <c r="W51" s="24">
        <v>0</v>
      </c>
      <c r="X51" s="24">
        <v>0</v>
      </c>
      <c r="Y51" s="24">
        <v>0</v>
      </c>
      <c r="Z51" s="24">
        <v>0</v>
      </c>
      <c r="AA51" s="24">
        <v>0</v>
      </c>
      <c r="AB51" s="24"/>
      <c r="AC51" s="24">
        <v>16</v>
      </c>
      <c r="AD51" s="24">
        <v>0</v>
      </c>
      <c r="AE51" s="24">
        <v>0</v>
      </c>
      <c r="AF51" s="24">
        <v>0</v>
      </c>
      <c r="AG51" s="24">
        <v>0</v>
      </c>
      <c r="AH51" s="24">
        <v>0</v>
      </c>
      <c r="AI51" s="24">
        <v>0</v>
      </c>
      <c r="AJ51" s="24">
        <v>1</v>
      </c>
    </row>
    <row r="52" spans="1:36" s="8" customFormat="1" ht="15" customHeight="1" x14ac:dyDescent="0.35">
      <c r="A52" s="4" t="s">
        <v>59</v>
      </c>
      <c r="B52" s="24">
        <v>27</v>
      </c>
      <c r="C52" s="24">
        <v>0</v>
      </c>
      <c r="D52" s="24">
        <v>4</v>
      </c>
      <c r="E52" s="24">
        <v>0</v>
      </c>
      <c r="F52" s="24">
        <v>0</v>
      </c>
      <c r="G52" s="24">
        <v>0</v>
      </c>
      <c r="H52" s="24">
        <v>0</v>
      </c>
      <c r="I52" s="24">
        <v>1</v>
      </c>
      <c r="J52" s="24"/>
      <c r="K52" s="24">
        <v>26</v>
      </c>
      <c r="L52" s="24">
        <v>0</v>
      </c>
      <c r="M52" s="24">
        <v>0</v>
      </c>
      <c r="N52" s="24">
        <v>0</v>
      </c>
      <c r="O52" s="24">
        <v>0</v>
      </c>
      <c r="P52" s="24">
        <v>0</v>
      </c>
      <c r="Q52" s="24">
        <v>0</v>
      </c>
      <c r="R52" s="24">
        <v>0</v>
      </c>
      <c r="S52" s="24"/>
      <c r="T52" s="24">
        <v>3</v>
      </c>
      <c r="U52" s="24">
        <v>0</v>
      </c>
      <c r="V52" s="24">
        <v>0</v>
      </c>
      <c r="W52" s="24">
        <v>0</v>
      </c>
      <c r="X52" s="24">
        <v>0</v>
      </c>
      <c r="Y52" s="24">
        <v>0</v>
      </c>
      <c r="Z52" s="24">
        <v>0</v>
      </c>
      <c r="AA52" s="24">
        <v>0</v>
      </c>
      <c r="AB52" s="24"/>
      <c r="AC52" s="24">
        <v>34</v>
      </c>
      <c r="AD52" s="24">
        <v>1</v>
      </c>
      <c r="AE52" s="24">
        <v>0</v>
      </c>
      <c r="AF52" s="24">
        <v>2</v>
      </c>
      <c r="AG52" s="24">
        <v>0</v>
      </c>
      <c r="AH52" s="24">
        <v>0</v>
      </c>
      <c r="AI52" s="24">
        <v>0</v>
      </c>
      <c r="AJ52" s="24">
        <v>0</v>
      </c>
    </row>
    <row r="53" spans="1:36" s="8" customFormat="1" ht="15" customHeight="1" x14ac:dyDescent="0.35">
      <c r="A53" s="2" t="s">
        <v>60</v>
      </c>
      <c r="B53" s="24">
        <v>6</v>
      </c>
      <c r="C53" s="24">
        <v>0</v>
      </c>
      <c r="D53" s="24">
        <v>0</v>
      </c>
      <c r="E53" s="24">
        <v>0</v>
      </c>
      <c r="F53" s="24">
        <v>0</v>
      </c>
      <c r="G53" s="24">
        <v>0</v>
      </c>
      <c r="H53" s="24">
        <v>0</v>
      </c>
      <c r="I53" s="24">
        <v>0</v>
      </c>
      <c r="J53" s="24"/>
      <c r="K53" s="24">
        <v>6</v>
      </c>
      <c r="L53" s="24">
        <v>0</v>
      </c>
      <c r="M53" s="24">
        <v>0</v>
      </c>
      <c r="N53" s="24">
        <v>0</v>
      </c>
      <c r="O53" s="24">
        <v>0</v>
      </c>
      <c r="P53" s="24">
        <v>0</v>
      </c>
      <c r="Q53" s="24">
        <v>0</v>
      </c>
      <c r="R53" s="24">
        <v>0</v>
      </c>
      <c r="S53" s="24"/>
      <c r="T53" s="24">
        <v>1</v>
      </c>
      <c r="U53" s="24">
        <v>0</v>
      </c>
      <c r="V53" s="24">
        <v>0</v>
      </c>
      <c r="W53" s="24">
        <v>0</v>
      </c>
      <c r="X53" s="24">
        <v>0</v>
      </c>
      <c r="Y53" s="24">
        <v>0</v>
      </c>
      <c r="Z53" s="24">
        <v>0</v>
      </c>
      <c r="AA53" s="24">
        <v>0</v>
      </c>
      <c r="AB53" s="24"/>
      <c r="AC53" s="24">
        <v>20</v>
      </c>
      <c r="AD53" s="24">
        <v>0</v>
      </c>
      <c r="AE53" s="24">
        <v>0</v>
      </c>
      <c r="AF53" s="24">
        <v>1</v>
      </c>
      <c r="AG53" s="24">
        <v>0</v>
      </c>
      <c r="AH53" s="24">
        <v>0</v>
      </c>
      <c r="AI53" s="24">
        <v>0</v>
      </c>
      <c r="AJ53" s="24">
        <v>4</v>
      </c>
    </row>
    <row r="54" spans="1:36" s="8" customFormat="1" ht="15" customHeight="1" x14ac:dyDescent="0.35">
      <c r="A54" s="2" t="s">
        <v>61</v>
      </c>
      <c r="B54" s="24">
        <v>51</v>
      </c>
      <c r="C54" s="24">
        <v>2</v>
      </c>
      <c r="D54" s="24">
        <v>12</v>
      </c>
      <c r="E54" s="24">
        <v>3</v>
      </c>
      <c r="F54" s="24">
        <v>4</v>
      </c>
      <c r="G54" s="24">
        <v>0</v>
      </c>
      <c r="H54" s="24">
        <v>0</v>
      </c>
      <c r="I54" s="24">
        <v>1</v>
      </c>
      <c r="J54" s="24"/>
      <c r="K54" s="24">
        <v>0</v>
      </c>
      <c r="L54" s="24">
        <v>0</v>
      </c>
      <c r="M54" s="24">
        <v>0</v>
      </c>
      <c r="N54" s="24">
        <v>0</v>
      </c>
      <c r="O54" s="24">
        <v>0</v>
      </c>
      <c r="P54" s="24">
        <v>0</v>
      </c>
      <c r="Q54" s="24">
        <v>0</v>
      </c>
      <c r="R54" s="24">
        <v>0</v>
      </c>
      <c r="S54" s="24"/>
      <c r="T54" s="24">
        <v>1</v>
      </c>
      <c r="U54" s="24">
        <v>1</v>
      </c>
      <c r="V54" s="24">
        <v>0</v>
      </c>
      <c r="W54" s="24">
        <v>0</v>
      </c>
      <c r="X54" s="24">
        <v>0</v>
      </c>
      <c r="Y54" s="24">
        <v>0</v>
      </c>
      <c r="Z54" s="24">
        <v>0</v>
      </c>
      <c r="AA54" s="24">
        <v>0</v>
      </c>
      <c r="AB54" s="24"/>
      <c r="AC54" s="24">
        <v>10</v>
      </c>
      <c r="AD54" s="24">
        <v>0</v>
      </c>
      <c r="AE54" s="24">
        <v>0</v>
      </c>
      <c r="AF54" s="24">
        <v>1</v>
      </c>
      <c r="AG54" s="24">
        <v>0</v>
      </c>
      <c r="AH54" s="24">
        <v>0</v>
      </c>
      <c r="AI54" s="24">
        <v>0</v>
      </c>
      <c r="AJ54" s="24">
        <v>8</v>
      </c>
    </row>
    <row r="55" spans="1:36" s="8" customFormat="1" ht="15" customHeight="1" x14ac:dyDescent="0.35">
      <c r="A55" s="2" t="s">
        <v>62</v>
      </c>
      <c r="B55" s="24">
        <v>28</v>
      </c>
      <c r="C55" s="24">
        <v>1</v>
      </c>
      <c r="D55" s="24">
        <v>0</v>
      </c>
      <c r="E55" s="24">
        <v>0</v>
      </c>
      <c r="F55" s="24">
        <v>1</v>
      </c>
      <c r="G55" s="24">
        <v>0</v>
      </c>
      <c r="H55" s="24">
        <v>0</v>
      </c>
      <c r="I55" s="24">
        <v>6</v>
      </c>
      <c r="J55" s="24"/>
      <c r="K55" s="24">
        <v>7</v>
      </c>
      <c r="L55" s="24">
        <v>0</v>
      </c>
      <c r="M55" s="24">
        <v>0</v>
      </c>
      <c r="N55" s="24">
        <v>0</v>
      </c>
      <c r="O55" s="24">
        <v>0</v>
      </c>
      <c r="P55" s="24">
        <v>0</v>
      </c>
      <c r="Q55" s="24">
        <v>0</v>
      </c>
      <c r="R55" s="24">
        <v>0</v>
      </c>
      <c r="S55" s="24"/>
      <c r="T55" s="24">
        <v>0</v>
      </c>
      <c r="U55" s="24">
        <v>0</v>
      </c>
      <c r="V55" s="24">
        <v>0</v>
      </c>
      <c r="W55" s="24">
        <v>0</v>
      </c>
      <c r="X55" s="24">
        <v>0</v>
      </c>
      <c r="Y55" s="24">
        <v>0</v>
      </c>
      <c r="Z55" s="24">
        <v>0</v>
      </c>
      <c r="AA55" s="24">
        <v>0</v>
      </c>
      <c r="AB55" s="24"/>
      <c r="AC55" s="24">
        <v>36</v>
      </c>
      <c r="AD55" s="24">
        <v>1</v>
      </c>
      <c r="AE55" s="24">
        <v>1</v>
      </c>
      <c r="AF55" s="24">
        <v>6</v>
      </c>
      <c r="AG55" s="24">
        <v>1</v>
      </c>
      <c r="AH55" s="24">
        <v>0</v>
      </c>
      <c r="AI55" s="24">
        <v>3</v>
      </c>
      <c r="AJ55" s="24">
        <v>2</v>
      </c>
    </row>
    <row r="56" spans="1:36" s="8" customFormat="1" ht="15" customHeight="1" thickBot="1" x14ac:dyDescent="0.4">
      <c r="A56" s="27" t="s">
        <v>63</v>
      </c>
      <c r="B56" s="24">
        <v>164</v>
      </c>
      <c r="C56" s="24">
        <v>7</v>
      </c>
      <c r="D56" s="24">
        <v>9</v>
      </c>
      <c r="E56" s="24">
        <v>7</v>
      </c>
      <c r="F56" s="24">
        <v>11</v>
      </c>
      <c r="G56" s="24">
        <v>0</v>
      </c>
      <c r="H56" s="24">
        <v>4</v>
      </c>
      <c r="I56" s="24">
        <v>4</v>
      </c>
      <c r="J56" s="28"/>
      <c r="K56" s="24">
        <v>0</v>
      </c>
      <c r="L56" s="24">
        <v>0</v>
      </c>
      <c r="M56" s="24">
        <v>0</v>
      </c>
      <c r="N56" s="24">
        <v>0</v>
      </c>
      <c r="O56" s="24">
        <v>0</v>
      </c>
      <c r="P56" s="24">
        <v>0</v>
      </c>
      <c r="Q56" s="24">
        <v>0</v>
      </c>
      <c r="R56" s="24">
        <v>0</v>
      </c>
      <c r="S56" s="28"/>
      <c r="T56" s="24">
        <v>16</v>
      </c>
      <c r="U56" s="24">
        <v>0</v>
      </c>
      <c r="V56" s="24">
        <v>2</v>
      </c>
      <c r="W56" s="24">
        <v>1</v>
      </c>
      <c r="X56" s="24">
        <v>1</v>
      </c>
      <c r="Y56" s="24">
        <v>0</v>
      </c>
      <c r="Z56" s="24">
        <v>0</v>
      </c>
      <c r="AA56" s="24">
        <v>0</v>
      </c>
      <c r="AB56" s="28"/>
      <c r="AC56" s="24">
        <v>38</v>
      </c>
      <c r="AD56" s="24">
        <v>3</v>
      </c>
      <c r="AE56" s="24">
        <v>2</v>
      </c>
      <c r="AF56" s="24">
        <v>5</v>
      </c>
      <c r="AG56" s="24">
        <v>17</v>
      </c>
      <c r="AH56" s="24">
        <v>1</v>
      </c>
      <c r="AI56" s="24">
        <v>5</v>
      </c>
      <c r="AJ56" s="24">
        <v>3</v>
      </c>
    </row>
    <row r="57" spans="1:36" s="8" customFormat="1" ht="15" customHeigh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sheetData>
  <mergeCells count="5">
    <mergeCell ref="K6:R6"/>
    <mergeCell ref="T6:AA6"/>
    <mergeCell ref="A1:AN1"/>
    <mergeCell ref="B6:I6"/>
    <mergeCell ref="AC6:AJ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08E4-2F09-4A8E-8F04-896469633B2E}">
  <dimension ref="A1:AJ56"/>
  <sheetViews>
    <sheetView workbookViewId="0">
      <pane xSplit="1" ySplit="7" topLeftCell="M8" activePane="bottomRight" state="frozen"/>
      <selection activeCell="A4" sqref="A4:L4"/>
      <selection pane="topRight" activeCell="A4" sqref="A4:L4"/>
      <selection pane="bottomLeft" activeCell="A4" sqref="A4:L4"/>
      <selection pane="bottomRight" activeCell="A4" sqref="A4:L4"/>
    </sheetView>
  </sheetViews>
  <sheetFormatPr defaultColWidth="9.1796875" defaultRowHeight="14.5" x14ac:dyDescent="0.35"/>
  <cols>
    <col min="1" max="1" width="41.54296875" style="8" bestFit="1" customWidth="1"/>
    <col min="2" max="16384" width="9.1796875" style="8"/>
  </cols>
  <sheetData>
    <row r="1" spans="1:36" customFormat="1" ht="17" x14ac:dyDescent="0.5">
      <c r="A1" s="114" t="s">
        <v>179</v>
      </c>
      <c r="B1" s="114"/>
      <c r="C1" s="114"/>
      <c r="D1" s="114"/>
      <c r="E1" s="114"/>
      <c r="F1" s="114"/>
      <c r="G1" s="114"/>
      <c r="H1" s="114"/>
      <c r="I1" s="114"/>
      <c r="J1" s="114"/>
      <c r="K1" s="114"/>
      <c r="L1" s="114"/>
      <c r="M1" s="114"/>
      <c r="N1" s="114"/>
      <c r="O1" s="114"/>
    </row>
    <row r="6" spans="1:36" x14ac:dyDescent="0.35">
      <c r="B6" s="115" t="s">
        <v>91</v>
      </c>
      <c r="C6" s="115"/>
      <c r="D6" s="115"/>
      <c r="E6" s="115"/>
      <c r="F6" s="115"/>
      <c r="G6" s="115"/>
      <c r="H6" s="115"/>
      <c r="I6" s="115"/>
      <c r="K6" s="115" t="s">
        <v>112</v>
      </c>
      <c r="L6" s="115"/>
      <c r="M6" s="115"/>
      <c r="N6" s="115"/>
      <c r="O6" s="115"/>
      <c r="P6" s="115"/>
      <c r="Q6" s="115"/>
      <c r="R6" s="115"/>
      <c r="T6" s="115" t="s">
        <v>3</v>
      </c>
      <c r="U6" s="115"/>
      <c r="V6" s="115"/>
      <c r="W6" s="115"/>
      <c r="X6" s="115"/>
      <c r="Y6" s="115"/>
      <c r="Z6" s="115"/>
      <c r="AA6" s="115"/>
      <c r="AC6" s="115" t="s">
        <v>4</v>
      </c>
      <c r="AD6" s="115"/>
      <c r="AE6" s="115"/>
      <c r="AF6" s="115"/>
      <c r="AG6" s="115"/>
      <c r="AH6" s="115"/>
      <c r="AI6" s="115"/>
      <c r="AJ6" s="115"/>
    </row>
    <row r="7" spans="1:36" ht="77.25" customHeight="1" thickBot="1" x14ac:dyDescent="0.4">
      <c r="A7" s="92" t="s">
        <v>6</v>
      </c>
      <c r="B7" s="93" t="s">
        <v>7</v>
      </c>
      <c r="C7" s="93" t="s">
        <v>118</v>
      </c>
      <c r="D7" s="93" t="s">
        <v>8</v>
      </c>
      <c r="E7" s="93" t="s">
        <v>119</v>
      </c>
      <c r="F7" s="93" t="s">
        <v>120</v>
      </c>
      <c r="G7" s="93" t="s">
        <v>80</v>
      </c>
      <c r="H7" s="93" t="s">
        <v>121</v>
      </c>
      <c r="I7" s="93" t="s">
        <v>180</v>
      </c>
      <c r="J7" s="93"/>
      <c r="K7" s="93" t="s">
        <v>7</v>
      </c>
      <c r="L7" s="93" t="s">
        <v>118</v>
      </c>
      <c r="M7" s="93" t="s">
        <v>8</v>
      </c>
      <c r="N7" s="93" t="s">
        <v>119</v>
      </c>
      <c r="O7" s="93" t="s">
        <v>120</v>
      </c>
      <c r="P7" s="93" t="s">
        <v>80</v>
      </c>
      <c r="Q7" s="93" t="s">
        <v>121</v>
      </c>
      <c r="R7" s="93" t="s">
        <v>180</v>
      </c>
      <c r="S7" s="93"/>
      <c r="T7" s="93" t="s">
        <v>7</v>
      </c>
      <c r="U7" s="93" t="s">
        <v>118</v>
      </c>
      <c r="V7" s="93" t="s">
        <v>8</v>
      </c>
      <c r="W7" s="93" t="s">
        <v>119</v>
      </c>
      <c r="X7" s="93" t="s">
        <v>120</v>
      </c>
      <c r="Y7" s="93" t="s">
        <v>80</v>
      </c>
      <c r="Z7" s="93" t="s">
        <v>121</v>
      </c>
      <c r="AA7" s="93" t="s">
        <v>180</v>
      </c>
      <c r="AB7" s="93"/>
      <c r="AC7" s="93" t="s">
        <v>7</v>
      </c>
      <c r="AD7" s="93" t="s">
        <v>118</v>
      </c>
      <c r="AE7" s="93" t="s">
        <v>8</v>
      </c>
      <c r="AF7" s="93" t="s">
        <v>119</v>
      </c>
      <c r="AG7" s="93" t="s">
        <v>120</v>
      </c>
      <c r="AH7" s="93" t="s">
        <v>80</v>
      </c>
      <c r="AI7" s="93" t="s">
        <v>121</v>
      </c>
      <c r="AJ7" s="93" t="s">
        <v>180</v>
      </c>
    </row>
    <row r="8" spans="1:36" x14ac:dyDescent="0.35">
      <c r="A8" s="8" t="s">
        <v>15</v>
      </c>
      <c r="B8" s="8">
        <f>SUM(B9,B49)</f>
        <v>1222</v>
      </c>
      <c r="C8" s="8">
        <f t="shared" ref="C8:I8" si="0">SUM(C9,C49)</f>
        <v>33</v>
      </c>
      <c r="D8" s="8">
        <f t="shared" si="0"/>
        <v>56</v>
      </c>
      <c r="E8" s="8">
        <f t="shared" si="0"/>
        <v>14</v>
      </c>
      <c r="F8" s="8">
        <f t="shared" si="0"/>
        <v>25</v>
      </c>
      <c r="G8" s="8">
        <f t="shared" si="0"/>
        <v>1</v>
      </c>
      <c r="H8" s="8">
        <f t="shared" si="0"/>
        <v>14</v>
      </c>
      <c r="I8" s="8">
        <f t="shared" si="0"/>
        <v>230</v>
      </c>
      <c r="K8" s="8">
        <f>SUM(K9,K49)</f>
        <v>1120</v>
      </c>
      <c r="L8" s="8">
        <f t="shared" ref="L8" si="1">SUM(L9,L49)</f>
        <v>35</v>
      </c>
      <c r="M8" s="8">
        <f t="shared" ref="M8" si="2">SUM(M9,M49)</f>
        <v>9</v>
      </c>
      <c r="N8" s="8">
        <f t="shared" ref="N8" si="3">SUM(N9,N49)</f>
        <v>3</v>
      </c>
      <c r="O8" s="8">
        <f t="shared" ref="O8" si="4">SUM(O9,O49)</f>
        <v>8</v>
      </c>
      <c r="P8" s="8">
        <f t="shared" ref="P8" si="5">SUM(P9,P49)</f>
        <v>1</v>
      </c>
      <c r="Q8" s="8">
        <f t="shared" ref="Q8" si="6">SUM(Q9,Q49)</f>
        <v>3</v>
      </c>
      <c r="R8" s="8">
        <f t="shared" ref="R8" si="7">SUM(R9,R49)</f>
        <v>408</v>
      </c>
      <c r="T8" s="8">
        <f>SUM(T9,T49)</f>
        <v>77</v>
      </c>
      <c r="U8" s="8">
        <f t="shared" ref="U8" si="8">SUM(U9,U49)</f>
        <v>0</v>
      </c>
      <c r="V8" s="8">
        <f t="shared" ref="V8" si="9">SUM(V9,V49)</f>
        <v>1</v>
      </c>
      <c r="W8" s="8">
        <f t="shared" ref="W8" si="10">SUM(W9,W49)</f>
        <v>0</v>
      </c>
      <c r="X8" s="8">
        <f t="shared" ref="X8" si="11">SUM(X9,X49)</f>
        <v>0</v>
      </c>
      <c r="Y8" s="8">
        <f t="shared" ref="Y8" si="12">SUM(Y9,Y49)</f>
        <v>1</v>
      </c>
      <c r="Z8" s="8">
        <f t="shared" ref="Z8" si="13">SUM(Z9,Z49)</f>
        <v>1</v>
      </c>
      <c r="AA8" s="8">
        <f t="shared" ref="AA8" si="14">SUM(AA9,AA49)</f>
        <v>12</v>
      </c>
      <c r="AC8" s="8">
        <f>SUM(AC9,AC49)</f>
        <v>714</v>
      </c>
      <c r="AD8" s="8">
        <f t="shared" ref="AD8" si="15">SUM(AD9,AD49)</f>
        <v>14</v>
      </c>
      <c r="AE8" s="8">
        <f t="shared" ref="AE8" si="16">SUM(AE9,AE49)</f>
        <v>10</v>
      </c>
      <c r="AF8" s="8">
        <f t="shared" ref="AF8" si="17">SUM(AF9,AF49)</f>
        <v>27</v>
      </c>
      <c r="AG8" s="8">
        <f t="shared" ref="AG8" si="18">SUM(AG9,AG49)</f>
        <v>29</v>
      </c>
      <c r="AH8" s="8">
        <f t="shared" ref="AH8" si="19">SUM(AH9,AH49)</f>
        <v>2</v>
      </c>
      <c r="AI8" s="8">
        <f t="shared" ref="AI8" si="20">SUM(AI9,AI49)</f>
        <v>10</v>
      </c>
      <c r="AJ8" s="8">
        <f t="shared" ref="AJ8" si="21">SUM(AJ9,AJ49)</f>
        <v>176</v>
      </c>
    </row>
    <row r="9" spans="1:36" x14ac:dyDescent="0.35">
      <c r="A9" s="8" t="s">
        <v>16</v>
      </c>
      <c r="B9" s="8">
        <f>SUM(B10:B48)</f>
        <v>602</v>
      </c>
      <c r="C9" s="8">
        <f t="shared" ref="C9:I9" si="22">SUM(C10:C48)</f>
        <v>9</v>
      </c>
      <c r="D9" s="8">
        <f t="shared" si="22"/>
        <v>18</v>
      </c>
      <c r="E9" s="8">
        <f t="shared" si="22"/>
        <v>3</v>
      </c>
      <c r="F9" s="8">
        <f t="shared" si="22"/>
        <v>3</v>
      </c>
      <c r="G9" s="8">
        <f t="shared" si="22"/>
        <v>0</v>
      </c>
      <c r="H9" s="8">
        <f t="shared" si="22"/>
        <v>5</v>
      </c>
      <c r="I9" s="8">
        <f t="shared" si="22"/>
        <v>146</v>
      </c>
      <c r="K9" s="8">
        <f>SUM(K10:K48)</f>
        <v>1079</v>
      </c>
      <c r="L9" s="8">
        <f t="shared" ref="L9" si="23">SUM(L10:L48)</f>
        <v>34</v>
      </c>
      <c r="M9" s="8">
        <f t="shared" ref="M9" si="24">SUM(M10:M48)</f>
        <v>7</v>
      </c>
      <c r="N9" s="8">
        <f t="shared" ref="N9" si="25">SUM(N10:N48)</f>
        <v>3</v>
      </c>
      <c r="O9" s="8">
        <f t="shared" ref="O9" si="26">SUM(O10:O48)</f>
        <v>6</v>
      </c>
      <c r="P9" s="8">
        <f t="shared" ref="P9" si="27">SUM(P10:P48)</f>
        <v>1</v>
      </c>
      <c r="Q9" s="8">
        <f t="shared" ref="Q9" si="28">SUM(Q10:Q48)</f>
        <v>2</v>
      </c>
      <c r="R9" s="8">
        <f t="shared" ref="R9" si="29">SUM(R10:R48)</f>
        <v>407</v>
      </c>
      <c r="T9" s="8">
        <f>SUM(T10:T48)</f>
        <v>56</v>
      </c>
      <c r="U9" s="8">
        <f t="shared" ref="U9" si="30">SUM(U10:U48)</f>
        <v>0</v>
      </c>
      <c r="V9" s="8">
        <f t="shared" ref="V9" si="31">SUM(V10:V48)</f>
        <v>0</v>
      </c>
      <c r="W9" s="8">
        <f t="shared" ref="W9" si="32">SUM(W10:W48)</f>
        <v>0</v>
      </c>
      <c r="X9" s="8">
        <f t="shared" ref="X9" si="33">SUM(X10:X48)</f>
        <v>0</v>
      </c>
      <c r="Y9" s="8">
        <f t="shared" ref="Y9" si="34">SUM(Y10:Y48)</f>
        <v>1</v>
      </c>
      <c r="Z9" s="8">
        <f t="shared" ref="Z9" si="35">SUM(Z10:Z48)</f>
        <v>1</v>
      </c>
      <c r="AA9" s="8">
        <f t="shared" ref="AA9" si="36">SUM(AA10:AA48)</f>
        <v>12</v>
      </c>
      <c r="AC9" s="8">
        <f>SUM(AC10:AC48)</f>
        <v>467</v>
      </c>
      <c r="AD9" s="8">
        <f t="shared" ref="AD9" si="37">SUM(AD10:AD48)</f>
        <v>10</v>
      </c>
      <c r="AE9" s="8">
        <f t="shared" ref="AE9" si="38">SUM(AE10:AE48)</f>
        <v>4</v>
      </c>
      <c r="AF9" s="8">
        <f t="shared" ref="AF9" si="39">SUM(AF10:AF48)</f>
        <v>10</v>
      </c>
      <c r="AG9" s="8">
        <f t="shared" ref="AG9" si="40">SUM(AG10:AG48)</f>
        <v>10</v>
      </c>
      <c r="AH9" s="8">
        <f t="shared" ref="AH9" si="41">SUM(AH10:AH48)</f>
        <v>0</v>
      </c>
      <c r="AI9" s="8">
        <f t="shared" ref="AI9" si="42">SUM(AI10:AI48)</f>
        <v>1</v>
      </c>
      <c r="AJ9" s="8">
        <f t="shared" ref="AJ9" si="43">SUM(AJ10:AJ48)</f>
        <v>146</v>
      </c>
    </row>
    <row r="10" spans="1:36" x14ac:dyDescent="0.35">
      <c r="A10" s="8" t="s">
        <v>17</v>
      </c>
      <c r="B10" s="8">
        <f>SUMPRODUCT((raw!$B$2:$B$1473='2018-19_working'!$A10)*(raw!$E$2:$E$1473='2018-19_working'!$B$6:$I$6)*(raw!$F$2:$F$1473='2018-19_working'!B$7)*(raw!$G$2:$G$1473))</f>
        <v>11</v>
      </c>
      <c r="C10" s="8">
        <f>SUMPRODUCT((raw!$B$2:$B$1473='2018-19_working'!$A10)*(raw!$E$2:$E$1473='2018-19_working'!$B$6:$I$6)*(raw!$F$2:$F$1473='2018-19_working'!C$7)*(raw!$G$2:$G$1473))</f>
        <v>1</v>
      </c>
      <c r="D10" s="8">
        <f>SUMPRODUCT((raw!$B$2:$B$1473='2018-19_working'!$A10)*(raw!$E$2:$E$1473='2018-19_working'!$B$6:$I$6)*(raw!$F$2:$F$1473='2018-19_working'!D$7)*(raw!$G$2:$G$1473))</f>
        <v>0</v>
      </c>
      <c r="E10" s="8">
        <f>SUMPRODUCT((raw!$B$2:$B$1473='2018-19_working'!$A10)*(raw!$E$2:$E$1473='2018-19_working'!$B$6:$I$6)*(raw!$F$2:$F$1473='2018-19_working'!E$7)*(raw!$G$2:$G$1473))</f>
        <v>0</v>
      </c>
      <c r="F10" s="8">
        <f>SUMPRODUCT((raw!$B$2:$B$1473='2018-19_working'!$A10)*(raw!$E$2:$E$1473='2018-19_working'!$B$6:$I$6)*(raw!$F$2:$F$1473='2018-19_working'!F$7)*(raw!$G$2:$G$1473))</f>
        <v>1</v>
      </c>
      <c r="G10" s="8">
        <f>SUMPRODUCT((raw!$B$2:$B$1473='2018-19_working'!$A10)*(raw!$E$2:$E$1473='2018-19_working'!$B$6:$I$6)*(raw!$F$2:$F$1473='2018-19_working'!G$7)*(raw!$G$2:$G$1473))</f>
        <v>0</v>
      </c>
      <c r="H10" s="8">
        <f>SUMPRODUCT((raw!$B$2:$B$1473='2018-19_working'!$A10)*(raw!$E$2:$E$1473='2018-19_working'!$B$6:$I$6)*(raw!$F$2:$F$1473='2018-19_working'!H$7)*(raw!$G$2:$G$1473))</f>
        <v>1</v>
      </c>
      <c r="I10" s="8">
        <f>SUMPRODUCT((raw!$B$2:$B$1473='2018-19_working'!$A10)*(raw!$E$2:$E$1473='2018-19_working'!$B$6:$I$6)*(raw!$F$2:$F$1473='2018-19_working'!I$7)*(raw!$G$2:$G$1473))</f>
        <v>1</v>
      </c>
      <c r="K10" s="8">
        <f>SUMPRODUCT((raw!$B$2:$B$1473='2018-19_working'!$A10)*(raw!$E$2:$E$1473='2018-19_working'!$K$6)*(raw!$F$2:$F$1473='2018-19_working'!K$7)*(raw!$G$2:$G$1473))</f>
        <v>3</v>
      </c>
      <c r="L10" s="8">
        <f>SUMPRODUCT((raw!$B$2:$B$1473='2018-19_working'!$A10)*(raw!$E$2:$E$1473='2018-19_working'!$K$6)*(raw!$F$2:$F$1473='2018-19_working'!L$7)*(raw!$G$2:$G$1473))</f>
        <v>0</v>
      </c>
      <c r="M10" s="8">
        <f>SUMPRODUCT((raw!$B$2:$B$1473='2018-19_working'!$A10)*(raw!$E$2:$E$1473='2018-19_working'!$K$6)*(raw!$F$2:$F$1473='2018-19_working'!M$7)*(raw!$G$2:$G$1473))</f>
        <v>0</v>
      </c>
      <c r="N10" s="8">
        <f>SUMPRODUCT((raw!$B$2:$B$1473='2018-19_working'!$A10)*(raw!$E$2:$E$1473='2018-19_working'!$K$6)*(raw!$F$2:$F$1473='2018-19_working'!N$7)*(raw!$G$2:$G$1473))</f>
        <v>0</v>
      </c>
      <c r="O10" s="8">
        <f>SUMPRODUCT((raw!$B$2:$B$1473='2018-19_working'!$A10)*(raw!$E$2:$E$1473='2018-19_working'!$K$6)*(raw!$F$2:$F$1473='2018-19_working'!O$7)*(raw!$G$2:$G$1473))</f>
        <v>0</v>
      </c>
      <c r="P10" s="8">
        <f>SUMPRODUCT((raw!$B$2:$B$1473='2018-19_working'!$A10)*(raw!$E$2:$E$1473='2018-19_working'!$K$6)*(raw!$F$2:$F$1473='2018-19_working'!P$7)*(raw!$G$2:$G$1473))</f>
        <v>0</v>
      </c>
      <c r="Q10" s="8">
        <f>SUMPRODUCT((raw!$B$2:$B$1473='2018-19_working'!$A10)*(raw!$E$2:$E$1473='2018-19_working'!$K$6)*(raw!$F$2:$F$1473='2018-19_working'!Q$7)*(raw!$G$2:$G$1473))</f>
        <v>0</v>
      </c>
      <c r="R10" s="8">
        <f>SUMPRODUCT((raw!$B$2:$B$1473='2018-19_working'!$A10)*(raw!$E$2:$E$1473='2018-19_working'!$K$6)*(raw!$F$2:$F$1473='2018-19_working'!R$7)*(raw!$G$2:$G$1473))</f>
        <v>16</v>
      </c>
      <c r="T10" s="8">
        <f>SUMPRODUCT((raw!$B$2:$B$1473='2018-19_working'!$A10)*(raw!$E$2:$E$1473='2018-19_working'!$T$6)*(raw!$F$2:$F$1473='2018-19_working'!T$7)*(raw!$G$2:$G$1473))</f>
        <v>3</v>
      </c>
      <c r="U10" s="8">
        <f>SUMPRODUCT((raw!$B$2:$B$1473='2018-19_working'!$A10)*(raw!$E$2:$E$1473='2018-19_working'!$T$6)*(raw!$F$2:$F$1473='2018-19_working'!U$7)*(raw!$G$2:$G$1473))</f>
        <v>0</v>
      </c>
      <c r="V10" s="8">
        <f>SUMPRODUCT((raw!$B$2:$B$1473='2018-19_working'!$A10)*(raw!$E$2:$E$1473='2018-19_working'!$T$6)*(raw!$F$2:$F$1473='2018-19_working'!V$7)*(raw!$G$2:$G$1473))</f>
        <v>0</v>
      </c>
      <c r="W10" s="8">
        <f>SUMPRODUCT((raw!$B$2:$B$1473='2018-19_working'!$A10)*(raw!$E$2:$E$1473='2018-19_working'!$T$6)*(raw!$F$2:$F$1473='2018-19_working'!W$7)*(raw!$G$2:$G$1473))</f>
        <v>0</v>
      </c>
      <c r="X10" s="8">
        <f>SUMPRODUCT((raw!$B$2:$B$1473='2018-19_working'!$A10)*(raw!$E$2:$E$1473='2018-19_working'!$T$6)*(raw!$F$2:$F$1473='2018-19_working'!X$7)*(raw!$G$2:$G$1473))</f>
        <v>0</v>
      </c>
      <c r="Y10" s="8">
        <f>SUMPRODUCT((raw!$B$2:$B$1473='2018-19_working'!$A10)*(raw!$E$2:$E$1473='2018-19_working'!$T$6)*(raw!$F$2:$F$1473='2018-19_working'!Y$7)*(raw!$G$2:$G$1473))</f>
        <v>0</v>
      </c>
      <c r="Z10" s="8">
        <f>SUMPRODUCT((raw!$B$2:$B$1473='2018-19_working'!$A10)*(raw!$E$2:$E$1473='2018-19_working'!$T$6)*(raw!$F$2:$F$1473='2018-19_working'!Z$7)*(raw!$G$2:$G$1473))</f>
        <v>0</v>
      </c>
      <c r="AA10" s="8">
        <f>SUMPRODUCT((raw!$B$2:$B$1473='2018-19_working'!$A10)*(raw!$E$2:$E$1473='2018-19_working'!$T$6)*(raw!$F$2:$F$1473='2018-19_working'!AA$7)*(raw!$G$2:$G$1473))</f>
        <v>0</v>
      </c>
      <c r="AC10" s="8">
        <f>SUMPRODUCT((raw!$B$2:$B$1473='2018-19_working'!$A10)*(raw!$E$2:$E$1473='2018-19_working'!$AC$6)*(raw!$F$2:$F$1473='2018-19_working'!AC$7)*(raw!$G$2:$G$1473))</f>
        <v>14</v>
      </c>
      <c r="AD10" s="8">
        <f>SUMPRODUCT((raw!$B$2:$B$1473='2018-19_working'!$A10)*(raw!$E$2:$E$1473='2018-19_working'!$AC$6)*(raw!$F$2:$F$1473='2018-19_working'!AD$7)*(raw!$G$2:$G$1473))</f>
        <v>0</v>
      </c>
      <c r="AE10" s="8">
        <f>SUMPRODUCT((raw!$B$2:$B$1473='2018-19_working'!$A10)*(raw!$E$2:$E$1473='2018-19_working'!$AC$6)*(raw!$F$2:$F$1473='2018-19_working'!AE$7)*(raw!$G$2:$G$1473))</f>
        <v>0</v>
      </c>
      <c r="AF10" s="8">
        <f>SUMPRODUCT((raw!$B$2:$B$1473='2018-19_working'!$A10)*(raw!$E$2:$E$1473='2018-19_working'!$AC$6)*(raw!$F$2:$F$1473='2018-19_working'!AF$7)*(raw!$G$2:$G$1473))</f>
        <v>0</v>
      </c>
      <c r="AG10" s="8">
        <f>SUMPRODUCT((raw!$B$2:$B$1473='2018-19_working'!$A10)*(raw!$E$2:$E$1473='2018-19_working'!$AC$6)*(raw!$F$2:$F$1473='2018-19_working'!AG$7)*(raw!$G$2:$G$1473))</f>
        <v>0</v>
      </c>
      <c r="AH10" s="8">
        <f>SUMPRODUCT((raw!$B$2:$B$1473='2018-19_working'!$A10)*(raw!$E$2:$E$1473='2018-19_working'!$AC$6)*(raw!$F$2:$F$1473='2018-19_working'!AH$7)*(raw!$G$2:$G$1473))</f>
        <v>0</v>
      </c>
      <c r="AI10" s="8">
        <f>SUMPRODUCT((raw!$B$2:$B$1473='2018-19_working'!$A10)*(raw!$E$2:$E$1473='2018-19_working'!$AC$6)*(raw!$F$2:$F$1473='2018-19_working'!AI$7)*(raw!$G$2:$G$1473))</f>
        <v>0</v>
      </c>
      <c r="AJ10" s="8">
        <f>SUMPRODUCT((raw!$B$2:$B$1473='2018-19_working'!$A10)*(raw!$E$2:$E$1473='2018-19_working'!$AC$6)*(raw!$F$2:$F$1473='2018-19_working'!AJ$7)*(raw!$G$2:$G$1473))</f>
        <v>11</v>
      </c>
    </row>
    <row r="11" spans="1:36" x14ac:dyDescent="0.35">
      <c r="A11" s="8" t="s">
        <v>18</v>
      </c>
      <c r="B11" s="8">
        <f>SUMPRODUCT((raw!$B$2:$B$1473='2018-19_working'!$A11)*(raw!$E$2:$E$1473='2018-19_working'!$B$6:$I$6)*(raw!$F$2:$F$1473='2018-19_working'!B$7)*(raw!$G$2:$G$1473))</f>
        <v>17</v>
      </c>
      <c r="C11" s="8">
        <f>SUMPRODUCT((raw!$B$2:$B$1473='2018-19_working'!$A11)*(raw!$E$2:$E$1473='2018-19_working'!$B$6:$I$6)*(raw!$F$2:$F$1473='2018-19_working'!C$7)*(raw!$G$2:$G$1473))</f>
        <v>1</v>
      </c>
      <c r="D11" s="8">
        <f>SUMPRODUCT((raw!$B$2:$B$1473='2018-19_working'!$A11)*(raw!$E$2:$E$1473='2018-19_working'!$B$6:$I$6)*(raw!$F$2:$F$1473='2018-19_working'!D$7)*(raw!$G$2:$G$1473))</f>
        <v>0</v>
      </c>
      <c r="E11" s="8">
        <f>SUMPRODUCT((raw!$B$2:$B$1473='2018-19_working'!$A11)*(raw!$E$2:$E$1473='2018-19_working'!$B$6:$I$6)*(raw!$F$2:$F$1473='2018-19_working'!E$7)*(raw!$G$2:$G$1473))</f>
        <v>0</v>
      </c>
      <c r="F11" s="8">
        <f>SUMPRODUCT((raw!$B$2:$B$1473='2018-19_working'!$A11)*(raw!$E$2:$E$1473='2018-19_working'!$B$6:$I$6)*(raw!$F$2:$F$1473='2018-19_working'!F$7)*(raw!$G$2:$G$1473))</f>
        <v>0</v>
      </c>
      <c r="G11" s="8">
        <f>SUMPRODUCT((raw!$B$2:$B$1473='2018-19_working'!$A11)*(raw!$E$2:$E$1473='2018-19_working'!$B$6:$I$6)*(raw!$F$2:$F$1473='2018-19_working'!G$7)*(raw!$G$2:$G$1473))</f>
        <v>0</v>
      </c>
      <c r="H11" s="8">
        <f>SUMPRODUCT((raw!$B$2:$B$1473='2018-19_working'!$A11)*(raw!$E$2:$E$1473='2018-19_working'!$B$6:$I$6)*(raw!$F$2:$F$1473='2018-19_working'!H$7)*(raw!$G$2:$G$1473))</f>
        <v>0</v>
      </c>
      <c r="I11" s="8">
        <f>SUMPRODUCT((raw!$B$2:$B$1473='2018-19_working'!$A11)*(raw!$E$2:$E$1473='2018-19_working'!$B$6:$I$6)*(raw!$F$2:$F$1473='2018-19_working'!I$7)*(raw!$G$2:$G$1473))</f>
        <v>0</v>
      </c>
      <c r="K11" s="8">
        <f>SUMPRODUCT((raw!$B$2:$B$1473='2018-19_working'!$A11)*(raw!$E$2:$E$1473='2018-19_working'!$K$6)*(raw!$F$2:$F$1473='2018-19_working'!K$7)*(raw!$G$2:$G$1473))</f>
        <v>24</v>
      </c>
      <c r="L11" s="8">
        <f>SUMPRODUCT((raw!$B$2:$B$1473='2018-19_working'!$A11)*(raw!$E$2:$E$1473='2018-19_working'!$K$6)*(raw!$F$2:$F$1473='2018-19_working'!L$7)*(raw!$G$2:$G$1473))</f>
        <v>0</v>
      </c>
      <c r="M11" s="8">
        <f>SUMPRODUCT((raw!$B$2:$B$1473='2018-19_working'!$A11)*(raw!$E$2:$E$1473='2018-19_working'!$K$6)*(raw!$F$2:$F$1473='2018-19_working'!M$7)*(raw!$G$2:$G$1473))</f>
        <v>1</v>
      </c>
      <c r="N11" s="8">
        <f>SUMPRODUCT((raw!$B$2:$B$1473='2018-19_working'!$A11)*(raw!$E$2:$E$1473='2018-19_working'!$K$6)*(raw!$F$2:$F$1473='2018-19_working'!N$7)*(raw!$G$2:$G$1473))</f>
        <v>0</v>
      </c>
      <c r="O11" s="8">
        <f>SUMPRODUCT((raw!$B$2:$B$1473='2018-19_working'!$A11)*(raw!$E$2:$E$1473='2018-19_working'!$K$6)*(raw!$F$2:$F$1473='2018-19_working'!O$7)*(raw!$G$2:$G$1473))</f>
        <v>0</v>
      </c>
      <c r="P11" s="8">
        <f>SUMPRODUCT((raw!$B$2:$B$1473='2018-19_working'!$A11)*(raw!$E$2:$E$1473='2018-19_working'!$K$6)*(raw!$F$2:$F$1473='2018-19_working'!P$7)*(raw!$G$2:$G$1473))</f>
        <v>0</v>
      </c>
      <c r="Q11" s="8">
        <f>SUMPRODUCT((raw!$B$2:$B$1473='2018-19_working'!$A11)*(raw!$E$2:$E$1473='2018-19_working'!$K$6)*(raw!$F$2:$F$1473='2018-19_working'!Q$7)*(raw!$G$2:$G$1473))</f>
        <v>0</v>
      </c>
      <c r="R11" s="8">
        <f>SUMPRODUCT((raw!$B$2:$B$1473='2018-19_working'!$A11)*(raw!$E$2:$E$1473='2018-19_working'!$K$6)*(raw!$F$2:$F$1473='2018-19_working'!R$7)*(raw!$G$2:$G$1473))</f>
        <v>1</v>
      </c>
      <c r="T11" s="8">
        <f>SUMPRODUCT((raw!$B$2:$B$1473='2018-19_working'!$A11)*(raw!$E$2:$E$1473='2018-19_working'!$T$6)*(raw!$F$2:$F$1473='2018-19_working'!T$7)*(raw!$G$2:$G$1473))</f>
        <v>1</v>
      </c>
      <c r="U11" s="8">
        <f>SUMPRODUCT((raw!$B$2:$B$1473='2018-19_working'!$A11)*(raw!$E$2:$E$1473='2018-19_working'!$T$6)*(raw!$F$2:$F$1473='2018-19_working'!U$7)*(raw!$G$2:$G$1473))</f>
        <v>0</v>
      </c>
      <c r="V11" s="8">
        <f>SUMPRODUCT((raw!$B$2:$B$1473='2018-19_working'!$A11)*(raw!$E$2:$E$1473='2018-19_working'!$T$6)*(raw!$F$2:$F$1473='2018-19_working'!V$7)*(raw!$G$2:$G$1473))</f>
        <v>0</v>
      </c>
      <c r="W11" s="8">
        <f>SUMPRODUCT((raw!$B$2:$B$1473='2018-19_working'!$A11)*(raw!$E$2:$E$1473='2018-19_working'!$T$6)*(raw!$F$2:$F$1473='2018-19_working'!W$7)*(raw!$G$2:$G$1473))</f>
        <v>0</v>
      </c>
      <c r="X11" s="8">
        <f>SUMPRODUCT((raw!$B$2:$B$1473='2018-19_working'!$A11)*(raw!$E$2:$E$1473='2018-19_working'!$T$6)*(raw!$F$2:$F$1473='2018-19_working'!X$7)*(raw!$G$2:$G$1473))</f>
        <v>0</v>
      </c>
      <c r="Y11" s="8">
        <f>SUMPRODUCT((raw!$B$2:$B$1473='2018-19_working'!$A11)*(raw!$E$2:$E$1473='2018-19_working'!$T$6)*(raw!$F$2:$F$1473='2018-19_working'!Y$7)*(raw!$G$2:$G$1473))</f>
        <v>0</v>
      </c>
      <c r="Z11" s="8">
        <f>SUMPRODUCT((raw!$B$2:$B$1473='2018-19_working'!$A11)*(raw!$E$2:$E$1473='2018-19_working'!$T$6)*(raw!$F$2:$F$1473='2018-19_working'!Z$7)*(raw!$G$2:$G$1473))</f>
        <v>0</v>
      </c>
      <c r="AA11" s="8">
        <f>SUMPRODUCT((raw!$B$2:$B$1473='2018-19_working'!$A11)*(raw!$E$2:$E$1473='2018-19_working'!$T$6)*(raw!$F$2:$F$1473='2018-19_working'!AA$7)*(raw!$G$2:$G$1473))</f>
        <v>1</v>
      </c>
      <c r="AC11" s="8">
        <f>SUMPRODUCT((raw!$B$2:$B$1473='2018-19_working'!$A11)*(raw!$E$2:$E$1473='2018-19_working'!$AC$6)*(raw!$F$2:$F$1473='2018-19_working'!AC$7)*(raw!$G$2:$G$1473))</f>
        <v>15</v>
      </c>
      <c r="AD11" s="8">
        <f>SUMPRODUCT((raw!$B$2:$B$1473='2018-19_working'!$A11)*(raw!$E$2:$E$1473='2018-19_working'!$AC$6)*(raw!$F$2:$F$1473='2018-19_working'!AD$7)*(raw!$G$2:$G$1473))</f>
        <v>0</v>
      </c>
      <c r="AE11" s="8">
        <f>SUMPRODUCT((raw!$B$2:$B$1473='2018-19_working'!$A11)*(raw!$E$2:$E$1473='2018-19_working'!$AC$6)*(raw!$F$2:$F$1473='2018-19_working'!AE$7)*(raw!$G$2:$G$1473))</f>
        <v>1</v>
      </c>
      <c r="AF11" s="8">
        <f>SUMPRODUCT((raw!$B$2:$B$1473='2018-19_working'!$A11)*(raw!$E$2:$E$1473='2018-19_working'!$AC$6)*(raw!$F$2:$F$1473='2018-19_working'!AF$7)*(raw!$G$2:$G$1473))</f>
        <v>1</v>
      </c>
      <c r="AG11" s="8">
        <f>SUMPRODUCT((raw!$B$2:$B$1473='2018-19_working'!$A11)*(raw!$E$2:$E$1473='2018-19_working'!$AC$6)*(raw!$F$2:$F$1473='2018-19_working'!AG$7)*(raw!$G$2:$G$1473))</f>
        <v>0</v>
      </c>
      <c r="AH11" s="8">
        <f>SUMPRODUCT((raw!$B$2:$B$1473='2018-19_working'!$A11)*(raw!$E$2:$E$1473='2018-19_working'!$AC$6)*(raw!$F$2:$F$1473='2018-19_working'!AH$7)*(raw!$G$2:$G$1473))</f>
        <v>0</v>
      </c>
      <c r="AI11" s="8">
        <f>SUMPRODUCT((raw!$B$2:$B$1473='2018-19_working'!$A11)*(raw!$E$2:$E$1473='2018-19_working'!$AC$6)*(raw!$F$2:$F$1473='2018-19_working'!AI$7)*(raw!$G$2:$G$1473))</f>
        <v>0</v>
      </c>
      <c r="AJ11" s="8">
        <f>SUMPRODUCT((raw!$B$2:$B$1473='2018-19_working'!$A11)*(raw!$E$2:$E$1473='2018-19_working'!$AC$6)*(raw!$F$2:$F$1473='2018-19_working'!AJ$7)*(raw!$G$2:$G$1473))</f>
        <v>5</v>
      </c>
    </row>
    <row r="12" spans="1:36" x14ac:dyDescent="0.35">
      <c r="A12" s="8" t="s">
        <v>19</v>
      </c>
      <c r="B12" s="8">
        <f>SUMPRODUCT((raw!$B$2:$B$1473='2018-19_working'!$A12)*(raw!$E$2:$E$1473='2018-19_working'!$B$6:$I$6)*(raw!$F$2:$F$1473='2018-19_working'!B$7)*(raw!$G$2:$G$1473))</f>
        <v>12</v>
      </c>
      <c r="C12" s="8">
        <f>SUMPRODUCT((raw!$B$2:$B$1473='2018-19_working'!$A12)*(raw!$E$2:$E$1473='2018-19_working'!$B$6:$I$6)*(raw!$F$2:$F$1473='2018-19_working'!C$7)*(raw!$G$2:$G$1473))</f>
        <v>1</v>
      </c>
      <c r="D12" s="8">
        <f>SUMPRODUCT((raw!$B$2:$B$1473='2018-19_working'!$A12)*(raw!$E$2:$E$1473='2018-19_working'!$B$6:$I$6)*(raw!$F$2:$F$1473='2018-19_working'!D$7)*(raw!$G$2:$G$1473))</f>
        <v>1</v>
      </c>
      <c r="E12" s="8">
        <f>SUMPRODUCT((raw!$B$2:$B$1473='2018-19_working'!$A12)*(raw!$E$2:$E$1473='2018-19_working'!$B$6:$I$6)*(raw!$F$2:$F$1473='2018-19_working'!E$7)*(raw!$G$2:$G$1473))</f>
        <v>0</v>
      </c>
      <c r="F12" s="8">
        <f>SUMPRODUCT((raw!$B$2:$B$1473='2018-19_working'!$A12)*(raw!$E$2:$E$1473='2018-19_working'!$B$6:$I$6)*(raw!$F$2:$F$1473='2018-19_working'!F$7)*(raw!$G$2:$G$1473))</f>
        <v>0</v>
      </c>
      <c r="G12" s="8">
        <f>SUMPRODUCT((raw!$B$2:$B$1473='2018-19_working'!$A12)*(raw!$E$2:$E$1473='2018-19_working'!$B$6:$I$6)*(raw!$F$2:$F$1473='2018-19_working'!G$7)*(raw!$G$2:$G$1473))</f>
        <v>0</v>
      </c>
      <c r="H12" s="8">
        <f>SUMPRODUCT((raw!$B$2:$B$1473='2018-19_working'!$A12)*(raw!$E$2:$E$1473='2018-19_working'!$B$6:$I$6)*(raw!$F$2:$F$1473='2018-19_working'!H$7)*(raw!$G$2:$G$1473))</f>
        <v>0</v>
      </c>
      <c r="I12" s="8">
        <f>SUMPRODUCT((raw!$B$2:$B$1473='2018-19_working'!$A12)*(raw!$E$2:$E$1473='2018-19_working'!$B$6:$I$6)*(raw!$F$2:$F$1473='2018-19_working'!I$7)*(raw!$G$2:$G$1473))</f>
        <v>0</v>
      </c>
      <c r="K12" s="8">
        <f>SUMPRODUCT((raw!$B$2:$B$1473='2018-19_working'!$A12)*(raw!$E$2:$E$1473='2018-19_working'!$K$6)*(raw!$F$2:$F$1473='2018-19_working'!K$7)*(raw!$G$2:$G$1473))</f>
        <v>21</v>
      </c>
      <c r="L12" s="8">
        <f>SUMPRODUCT((raw!$B$2:$B$1473='2018-19_working'!$A12)*(raw!$E$2:$E$1473='2018-19_working'!$K$6)*(raw!$F$2:$F$1473='2018-19_working'!L$7)*(raw!$G$2:$G$1473))</f>
        <v>1</v>
      </c>
      <c r="M12" s="8">
        <f>SUMPRODUCT((raw!$B$2:$B$1473='2018-19_working'!$A12)*(raw!$E$2:$E$1473='2018-19_working'!$K$6)*(raw!$F$2:$F$1473='2018-19_working'!M$7)*(raw!$G$2:$G$1473))</f>
        <v>1</v>
      </c>
      <c r="N12" s="8">
        <f>SUMPRODUCT((raw!$B$2:$B$1473='2018-19_working'!$A12)*(raw!$E$2:$E$1473='2018-19_working'!$K$6)*(raw!$F$2:$F$1473='2018-19_working'!N$7)*(raw!$G$2:$G$1473))</f>
        <v>0</v>
      </c>
      <c r="O12" s="8">
        <f>SUMPRODUCT((raw!$B$2:$B$1473='2018-19_working'!$A12)*(raw!$E$2:$E$1473='2018-19_working'!$K$6)*(raw!$F$2:$F$1473='2018-19_working'!O$7)*(raw!$G$2:$G$1473))</f>
        <v>0</v>
      </c>
      <c r="P12" s="8">
        <f>SUMPRODUCT((raw!$B$2:$B$1473='2018-19_working'!$A12)*(raw!$E$2:$E$1473='2018-19_working'!$K$6)*(raw!$F$2:$F$1473='2018-19_working'!P$7)*(raw!$G$2:$G$1473))</f>
        <v>0</v>
      </c>
      <c r="Q12" s="8">
        <f>SUMPRODUCT((raw!$B$2:$B$1473='2018-19_working'!$A12)*(raw!$E$2:$E$1473='2018-19_working'!$K$6)*(raw!$F$2:$F$1473='2018-19_working'!Q$7)*(raw!$G$2:$G$1473))</f>
        <v>0</v>
      </c>
      <c r="R12" s="8">
        <f>SUMPRODUCT((raw!$B$2:$B$1473='2018-19_working'!$A12)*(raw!$E$2:$E$1473='2018-19_working'!$K$6)*(raw!$F$2:$F$1473='2018-19_working'!R$7)*(raw!$G$2:$G$1473))</f>
        <v>0</v>
      </c>
      <c r="T12" s="8">
        <f>SUMPRODUCT((raw!$B$2:$B$1473='2018-19_working'!$A12)*(raw!$E$2:$E$1473='2018-19_working'!$T$6)*(raw!$F$2:$F$1473='2018-19_working'!T$7)*(raw!$G$2:$G$1473))</f>
        <v>5</v>
      </c>
      <c r="U12" s="8">
        <f>SUMPRODUCT((raw!$B$2:$B$1473='2018-19_working'!$A12)*(raw!$E$2:$E$1473='2018-19_working'!$T$6)*(raw!$F$2:$F$1473='2018-19_working'!U$7)*(raw!$G$2:$G$1473))</f>
        <v>0</v>
      </c>
      <c r="V12" s="8">
        <f>SUMPRODUCT((raw!$B$2:$B$1473='2018-19_working'!$A12)*(raw!$E$2:$E$1473='2018-19_working'!$T$6)*(raw!$F$2:$F$1473='2018-19_working'!V$7)*(raw!$G$2:$G$1473))</f>
        <v>0</v>
      </c>
      <c r="W12" s="8">
        <f>SUMPRODUCT((raw!$B$2:$B$1473='2018-19_working'!$A12)*(raw!$E$2:$E$1473='2018-19_working'!$T$6)*(raw!$F$2:$F$1473='2018-19_working'!W$7)*(raw!$G$2:$G$1473))</f>
        <v>0</v>
      </c>
      <c r="X12" s="8">
        <f>SUMPRODUCT((raw!$B$2:$B$1473='2018-19_working'!$A12)*(raw!$E$2:$E$1473='2018-19_working'!$T$6)*(raw!$F$2:$F$1473='2018-19_working'!X$7)*(raw!$G$2:$G$1473))</f>
        <v>0</v>
      </c>
      <c r="Y12" s="8">
        <f>SUMPRODUCT((raw!$B$2:$B$1473='2018-19_working'!$A12)*(raw!$E$2:$E$1473='2018-19_working'!$T$6)*(raw!$F$2:$F$1473='2018-19_working'!Y$7)*(raw!$G$2:$G$1473))</f>
        <v>0</v>
      </c>
      <c r="Z12" s="8">
        <f>SUMPRODUCT((raw!$B$2:$B$1473='2018-19_working'!$A12)*(raw!$E$2:$E$1473='2018-19_working'!$T$6)*(raw!$F$2:$F$1473='2018-19_working'!Z$7)*(raw!$G$2:$G$1473))</f>
        <v>0</v>
      </c>
      <c r="AA12" s="8">
        <f>SUMPRODUCT((raw!$B$2:$B$1473='2018-19_working'!$A12)*(raw!$E$2:$E$1473='2018-19_working'!$T$6)*(raw!$F$2:$F$1473='2018-19_working'!AA$7)*(raw!$G$2:$G$1473))</f>
        <v>0</v>
      </c>
      <c r="AC12" s="8">
        <f>SUMPRODUCT((raw!$B$2:$B$1473='2018-19_working'!$A12)*(raw!$E$2:$E$1473='2018-19_working'!$AC$6)*(raw!$F$2:$F$1473='2018-19_working'!AC$7)*(raw!$G$2:$G$1473))</f>
        <v>21</v>
      </c>
      <c r="AD12" s="8">
        <f>SUMPRODUCT((raw!$B$2:$B$1473='2018-19_working'!$A12)*(raw!$E$2:$E$1473='2018-19_working'!$AC$6)*(raw!$F$2:$F$1473='2018-19_working'!AD$7)*(raw!$G$2:$G$1473))</f>
        <v>1</v>
      </c>
      <c r="AE12" s="8">
        <f>SUMPRODUCT((raw!$B$2:$B$1473='2018-19_working'!$A12)*(raw!$E$2:$E$1473='2018-19_working'!$AC$6)*(raw!$F$2:$F$1473='2018-19_working'!AE$7)*(raw!$G$2:$G$1473))</f>
        <v>1</v>
      </c>
      <c r="AF12" s="8">
        <f>SUMPRODUCT((raw!$B$2:$B$1473='2018-19_working'!$A12)*(raw!$E$2:$E$1473='2018-19_working'!$AC$6)*(raw!$F$2:$F$1473='2018-19_working'!AF$7)*(raw!$G$2:$G$1473))</f>
        <v>3</v>
      </c>
      <c r="AG12" s="8">
        <f>SUMPRODUCT((raw!$B$2:$B$1473='2018-19_working'!$A12)*(raw!$E$2:$E$1473='2018-19_working'!$AC$6)*(raw!$F$2:$F$1473='2018-19_working'!AG$7)*(raw!$G$2:$G$1473))</f>
        <v>2</v>
      </c>
      <c r="AH12" s="8">
        <f>SUMPRODUCT((raw!$B$2:$B$1473='2018-19_working'!$A12)*(raw!$E$2:$E$1473='2018-19_working'!$AC$6)*(raw!$F$2:$F$1473='2018-19_working'!AH$7)*(raw!$G$2:$G$1473))</f>
        <v>0</v>
      </c>
      <c r="AI12" s="8">
        <f>SUMPRODUCT((raw!$B$2:$B$1473='2018-19_working'!$A12)*(raw!$E$2:$E$1473='2018-19_working'!$AC$6)*(raw!$F$2:$F$1473='2018-19_working'!AI$7)*(raw!$G$2:$G$1473))</f>
        <v>0</v>
      </c>
      <c r="AJ12" s="8">
        <f>SUMPRODUCT((raw!$B$2:$B$1473='2018-19_working'!$A12)*(raw!$E$2:$E$1473='2018-19_working'!$AC$6)*(raw!$F$2:$F$1473='2018-19_working'!AJ$7)*(raw!$G$2:$G$1473))</f>
        <v>1</v>
      </c>
    </row>
    <row r="13" spans="1:36" x14ac:dyDescent="0.35">
      <c r="A13" s="8" t="s">
        <v>20</v>
      </c>
      <c r="B13" s="8">
        <f>SUMPRODUCT((raw!$B$2:$B$1473='2018-19_working'!$A13)*(raw!$E$2:$E$1473='2018-19_working'!$B$6:$I$6)*(raw!$F$2:$F$1473='2018-19_working'!B$7)*(raw!$G$2:$G$1473))</f>
        <v>25</v>
      </c>
      <c r="C13" s="8">
        <f>SUMPRODUCT((raw!$B$2:$B$1473='2018-19_working'!$A13)*(raw!$E$2:$E$1473='2018-19_working'!$B$6:$I$6)*(raw!$F$2:$F$1473='2018-19_working'!C$7)*(raw!$G$2:$G$1473))</f>
        <v>0</v>
      </c>
      <c r="D13" s="8">
        <f>SUMPRODUCT((raw!$B$2:$B$1473='2018-19_working'!$A13)*(raw!$E$2:$E$1473='2018-19_working'!$B$6:$I$6)*(raw!$F$2:$F$1473='2018-19_working'!D$7)*(raw!$G$2:$G$1473))</f>
        <v>3</v>
      </c>
      <c r="E13" s="8">
        <f>SUMPRODUCT((raw!$B$2:$B$1473='2018-19_working'!$A13)*(raw!$E$2:$E$1473='2018-19_working'!$B$6:$I$6)*(raw!$F$2:$F$1473='2018-19_working'!E$7)*(raw!$G$2:$G$1473))</f>
        <v>0</v>
      </c>
      <c r="F13" s="8">
        <f>SUMPRODUCT((raw!$B$2:$B$1473='2018-19_working'!$A13)*(raw!$E$2:$E$1473='2018-19_working'!$B$6:$I$6)*(raw!$F$2:$F$1473='2018-19_working'!F$7)*(raw!$G$2:$G$1473))</f>
        <v>0</v>
      </c>
      <c r="G13" s="8">
        <f>SUMPRODUCT((raw!$B$2:$B$1473='2018-19_working'!$A13)*(raw!$E$2:$E$1473='2018-19_working'!$B$6:$I$6)*(raw!$F$2:$F$1473='2018-19_working'!G$7)*(raw!$G$2:$G$1473))</f>
        <v>0</v>
      </c>
      <c r="H13" s="8">
        <f>SUMPRODUCT((raw!$B$2:$B$1473='2018-19_working'!$A13)*(raw!$E$2:$E$1473='2018-19_working'!$B$6:$I$6)*(raw!$F$2:$F$1473='2018-19_working'!H$7)*(raw!$G$2:$G$1473))</f>
        <v>0</v>
      </c>
      <c r="I13" s="8">
        <f>SUMPRODUCT((raw!$B$2:$B$1473='2018-19_working'!$A13)*(raw!$E$2:$E$1473='2018-19_working'!$B$6:$I$6)*(raw!$F$2:$F$1473='2018-19_working'!I$7)*(raw!$G$2:$G$1473))</f>
        <v>0</v>
      </c>
      <c r="K13" s="8">
        <f>SUMPRODUCT((raw!$B$2:$B$1473='2018-19_working'!$A13)*(raw!$E$2:$E$1473='2018-19_working'!$K$6)*(raw!$F$2:$F$1473='2018-19_working'!K$7)*(raw!$G$2:$G$1473))</f>
        <v>18</v>
      </c>
      <c r="L13" s="8">
        <f>SUMPRODUCT((raw!$B$2:$B$1473='2018-19_working'!$A13)*(raw!$E$2:$E$1473='2018-19_working'!$K$6)*(raw!$F$2:$F$1473='2018-19_working'!L$7)*(raw!$G$2:$G$1473))</f>
        <v>0</v>
      </c>
      <c r="M13" s="8">
        <f>SUMPRODUCT((raw!$B$2:$B$1473='2018-19_working'!$A13)*(raw!$E$2:$E$1473='2018-19_working'!$K$6)*(raw!$F$2:$F$1473='2018-19_working'!M$7)*(raw!$G$2:$G$1473))</f>
        <v>0</v>
      </c>
      <c r="N13" s="8">
        <f>SUMPRODUCT((raw!$B$2:$B$1473='2018-19_working'!$A13)*(raw!$E$2:$E$1473='2018-19_working'!$K$6)*(raw!$F$2:$F$1473='2018-19_working'!N$7)*(raw!$G$2:$G$1473))</f>
        <v>1</v>
      </c>
      <c r="O13" s="8">
        <f>SUMPRODUCT((raw!$B$2:$B$1473='2018-19_working'!$A13)*(raw!$E$2:$E$1473='2018-19_working'!$K$6)*(raw!$F$2:$F$1473='2018-19_working'!O$7)*(raw!$G$2:$G$1473))</f>
        <v>0</v>
      </c>
      <c r="P13" s="8">
        <f>SUMPRODUCT((raw!$B$2:$B$1473='2018-19_working'!$A13)*(raw!$E$2:$E$1473='2018-19_working'!$K$6)*(raw!$F$2:$F$1473='2018-19_working'!P$7)*(raw!$G$2:$G$1473))</f>
        <v>0</v>
      </c>
      <c r="Q13" s="8">
        <f>SUMPRODUCT((raw!$B$2:$B$1473='2018-19_working'!$A13)*(raw!$E$2:$E$1473='2018-19_working'!$K$6)*(raw!$F$2:$F$1473='2018-19_working'!Q$7)*(raw!$G$2:$G$1473))</f>
        <v>0</v>
      </c>
      <c r="R13" s="8">
        <f>SUMPRODUCT((raw!$B$2:$B$1473='2018-19_working'!$A13)*(raw!$E$2:$E$1473='2018-19_working'!$K$6)*(raw!$F$2:$F$1473='2018-19_working'!R$7)*(raw!$G$2:$G$1473))</f>
        <v>0</v>
      </c>
      <c r="T13" s="8">
        <f>SUMPRODUCT((raw!$B$2:$B$1473='2018-19_working'!$A13)*(raw!$E$2:$E$1473='2018-19_working'!$T$6)*(raw!$F$2:$F$1473='2018-19_working'!T$7)*(raw!$G$2:$G$1473))</f>
        <v>0</v>
      </c>
      <c r="U13" s="8">
        <f>SUMPRODUCT((raw!$B$2:$B$1473='2018-19_working'!$A13)*(raw!$E$2:$E$1473='2018-19_working'!$T$6)*(raw!$F$2:$F$1473='2018-19_working'!U$7)*(raw!$G$2:$G$1473))</f>
        <v>0</v>
      </c>
      <c r="V13" s="8">
        <f>SUMPRODUCT((raw!$B$2:$B$1473='2018-19_working'!$A13)*(raw!$E$2:$E$1473='2018-19_working'!$T$6)*(raw!$F$2:$F$1473='2018-19_working'!V$7)*(raw!$G$2:$G$1473))</f>
        <v>0</v>
      </c>
      <c r="W13" s="8">
        <f>SUMPRODUCT((raw!$B$2:$B$1473='2018-19_working'!$A13)*(raw!$E$2:$E$1473='2018-19_working'!$T$6)*(raw!$F$2:$F$1473='2018-19_working'!W$7)*(raw!$G$2:$G$1473))</f>
        <v>0</v>
      </c>
      <c r="X13" s="8">
        <f>SUMPRODUCT((raw!$B$2:$B$1473='2018-19_working'!$A13)*(raw!$E$2:$E$1473='2018-19_working'!$T$6)*(raw!$F$2:$F$1473='2018-19_working'!X$7)*(raw!$G$2:$G$1473))</f>
        <v>0</v>
      </c>
      <c r="Y13" s="8">
        <f>SUMPRODUCT((raw!$B$2:$B$1473='2018-19_working'!$A13)*(raw!$E$2:$E$1473='2018-19_working'!$T$6)*(raw!$F$2:$F$1473='2018-19_working'!Y$7)*(raw!$G$2:$G$1473))</f>
        <v>0</v>
      </c>
      <c r="Z13" s="8">
        <f>SUMPRODUCT((raw!$B$2:$B$1473='2018-19_working'!$A13)*(raw!$E$2:$E$1473='2018-19_working'!$T$6)*(raw!$F$2:$F$1473='2018-19_working'!Z$7)*(raw!$G$2:$G$1473))</f>
        <v>0</v>
      </c>
      <c r="AA13" s="8">
        <f>SUMPRODUCT((raw!$B$2:$B$1473='2018-19_working'!$A13)*(raw!$E$2:$E$1473='2018-19_working'!$T$6)*(raw!$F$2:$F$1473='2018-19_working'!AA$7)*(raw!$G$2:$G$1473))</f>
        <v>0</v>
      </c>
      <c r="AC13" s="8">
        <f>SUMPRODUCT((raw!$B$2:$B$1473='2018-19_working'!$A13)*(raw!$E$2:$E$1473='2018-19_working'!$AC$6)*(raw!$F$2:$F$1473='2018-19_working'!AC$7)*(raw!$G$2:$G$1473))</f>
        <v>5</v>
      </c>
      <c r="AD13" s="8">
        <f>SUMPRODUCT((raw!$B$2:$B$1473='2018-19_working'!$A13)*(raw!$E$2:$E$1473='2018-19_working'!$AC$6)*(raw!$F$2:$F$1473='2018-19_working'!AD$7)*(raw!$G$2:$G$1473))</f>
        <v>0</v>
      </c>
      <c r="AE13" s="8">
        <f>SUMPRODUCT((raw!$B$2:$B$1473='2018-19_working'!$A13)*(raw!$E$2:$E$1473='2018-19_working'!$AC$6)*(raw!$F$2:$F$1473='2018-19_working'!AE$7)*(raw!$G$2:$G$1473))</f>
        <v>0</v>
      </c>
      <c r="AF13" s="8">
        <f>SUMPRODUCT((raw!$B$2:$B$1473='2018-19_working'!$A13)*(raw!$E$2:$E$1473='2018-19_working'!$AC$6)*(raw!$F$2:$F$1473='2018-19_working'!AF$7)*(raw!$G$2:$G$1473))</f>
        <v>0</v>
      </c>
      <c r="AG13" s="8">
        <f>SUMPRODUCT((raw!$B$2:$B$1473='2018-19_working'!$A13)*(raw!$E$2:$E$1473='2018-19_working'!$AC$6)*(raw!$F$2:$F$1473='2018-19_working'!AG$7)*(raw!$G$2:$G$1473))</f>
        <v>1</v>
      </c>
      <c r="AH13" s="8">
        <f>SUMPRODUCT((raw!$B$2:$B$1473='2018-19_working'!$A13)*(raw!$E$2:$E$1473='2018-19_working'!$AC$6)*(raw!$F$2:$F$1473='2018-19_working'!AH$7)*(raw!$G$2:$G$1473))</f>
        <v>0</v>
      </c>
      <c r="AI13" s="8">
        <f>SUMPRODUCT((raw!$B$2:$B$1473='2018-19_working'!$A13)*(raw!$E$2:$E$1473='2018-19_working'!$AC$6)*(raw!$F$2:$F$1473='2018-19_working'!AI$7)*(raw!$G$2:$G$1473))</f>
        <v>0</v>
      </c>
      <c r="AJ13" s="8">
        <f>SUMPRODUCT((raw!$B$2:$B$1473='2018-19_working'!$A13)*(raw!$E$2:$E$1473='2018-19_working'!$AC$6)*(raw!$F$2:$F$1473='2018-19_working'!AJ$7)*(raw!$G$2:$G$1473))</f>
        <v>0</v>
      </c>
    </row>
    <row r="14" spans="1:36" x14ac:dyDescent="0.35">
      <c r="A14" s="8" t="s">
        <v>21</v>
      </c>
      <c r="B14" s="8">
        <f>SUMPRODUCT((raw!$B$2:$B$1473='2018-19_working'!$A14)*(raw!$E$2:$E$1473='2018-19_working'!$B$6:$I$6)*(raw!$F$2:$F$1473='2018-19_working'!B$7)*(raw!$G$2:$G$1473))</f>
        <v>12</v>
      </c>
      <c r="C14" s="8">
        <f>SUMPRODUCT((raw!$B$2:$B$1473='2018-19_working'!$A14)*(raw!$E$2:$E$1473='2018-19_working'!$B$6:$I$6)*(raw!$F$2:$F$1473='2018-19_working'!C$7)*(raw!$G$2:$G$1473))</f>
        <v>0</v>
      </c>
      <c r="D14" s="8">
        <f>SUMPRODUCT((raw!$B$2:$B$1473='2018-19_working'!$A14)*(raw!$E$2:$E$1473='2018-19_working'!$B$6:$I$6)*(raw!$F$2:$F$1473='2018-19_working'!D$7)*(raw!$G$2:$G$1473))</f>
        <v>0</v>
      </c>
      <c r="E14" s="8">
        <f>SUMPRODUCT((raw!$B$2:$B$1473='2018-19_working'!$A14)*(raw!$E$2:$E$1473='2018-19_working'!$B$6:$I$6)*(raw!$F$2:$F$1473='2018-19_working'!E$7)*(raw!$G$2:$G$1473))</f>
        <v>0</v>
      </c>
      <c r="F14" s="8">
        <f>SUMPRODUCT((raw!$B$2:$B$1473='2018-19_working'!$A14)*(raw!$E$2:$E$1473='2018-19_working'!$B$6:$I$6)*(raw!$F$2:$F$1473='2018-19_working'!F$7)*(raw!$G$2:$G$1473))</f>
        <v>0</v>
      </c>
      <c r="G14" s="8">
        <f>SUMPRODUCT((raw!$B$2:$B$1473='2018-19_working'!$A14)*(raw!$E$2:$E$1473='2018-19_working'!$B$6:$I$6)*(raw!$F$2:$F$1473='2018-19_working'!G$7)*(raw!$G$2:$G$1473))</f>
        <v>0</v>
      </c>
      <c r="H14" s="8">
        <f>SUMPRODUCT((raw!$B$2:$B$1473='2018-19_working'!$A14)*(raw!$E$2:$E$1473='2018-19_working'!$B$6:$I$6)*(raw!$F$2:$F$1473='2018-19_working'!H$7)*(raw!$G$2:$G$1473))</f>
        <v>0</v>
      </c>
      <c r="I14" s="8">
        <f>SUMPRODUCT((raw!$B$2:$B$1473='2018-19_working'!$A14)*(raw!$E$2:$E$1473='2018-19_working'!$B$6:$I$6)*(raw!$F$2:$F$1473='2018-19_working'!I$7)*(raw!$G$2:$G$1473))</f>
        <v>2</v>
      </c>
      <c r="K14" s="8">
        <f>SUMPRODUCT((raw!$B$2:$B$1473='2018-19_working'!$A14)*(raw!$E$2:$E$1473='2018-19_working'!$K$6)*(raw!$F$2:$F$1473='2018-19_working'!K$7)*(raw!$G$2:$G$1473))</f>
        <v>29</v>
      </c>
      <c r="L14" s="8">
        <f>SUMPRODUCT((raw!$B$2:$B$1473='2018-19_working'!$A14)*(raw!$E$2:$E$1473='2018-19_working'!$K$6)*(raw!$F$2:$F$1473='2018-19_working'!L$7)*(raw!$G$2:$G$1473))</f>
        <v>3</v>
      </c>
      <c r="M14" s="8">
        <f>SUMPRODUCT((raw!$B$2:$B$1473='2018-19_working'!$A14)*(raw!$E$2:$E$1473='2018-19_working'!$K$6)*(raw!$F$2:$F$1473='2018-19_working'!M$7)*(raw!$G$2:$G$1473))</f>
        <v>0</v>
      </c>
      <c r="N14" s="8">
        <f>SUMPRODUCT((raw!$B$2:$B$1473='2018-19_working'!$A14)*(raw!$E$2:$E$1473='2018-19_working'!$K$6)*(raw!$F$2:$F$1473='2018-19_working'!N$7)*(raw!$G$2:$G$1473))</f>
        <v>0</v>
      </c>
      <c r="O14" s="8">
        <f>SUMPRODUCT((raw!$B$2:$B$1473='2018-19_working'!$A14)*(raw!$E$2:$E$1473='2018-19_working'!$K$6)*(raw!$F$2:$F$1473='2018-19_working'!O$7)*(raw!$G$2:$G$1473))</f>
        <v>0</v>
      </c>
      <c r="P14" s="8">
        <f>SUMPRODUCT((raw!$B$2:$B$1473='2018-19_working'!$A14)*(raw!$E$2:$E$1473='2018-19_working'!$K$6)*(raw!$F$2:$F$1473='2018-19_working'!P$7)*(raw!$G$2:$G$1473))</f>
        <v>0</v>
      </c>
      <c r="Q14" s="8">
        <f>SUMPRODUCT((raw!$B$2:$B$1473='2018-19_working'!$A14)*(raw!$E$2:$E$1473='2018-19_working'!$K$6)*(raw!$F$2:$F$1473='2018-19_working'!Q$7)*(raw!$G$2:$G$1473))</f>
        <v>0</v>
      </c>
      <c r="R14" s="8">
        <f>SUMPRODUCT((raw!$B$2:$B$1473='2018-19_working'!$A14)*(raw!$E$2:$E$1473='2018-19_working'!$K$6)*(raw!$F$2:$F$1473='2018-19_working'!R$7)*(raw!$G$2:$G$1473))</f>
        <v>4</v>
      </c>
      <c r="T14" s="8">
        <f>SUMPRODUCT((raw!$B$2:$B$1473='2018-19_working'!$A14)*(raw!$E$2:$E$1473='2018-19_working'!$T$6)*(raw!$F$2:$F$1473='2018-19_working'!T$7)*(raw!$G$2:$G$1473))</f>
        <v>8</v>
      </c>
      <c r="U14" s="8">
        <f>SUMPRODUCT((raw!$B$2:$B$1473='2018-19_working'!$A14)*(raw!$E$2:$E$1473='2018-19_working'!$T$6)*(raw!$F$2:$F$1473='2018-19_working'!U$7)*(raw!$G$2:$G$1473))</f>
        <v>0</v>
      </c>
      <c r="V14" s="8">
        <f>SUMPRODUCT((raw!$B$2:$B$1473='2018-19_working'!$A14)*(raw!$E$2:$E$1473='2018-19_working'!$T$6)*(raw!$F$2:$F$1473='2018-19_working'!V$7)*(raw!$G$2:$G$1473))</f>
        <v>0</v>
      </c>
      <c r="W14" s="8">
        <f>SUMPRODUCT((raw!$B$2:$B$1473='2018-19_working'!$A14)*(raw!$E$2:$E$1473='2018-19_working'!$T$6)*(raw!$F$2:$F$1473='2018-19_working'!W$7)*(raw!$G$2:$G$1473))</f>
        <v>0</v>
      </c>
      <c r="X14" s="8">
        <f>SUMPRODUCT((raw!$B$2:$B$1473='2018-19_working'!$A14)*(raw!$E$2:$E$1473='2018-19_working'!$T$6)*(raw!$F$2:$F$1473='2018-19_working'!X$7)*(raw!$G$2:$G$1473))</f>
        <v>0</v>
      </c>
      <c r="Y14" s="8">
        <f>SUMPRODUCT((raw!$B$2:$B$1473='2018-19_working'!$A14)*(raw!$E$2:$E$1473='2018-19_working'!$T$6)*(raw!$F$2:$F$1473='2018-19_working'!Y$7)*(raw!$G$2:$G$1473))</f>
        <v>0</v>
      </c>
      <c r="Z14" s="8">
        <f>SUMPRODUCT((raw!$B$2:$B$1473='2018-19_working'!$A14)*(raw!$E$2:$E$1473='2018-19_working'!$T$6)*(raw!$F$2:$F$1473='2018-19_working'!Z$7)*(raw!$G$2:$G$1473))</f>
        <v>0</v>
      </c>
      <c r="AA14" s="8">
        <f>SUMPRODUCT((raw!$B$2:$B$1473='2018-19_working'!$A14)*(raw!$E$2:$E$1473='2018-19_working'!$T$6)*(raw!$F$2:$F$1473='2018-19_working'!AA$7)*(raw!$G$2:$G$1473))</f>
        <v>4</v>
      </c>
      <c r="AC14" s="8">
        <f>SUMPRODUCT((raw!$B$2:$B$1473='2018-19_working'!$A14)*(raw!$E$2:$E$1473='2018-19_working'!$AC$6)*(raw!$F$2:$F$1473='2018-19_working'!AC$7)*(raw!$G$2:$G$1473))</f>
        <v>12</v>
      </c>
      <c r="AD14" s="8">
        <f>SUMPRODUCT((raw!$B$2:$B$1473='2018-19_working'!$A14)*(raw!$E$2:$E$1473='2018-19_working'!$AC$6)*(raw!$F$2:$F$1473='2018-19_working'!AD$7)*(raw!$G$2:$G$1473))</f>
        <v>0</v>
      </c>
      <c r="AE14" s="8">
        <f>SUMPRODUCT((raw!$B$2:$B$1473='2018-19_working'!$A14)*(raw!$E$2:$E$1473='2018-19_working'!$AC$6)*(raw!$F$2:$F$1473='2018-19_working'!AE$7)*(raw!$G$2:$G$1473))</f>
        <v>1</v>
      </c>
      <c r="AF14" s="8">
        <f>SUMPRODUCT((raw!$B$2:$B$1473='2018-19_working'!$A14)*(raw!$E$2:$E$1473='2018-19_working'!$AC$6)*(raw!$F$2:$F$1473='2018-19_working'!AF$7)*(raw!$G$2:$G$1473))</f>
        <v>1</v>
      </c>
      <c r="AG14" s="8">
        <f>SUMPRODUCT((raw!$B$2:$B$1473='2018-19_working'!$A14)*(raw!$E$2:$E$1473='2018-19_working'!$AC$6)*(raw!$F$2:$F$1473='2018-19_working'!AG$7)*(raw!$G$2:$G$1473))</f>
        <v>2</v>
      </c>
      <c r="AH14" s="8">
        <f>SUMPRODUCT((raw!$B$2:$B$1473='2018-19_working'!$A14)*(raw!$E$2:$E$1473='2018-19_working'!$AC$6)*(raw!$F$2:$F$1473='2018-19_working'!AH$7)*(raw!$G$2:$G$1473))</f>
        <v>0</v>
      </c>
      <c r="AI14" s="8">
        <f>SUMPRODUCT((raw!$B$2:$B$1473='2018-19_working'!$A14)*(raw!$E$2:$E$1473='2018-19_working'!$AC$6)*(raw!$F$2:$F$1473='2018-19_working'!AI$7)*(raw!$G$2:$G$1473))</f>
        <v>0</v>
      </c>
      <c r="AJ14" s="8">
        <f>SUMPRODUCT((raw!$B$2:$B$1473='2018-19_working'!$A14)*(raw!$E$2:$E$1473='2018-19_working'!$AC$6)*(raw!$F$2:$F$1473='2018-19_working'!AJ$7)*(raw!$G$2:$G$1473))</f>
        <v>5</v>
      </c>
    </row>
    <row r="15" spans="1:36" x14ac:dyDescent="0.35">
      <c r="A15" s="8" t="s">
        <v>22</v>
      </c>
      <c r="B15" s="8">
        <f>SUMPRODUCT((raw!$B$2:$B$1473='2018-19_working'!$A15)*(raw!$E$2:$E$1473='2018-19_working'!$B$6:$I$6)*(raw!$F$2:$F$1473='2018-19_working'!B$7)*(raw!$G$2:$G$1473))</f>
        <v>49</v>
      </c>
      <c r="C15" s="8">
        <f>SUMPRODUCT((raw!$B$2:$B$1473='2018-19_working'!$A15)*(raw!$E$2:$E$1473='2018-19_working'!$B$6:$I$6)*(raw!$F$2:$F$1473='2018-19_working'!C$7)*(raw!$G$2:$G$1473))</f>
        <v>0</v>
      </c>
      <c r="D15" s="8">
        <f>SUMPRODUCT((raw!$B$2:$B$1473='2018-19_working'!$A15)*(raw!$E$2:$E$1473='2018-19_working'!$B$6:$I$6)*(raw!$F$2:$F$1473='2018-19_working'!D$7)*(raw!$G$2:$G$1473))</f>
        <v>0</v>
      </c>
      <c r="E15" s="8">
        <f>SUMPRODUCT((raw!$B$2:$B$1473='2018-19_working'!$A15)*(raw!$E$2:$E$1473='2018-19_working'!$B$6:$I$6)*(raw!$F$2:$F$1473='2018-19_working'!E$7)*(raw!$G$2:$G$1473))</f>
        <v>0</v>
      </c>
      <c r="F15" s="8">
        <f>SUMPRODUCT((raw!$B$2:$B$1473='2018-19_working'!$A15)*(raw!$E$2:$E$1473='2018-19_working'!$B$6:$I$6)*(raw!$F$2:$F$1473='2018-19_working'!F$7)*(raw!$G$2:$G$1473))</f>
        <v>0</v>
      </c>
      <c r="G15" s="8">
        <f>SUMPRODUCT((raw!$B$2:$B$1473='2018-19_working'!$A15)*(raw!$E$2:$E$1473='2018-19_working'!$B$6:$I$6)*(raw!$F$2:$F$1473='2018-19_working'!G$7)*(raw!$G$2:$G$1473))</f>
        <v>0</v>
      </c>
      <c r="H15" s="8">
        <f>SUMPRODUCT((raw!$B$2:$B$1473='2018-19_working'!$A15)*(raw!$E$2:$E$1473='2018-19_working'!$B$6:$I$6)*(raw!$F$2:$F$1473='2018-19_working'!H$7)*(raw!$G$2:$G$1473))</f>
        <v>1</v>
      </c>
      <c r="I15" s="8">
        <f>SUMPRODUCT((raw!$B$2:$B$1473='2018-19_working'!$A15)*(raw!$E$2:$E$1473='2018-19_working'!$B$6:$I$6)*(raw!$F$2:$F$1473='2018-19_working'!I$7)*(raw!$G$2:$G$1473))</f>
        <v>4</v>
      </c>
      <c r="K15" s="8">
        <f>SUMPRODUCT((raw!$B$2:$B$1473='2018-19_working'!$A15)*(raw!$E$2:$E$1473='2018-19_working'!$K$6)*(raw!$F$2:$F$1473='2018-19_working'!K$7)*(raw!$G$2:$G$1473))</f>
        <v>26</v>
      </c>
      <c r="L15" s="8">
        <f>SUMPRODUCT((raw!$B$2:$B$1473='2018-19_working'!$A15)*(raw!$E$2:$E$1473='2018-19_working'!$K$6)*(raw!$F$2:$F$1473='2018-19_working'!L$7)*(raw!$G$2:$G$1473))</f>
        <v>0</v>
      </c>
      <c r="M15" s="8">
        <f>SUMPRODUCT((raw!$B$2:$B$1473='2018-19_working'!$A15)*(raw!$E$2:$E$1473='2018-19_working'!$K$6)*(raw!$F$2:$F$1473='2018-19_working'!M$7)*(raw!$G$2:$G$1473))</f>
        <v>0</v>
      </c>
      <c r="N15" s="8">
        <f>SUMPRODUCT((raw!$B$2:$B$1473='2018-19_working'!$A15)*(raw!$E$2:$E$1473='2018-19_working'!$K$6)*(raw!$F$2:$F$1473='2018-19_working'!N$7)*(raw!$G$2:$G$1473))</f>
        <v>0</v>
      </c>
      <c r="O15" s="8">
        <f>SUMPRODUCT((raw!$B$2:$B$1473='2018-19_working'!$A15)*(raw!$E$2:$E$1473='2018-19_working'!$K$6)*(raw!$F$2:$F$1473='2018-19_working'!O$7)*(raw!$G$2:$G$1473))</f>
        <v>0</v>
      </c>
      <c r="P15" s="8">
        <f>SUMPRODUCT((raw!$B$2:$B$1473='2018-19_working'!$A15)*(raw!$E$2:$E$1473='2018-19_working'!$K$6)*(raw!$F$2:$F$1473='2018-19_working'!P$7)*(raw!$G$2:$G$1473))</f>
        <v>0</v>
      </c>
      <c r="Q15" s="8">
        <f>SUMPRODUCT((raw!$B$2:$B$1473='2018-19_working'!$A15)*(raw!$E$2:$E$1473='2018-19_working'!$K$6)*(raw!$F$2:$F$1473='2018-19_working'!Q$7)*(raw!$G$2:$G$1473))</f>
        <v>0</v>
      </c>
      <c r="R15" s="8">
        <f>SUMPRODUCT((raw!$B$2:$B$1473='2018-19_working'!$A15)*(raw!$E$2:$E$1473='2018-19_working'!$K$6)*(raw!$F$2:$F$1473='2018-19_working'!R$7)*(raw!$G$2:$G$1473))</f>
        <v>2</v>
      </c>
      <c r="T15" s="8">
        <f>SUMPRODUCT((raw!$B$2:$B$1473='2018-19_working'!$A15)*(raw!$E$2:$E$1473='2018-19_working'!$T$6)*(raw!$F$2:$F$1473='2018-19_working'!T$7)*(raw!$G$2:$G$1473))</f>
        <v>0</v>
      </c>
      <c r="U15" s="8">
        <f>SUMPRODUCT((raw!$B$2:$B$1473='2018-19_working'!$A15)*(raw!$E$2:$E$1473='2018-19_working'!$T$6)*(raw!$F$2:$F$1473='2018-19_working'!U$7)*(raw!$G$2:$G$1473))</f>
        <v>0</v>
      </c>
      <c r="V15" s="8">
        <f>SUMPRODUCT((raw!$B$2:$B$1473='2018-19_working'!$A15)*(raw!$E$2:$E$1473='2018-19_working'!$T$6)*(raw!$F$2:$F$1473='2018-19_working'!V$7)*(raw!$G$2:$G$1473))</f>
        <v>0</v>
      </c>
      <c r="W15" s="8">
        <f>SUMPRODUCT((raw!$B$2:$B$1473='2018-19_working'!$A15)*(raw!$E$2:$E$1473='2018-19_working'!$T$6)*(raw!$F$2:$F$1473='2018-19_working'!W$7)*(raw!$G$2:$G$1473))</f>
        <v>0</v>
      </c>
      <c r="X15" s="8">
        <f>SUMPRODUCT((raw!$B$2:$B$1473='2018-19_working'!$A15)*(raw!$E$2:$E$1473='2018-19_working'!$T$6)*(raw!$F$2:$F$1473='2018-19_working'!X$7)*(raw!$G$2:$G$1473))</f>
        <v>0</v>
      </c>
      <c r="Y15" s="8">
        <f>SUMPRODUCT((raw!$B$2:$B$1473='2018-19_working'!$A15)*(raw!$E$2:$E$1473='2018-19_working'!$T$6)*(raw!$F$2:$F$1473='2018-19_working'!Y$7)*(raw!$G$2:$G$1473))</f>
        <v>0</v>
      </c>
      <c r="Z15" s="8">
        <f>SUMPRODUCT((raw!$B$2:$B$1473='2018-19_working'!$A15)*(raw!$E$2:$E$1473='2018-19_working'!$T$6)*(raw!$F$2:$F$1473='2018-19_working'!Z$7)*(raw!$G$2:$G$1473))</f>
        <v>0</v>
      </c>
      <c r="AA15" s="8">
        <f>SUMPRODUCT((raw!$B$2:$B$1473='2018-19_working'!$A15)*(raw!$E$2:$E$1473='2018-19_working'!$T$6)*(raw!$F$2:$F$1473='2018-19_working'!AA$7)*(raw!$G$2:$G$1473))</f>
        <v>0</v>
      </c>
      <c r="AC15" s="8">
        <f>SUMPRODUCT((raw!$B$2:$B$1473='2018-19_working'!$A15)*(raw!$E$2:$E$1473='2018-19_working'!$AC$6)*(raw!$F$2:$F$1473='2018-19_working'!AC$7)*(raw!$G$2:$G$1473))</f>
        <v>16</v>
      </c>
      <c r="AD15" s="8">
        <f>SUMPRODUCT((raw!$B$2:$B$1473='2018-19_working'!$A15)*(raw!$E$2:$E$1473='2018-19_working'!$AC$6)*(raw!$F$2:$F$1473='2018-19_working'!AD$7)*(raw!$G$2:$G$1473))</f>
        <v>0</v>
      </c>
      <c r="AE15" s="8">
        <f>SUMPRODUCT((raw!$B$2:$B$1473='2018-19_working'!$A15)*(raw!$E$2:$E$1473='2018-19_working'!$AC$6)*(raw!$F$2:$F$1473='2018-19_working'!AE$7)*(raw!$G$2:$G$1473))</f>
        <v>0</v>
      </c>
      <c r="AF15" s="8">
        <f>SUMPRODUCT((raw!$B$2:$B$1473='2018-19_working'!$A15)*(raw!$E$2:$E$1473='2018-19_working'!$AC$6)*(raw!$F$2:$F$1473='2018-19_working'!AF$7)*(raw!$G$2:$G$1473))</f>
        <v>0</v>
      </c>
      <c r="AG15" s="8">
        <f>SUMPRODUCT((raw!$B$2:$B$1473='2018-19_working'!$A15)*(raw!$E$2:$E$1473='2018-19_working'!$AC$6)*(raw!$F$2:$F$1473='2018-19_working'!AG$7)*(raw!$G$2:$G$1473))</f>
        <v>0</v>
      </c>
      <c r="AH15" s="8">
        <f>SUMPRODUCT((raw!$B$2:$B$1473='2018-19_working'!$A15)*(raw!$E$2:$E$1473='2018-19_working'!$AC$6)*(raw!$F$2:$F$1473='2018-19_working'!AH$7)*(raw!$G$2:$G$1473))</f>
        <v>0</v>
      </c>
      <c r="AI15" s="8">
        <f>SUMPRODUCT((raw!$B$2:$B$1473='2018-19_working'!$A15)*(raw!$E$2:$E$1473='2018-19_working'!$AC$6)*(raw!$F$2:$F$1473='2018-19_working'!AI$7)*(raw!$G$2:$G$1473))</f>
        <v>0</v>
      </c>
      <c r="AJ15" s="8">
        <f>SUMPRODUCT((raw!$B$2:$B$1473='2018-19_working'!$A15)*(raw!$E$2:$E$1473='2018-19_working'!$AC$6)*(raw!$F$2:$F$1473='2018-19_working'!AJ$7)*(raw!$G$2:$G$1473))</f>
        <v>0</v>
      </c>
    </row>
    <row r="16" spans="1:36" x14ac:dyDescent="0.35">
      <c r="A16" s="8" t="s">
        <v>23</v>
      </c>
      <c r="B16" s="8">
        <f>SUMPRODUCT((raw!$B$2:$B$1473='2018-19_working'!$A16)*(raw!$E$2:$E$1473='2018-19_working'!$B$6:$I$6)*(raw!$F$2:$F$1473='2018-19_working'!B$7)*(raw!$G$2:$G$1473))</f>
        <v>36</v>
      </c>
      <c r="C16" s="8">
        <f>SUMPRODUCT((raw!$B$2:$B$1473='2018-19_working'!$A16)*(raw!$E$2:$E$1473='2018-19_working'!$B$6:$I$6)*(raw!$F$2:$F$1473='2018-19_working'!C$7)*(raw!$G$2:$G$1473))</f>
        <v>0</v>
      </c>
      <c r="D16" s="8">
        <f>SUMPRODUCT((raw!$B$2:$B$1473='2018-19_working'!$A16)*(raw!$E$2:$E$1473='2018-19_working'!$B$6:$I$6)*(raw!$F$2:$F$1473='2018-19_working'!D$7)*(raw!$G$2:$G$1473))</f>
        <v>0</v>
      </c>
      <c r="E16" s="8">
        <f>SUMPRODUCT((raw!$B$2:$B$1473='2018-19_working'!$A16)*(raw!$E$2:$E$1473='2018-19_working'!$B$6:$I$6)*(raw!$F$2:$F$1473='2018-19_working'!E$7)*(raw!$G$2:$G$1473))</f>
        <v>0</v>
      </c>
      <c r="F16" s="8">
        <f>SUMPRODUCT((raw!$B$2:$B$1473='2018-19_working'!$A16)*(raw!$E$2:$E$1473='2018-19_working'!$B$6:$I$6)*(raw!$F$2:$F$1473='2018-19_working'!F$7)*(raw!$G$2:$G$1473))</f>
        <v>0</v>
      </c>
      <c r="G16" s="8">
        <f>SUMPRODUCT((raw!$B$2:$B$1473='2018-19_working'!$A16)*(raw!$E$2:$E$1473='2018-19_working'!$B$6:$I$6)*(raw!$F$2:$F$1473='2018-19_working'!G$7)*(raw!$G$2:$G$1473))</f>
        <v>0</v>
      </c>
      <c r="H16" s="8">
        <f>SUMPRODUCT((raw!$B$2:$B$1473='2018-19_working'!$A16)*(raw!$E$2:$E$1473='2018-19_working'!$B$6:$I$6)*(raw!$F$2:$F$1473='2018-19_working'!H$7)*(raw!$G$2:$G$1473))</f>
        <v>0</v>
      </c>
      <c r="I16" s="8">
        <f>SUMPRODUCT((raw!$B$2:$B$1473='2018-19_working'!$A16)*(raw!$E$2:$E$1473='2018-19_working'!$B$6:$I$6)*(raw!$F$2:$F$1473='2018-19_working'!I$7)*(raw!$G$2:$G$1473))</f>
        <v>0</v>
      </c>
      <c r="K16" s="8">
        <f>SUMPRODUCT((raw!$B$2:$B$1473='2018-19_working'!$A16)*(raw!$E$2:$E$1473='2018-19_working'!$K$6)*(raw!$F$2:$F$1473='2018-19_working'!K$7)*(raw!$G$2:$G$1473))</f>
        <v>13</v>
      </c>
      <c r="L16" s="8">
        <f>SUMPRODUCT((raw!$B$2:$B$1473='2018-19_working'!$A16)*(raw!$E$2:$E$1473='2018-19_working'!$K$6)*(raw!$F$2:$F$1473='2018-19_working'!L$7)*(raw!$G$2:$G$1473))</f>
        <v>0</v>
      </c>
      <c r="M16" s="8">
        <f>SUMPRODUCT((raw!$B$2:$B$1473='2018-19_working'!$A16)*(raw!$E$2:$E$1473='2018-19_working'!$K$6)*(raw!$F$2:$F$1473='2018-19_working'!M$7)*(raw!$G$2:$G$1473))</f>
        <v>0</v>
      </c>
      <c r="N16" s="8">
        <f>SUMPRODUCT((raw!$B$2:$B$1473='2018-19_working'!$A16)*(raw!$E$2:$E$1473='2018-19_working'!$K$6)*(raw!$F$2:$F$1473='2018-19_working'!N$7)*(raw!$G$2:$G$1473))</f>
        <v>0</v>
      </c>
      <c r="O16" s="8">
        <f>SUMPRODUCT((raw!$B$2:$B$1473='2018-19_working'!$A16)*(raw!$E$2:$E$1473='2018-19_working'!$K$6)*(raw!$F$2:$F$1473='2018-19_working'!O$7)*(raw!$G$2:$G$1473))</f>
        <v>0</v>
      </c>
      <c r="P16" s="8">
        <f>SUMPRODUCT((raw!$B$2:$B$1473='2018-19_working'!$A16)*(raw!$E$2:$E$1473='2018-19_working'!$K$6)*(raw!$F$2:$F$1473='2018-19_working'!P$7)*(raw!$G$2:$G$1473))</f>
        <v>0</v>
      </c>
      <c r="Q16" s="8">
        <f>SUMPRODUCT((raw!$B$2:$B$1473='2018-19_working'!$A16)*(raw!$E$2:$E$1473='2018-19_working'!$K$6)*(raw!$F$2:$F$1473='2018-19_working'!Q$7)*(raw!$G$2:$G$1473))</f>
        <v>0</v>
      </c>
      <c r="R16" s="8">
        <f>SUMPRODUCT((raw!$B$2:$B$1473='2018-19_working'!$A16)*(raw!$E$2:$E$1473='2018-19_working'!$K$6)*(raw!$F$2:$F$1473='2018-19_working'!R$7)*(raw!$G$2:$G$1473))</f>
        <v>0</v>
      </c>
      <c r="T16" s="8">
        <f>SUMPRODUCT((raw!$B$2:$B$1473='2018-19_working'!$A16)*(raw!$E$2:$E$1473='2018-19_working'!$T$6)*(raw!$F$2:$F$1473='2018-19_working'!T$7)*(raw!$G$2:$G$1473))</f>
        <v>2</v>
      </c>
      <c r="U16" s="8">
        <f>SUMPRODUCT((raw!$B$2:$B$1473='2018-19_working'!$A16)*(raw!$E$2:$E$1473='2018-19_working'!$T$6)*(raw!$F$2:$F$1473='2018-19_working'!U$7)*(raw!$G$2:$G$1473))</f>
        <v>0</v>
      </c>
      <c r="V16" s="8">
        <f>SUMPRODUCT((raw!$B$2:$B$1473='2018-19_working'!$A16)*(raw!$E$2:$E$1473='2018-19_working'!$T$6)*(raw!$F$2:$F$1473='2018-19_working'!V$7)*(raw!$G$2:$G$1473))</f>
        <v>0</v>
      </c>
      <c r="W16" s="8">
        <f>SUMPRODUCT((raw!$B$2:$B$1473='2018-19_working'!$A16)*(raw!$E$2:$E$1473='2018-19_working'!$T$6)*(raw!$F$2:$F$1473='2018-19_working'!W$7)*(raw!$G$2:$G$1473))</f>
        <v>0</v>
      </c>
      <c r="X16" s="8">
        <f>SUMPRODUCT((raw!$B$2:$B$1473='2018-19_working'!$A16)*(raw!$E$2:$E$1473='2018-19_working'!$T$6)*(raw!$F$2:$F$1473='2018-19_working'!X$7)*(raw!$G$2:$G$1473))</f>
        <v>0</v>
      </c>
      <c r="Y16" s="8">
        <f>SUMPRODUCT((raw!$B$2:$B$1473='2018-19_working'!$A16)*(raw!$E$2:$E$1473='2018-19_working'!$T$6)*(raw!$F$2:$F$1473='2018-19_working'!Y$7)*(raw!$G$2:$G$1473))</f>
        <v>0</v>
      </c>
      <c r="Z16" s="8">
        <f>SUMPRODUCT((raw!$B$2:$B$1473='2018-19_working'!$A16)*(raw!$E$2:$E$1473='2018-19_working'!$T$6)*(raw!$F$2:$F$1473='2018-19_working'!Z$7)*(raw!$G$2:$G$1473))</f>
        <v>0</v>
      </c>
      <c r="AA16" s="8">
        <f>SUMPRODUCT((raw!$B$2:$B$1473='2018-19_working'!$A16)*(raw!$E$2:$E$1473='2018-19_working'!$T$6)*(raw!$F$2:$F$1473='2018-19_working'!AA$7)*(raw!$G$2:$G$1473))</f>
        <v>0</v>
      </c>
      <c r="AC16" s="8">
        <f>SUMPRODUCT((raw!$B$2:$B$1473='2018-19_working'!$A16)*(raw!$E$2:$E$1473='2018-19_working'!$AC$6)*(raw!$F$2:$F$1473='2018-19_working'!AC$7)*(raw!$G$2:$G$1473))</f>
        <v>12</v>
      </c>
      <c r="AD16" s="8">
        <f>SUMPRODUCT((raw!$B$2:$B$1473='2018-19_working'!$A16)*(raw!$E$2:$E$1473='2018-19_working'!$AC$6)*(raw!$F$2:$F$1473='2018-19_working'!AD$7)*(raw!$G$2:$G$1473))</f>
        <v>0</v>
      </c>
      <c r="AE16" s="8">
        <f>SUMPRODUCT((raw!$B$2:$B$1473='2018-19_working'!$A16)*(raw!$E$2:$E$1473='2018-19_working'!$AC$6)*(raw!$F$2:$F$1473='2018-19_working'!AE$7)*(raw!$G$2:$G$1473))</f>
        <v>0</v>
      </c>
      <c r="AF16" s="8">
        <f>SUMPRODUCT((raw!$B$2:$B$1473='2018-19_working'!$A16)*(raw!$E$2:$E$1473='2018-19_working'!$AC$6)*(raw!$F$2:$F$1473='2018-19_working'!AF$7)*(raw!$G$2:$G$1473))</f>
        <v>0</v>
      </c>
      <c r="AG16" s="8">
        <f>SUMPRODUCT((raw!$B$2:$B$1473='2018-19_working'!$A16)*(raw!$E$2:$E$1473='2018-19_working'!$AC$6)*(raw!$F$2:$F$1473='2018-19_working'!AG$7)*(raw!$G$2:$G$1473))</f>
        <v>0</v>
      </c>
      <c r="AH16" s="8">
        <f>SUMPRODUCT((raw!$B$2:$B$1473='2018-19_working'!$A16)*(raw!$E$2:$E$1473='2018-19_working'!$AC$6)*(raw!$F$2:$F$1473='2018-19_working'!AH$7)*(raw!$G$2:$G$1473))</f>
        <v>0</v>
      </c>
      <c r="AI16" s="8">
        <f>SUMPRODUCT((raw!$B$2:$B$1473='2018-19_working'!$A16)*(raw!$E$2:$E$1473='2018-19_working'!$AC$6)*(raw!$F$2:$F$1473='2018-19_working'!AI$7)*(raw!$G$2:$G$1473))</f>
        <v>0</v>
      </c>
      <c r="AJ16" s="8">
        <f>SUMPRODUCT((raw!$B$2:$B$1473='2018-19_working'!$A16)*(raw!$E$2:$E$1473='2018-19_working'!$AC$6)*(raw!$F$2:$F$1473='2018-19_working'!AJ$7)*(raw!$G$2:$G$1473))</f>
        <v>0</v>
      </c>
    </row>
    <row r="17" spans="1:36" x14ac:dyDescent="0.35">
      <c r="A17" s="8" t="s">
        <v>24</v>
      </c>
      <c r="B17" s="8">
        <f>SUMPRODUCT((raw!$B$2:$B$1473='2018-19_working'!$A17)*(raw!$E$2:$E$1473='2018-19_working'!$B$6:$I$6)*(raw!$F$2:$F$1473='2018-19_working'!B$7)*(raw!$G$2:$G$1473))</f>
        <v>10</v>
      </c>
      <c r="C17" s="8">
        <f>SUMPRODUCT((raw!$B$2:$B$1473='2018-19_working'!$A17)*(raw!$E$2:$E$1473='2018-19_working'!$B$6:$I$6)*(raw!$F$2:$F$1473='2018-19_working'!C$7)*(raw!$G$2:$G$1473))</f>
        <v>0</v>
      </c>
      <c r="D17" s="8">
        <f>SUMPRODUCT((raw!$B$2:$B$1473='2018-19_working'!$A17)*(raw!$E$2:$E$1473='2018-19_working'!$B$6:$I$6)*(raw!$F$2:$F$1473='2018-19_working'!D$7)*(raw!$G$2:$G$1473))</f>
        <v>0</v>
      </c>
      <c r="E17" s="8">
        <f>SUMPRODUCT((raw!$B$2:$B$1473='2018-19_working'!$A17)*(raw!$E$2:$E$1473='2018-19_working'!$B$6:$I$6)*(raw!$F$2:$F$1473='2018-19_working'!E$7)*(raw!$G$2:$G$1473))</f>
        <v>0</v>
      </c>
      <c r="F17" s="8">
        <f>SUMPRODUCT((raw!$B$2:$B$1473='2018-19_working'!$A17)*(raw!$E$2:$E$1473='2018-19_working'!$B$6:$I$6)*(raw!$F$2:$F$1473='2018-19_working'!F$7)*(raw!$G$2:$G$1473))</f>
        <v>1</v>
      </c>
      <c r="G17" s="8">
        <f>SUMPRODUCT((raw!$B$2:$B$1473='2018-19_working'!$A17)*(raw!$E$2:$E$1473='2018-19_working'!$B$6:$I$6)*(raw!$F$2:$F$1473='2018-19_working'!G$7)*(raw!$G$2:$G$1473))</f>
        <v>0</v>
      </c>
      <c r="H17" s="8">
        <f>SUMPRODUCT((raw!$B$2:$B$1473='2018-19_working'!$A17)*(raw!$E$2:$E$1473='2018-19_working'!$B$6:$I$6)*(raw!$F$2:$F$1473='2018-19_working'!H$7)*(raw!$G$2:$G$1473))</f>
        <v>0</v>
      </c>
      <c r="I17" s="8">
        <f>SUMPRODUCT((raw!$B$2:$B$1473='2018-19_working'!$A17)*(raw!$E$2:$E$1473='2018-19_working'!$B$6:$I$6)*(raw!$F$2:$F$1473='2018-19_working'!I$7)*(raw!$G$2:$G$1473))</f>
        <v>1</v>
      </c>
      <c r="K17" s="8">
        <f>SUMPRODUCT((raw!$B$2:$B$1473='2018-19_working'!$A17)*(raw!$E$2:$E$1473='2018-19_working'!$K$6)*(raw!$F$2:$F$1473='2018-19_working'!K$7)*(raw!$G$2:$G$1473))</f>
        <v>18</v>
      </c>
      <c r="L17" s="8">
        <f>SUMPRODUCT((raw!$B$2:$B$1473='2018-19_working'!$A17)*(raw!$E$2:$E$1473='2018-19_working'!$K$6)*(raw!$F$2:$F$1473='2018-19_working'!L$7)*(raw!$G$2:$G$1473))</f>
        <v>0</v>
      </c>
      <c r="M17" s="8">
        <f>SUMPRODUCT((raw!$B$2:$B$1473='2018-19_working'!$A17)*(raw!$E$2:$E$1473='2018-19_working'!$K$6)*(raw!$F$2:$F$1473='2018-19_working'!M$7)*(raw!$G$2:$G$1473))</f>
        <v>0</v>
      </c>
      <c r="N17" s="8">
        <f>SUMPRODUCT((raw!$B$2:$B$1473='2018-19_working'!$A17)*(raw!$E$2:$E$1473='2018-19_working'!$K$6)*(raw!$F$2:$F$1473='2018-19_working'!N$7)*(raw!$G$2:$G$1473))</f>
        <v>0</v>
      </c>
      <c r="O17" s="8">
        <f>SUMPRODUCT((raw!$B$2:$B$1473='2018-19_working'!$A17)*(raw!$E$2:$E$1473='2018-19_working'!$K$6)*(raw!$F$2:$F$1473='2018-19_working'!O$7)*(raw!$G$2:$G$1473))</f>
        <v>0</v>
      </c>
      <c r="P17" s="8">
        <f>SUMPRODUCT((raw!$B$2:$B$1473='2018-19_working'!$A17)*(raw!$E$2:$E$1473='2018-19_working'!$K$6)*(raw!$F$2:$F$1473='2018-19_working'!P$7)*(raw!$G$2:$G$1473))</f>
        <v>0</v>
      </c>
      <c r="Q17" s="8">
        <f>SUMPRODUCT((raw!$B$2:$B$1473='2018-19_working'!$A17)*(raw!$E$2:$E$1473='2018-19_working'!$K$6)*(raw!$F$2:$F$1473='2018-19_working'!Q$7)*(raw!$G$2:$G$1473))</f>
        <v>0</v>
      </c>
      <c r="R17" s="8">
        <f>SUMPRODUCT((raw!$B$2:$B$1473='2018-19_working'!$A17)*(raw!$E$2:$E$1473='2018-19_working'!$K$6)*(raw!$F$2:$F$1473='2018-19_working'!R$7)*(raw!$G$2:$G$1473))</f>
        <v>41</v>
      </c>
      <c r="T17" s="8">
        <f>SUMPRODUCT((raw!$B$2:$B$1473='2018-19_working'!$A17)*(raw!$E$2:$E$1473='2018-19_working'!$T$6)*(raw!$F$2:$F$1473='2018-19_working'!T$7)*(raw!$G$2:$G$1473))</f>
        <v>1</v>
      </c>
      <c r="U17" s="8">
        <f>SUMPRODUCT((raw!$B$2:$B$1473='2018-19_working'!$A17)*(raw!$E$2:$E$1473='2018-19_working'!$T$6)*(raw!$F$2:$F$1473='2018-19_working'!U$7)*(raw!$G$2:$G$1473))</f>
        <v>0</v>
      </c>
      <c r="V17" s="8">
        <f>SUMPRODUCT((raw!$B$2:$B$1473='2018-19_working'!$A17)*(raw!$E$2:$E$1473='2018-19_working'!$T$6)*(raw!$F$2:$F$1473='2018-19_working'!V$7)*(raw!$G$2:$G$1473))</f>
        <v>0</v>
      </c>
      <c r="W17" s="8">
        <f>SUMPRODUCT((raw!$B$2:$B$1473='2018-19_working'!$A17)*(raw!$E$2:$E$1473='2018-19_working'!$T$6)*(raw!$F$2:$F$1473='2018-19_working'!W$7)*(raw!$G$2:$G$1473))</f>
        <v>0</v>
      </c>
      <c r="X17" s="8">
        <f>SUMPRODUCT((raw!$B$2:$B$1473='2018-19_working'!$A17)*(raw!$E$2:$E$1473='2018-19_working'!$T$6)*(raw!$F$2:$F$1473='2018-19_working'!X$7)*(raw!$G$2:$G$1473))</f>
        <v>0</v>
      </c>
      <c r="Y17" s="8">
        <f>SUMPRODUCT((raw!$B$2:$B$1473='2018-19_working'!$A17)*(raw!$E$2:$E$1473='2018-19_working'!$T$6)*(raw!$F$2:$F$1473='2018-19_working'!Y$7)*(raw!$G$2:$G$1473))</f>
        <v>0</v>
      </c>
      <c r="Z17" s="8">
        <f>SUMPRODUCT((raw!$B$2:$B$1473='2018-19_working'!$A17)*(raw!$E$2:$E$1473='2018-19_working'!$T$6)*(raw!$F$2:$F$1473='2018-19_working'!Z$7)*(raw!$G$2:$G$1473))</f>
        <v>0</v>
      </c>
      <c r="AA17" s="8">
        <f>SUMPRODUCT((raw!$B$2:$B$1473='2018-19_working'!$A17)*(raw!$E$2:$E$1473='2018-19_working'!$T$6)*(raw!$F$2:$F$1473='2018-19_working'!AA$7)*(raw!$G$2:$G$1473))</f>
        <v>2</v>
      </c>
      <c r="AC17" s="8">
        <f>SUMPRODUCT((raw!$B$2:$B$1473='2018-19_working'!$A17)*(raw!$E$2:$E$1473='2018-19_working'!$AC$6)*(raw!$F$2:$F$1473='2018-19_working'!AC$7)*(raw!$G$2:$G$1473))</f>
        <v>2</v>
      </c>
      <c r="AD17" s="8">
        <f>SUMPRODUCT((raw!$B$2:$B$1473='2018-19_working'!$A17)*(raw!$E$2:$E$1473='2018-19_working'!$AC$6)*(raw!$F$2:$F$1473='2018-19_working'!AD$7)*(raw!$G$2:$G$1473))</f>
        <v>0</v>
      </c>
      <c r="AE17" s="8">
        <f>SUMPRODUCT((raw!$B$2:$B$1473='2018-19_working'!$A17)*(raw!$E$2:$E$1473='2018-19_working'!$AC$6)*(raw!$F$2:$F$1473='2018-19_working'!AE$7)*(raw!$G$2:$G$1473))</f>
        <v>0</v>
      </c>
      <c r="AF17" s="8">
        <f>SUMPRODUCT((raw!$B$2:$B$1473='2018-19_working'!$A17)*(raw!$E$2:$E$1473='2018-19_working'!$AC$6)*(raw!$F$2:$F$1473='2018-19_working'!AF$7)*(raw!$G$2:$G$1473))</f>
        <v>0</v>
      </c>
      <c r="AG17" s="8">
        <f>SUMPRODUCT((raw!$B$2:$B$1473='2018-19_working'!$A17)*(raw!$E$2:$E$1473='2018-19_working'!$AC$6)*(raw!$F$2:$F$1473='2018-19_working'!AG$7)*(raw!$G$2:$G$1473))</f>
        <v>0</v>
      </c>
      <c r="AH17" s="8">
        <f>SUMPRODUCT((raw!$B$2:$B$1473='2018-19_working'!$A17)*(raw!$E$2:$E$1473='2018-19_working'!$AC$6)*(raw!$F$2:$F$1473='2018-19_working'!AH$7)*(raw!$G$2:$G$1473))</f>
        <v>0</v>
      </c>
      <c r="AI17" s="8">
        <f>SUMPRODUCT((raw!$B$2:$B$1473='2018-19_working'!$A17)*(raw!$E$2:$E$1473='2018-19_working'!$AC$6)*(raw!$F$2:$F$1473='2018-19_working'!AI$7)*(raw!$G$2:$G$1473))</f>
        <v>0</v>
      </c>
      <c r="AJ17" s="8">
        <f>SUMPRODUCT((raw!$B$2:$B$1473='2018-19_working'!$A17)*(raw!$E$2:$E$1473='2018-19_working'!$AC$6)*(raw!$F$2:$F$1473='2018-19_working'!AJ$7)*(raw!$G$2:$G$1473))</f>
        <v>22</v>
      </c>
    </row>
    <row r="18" spans="1:36" x14ac:dyDescent="0.35">
      <c r="A18" s="8" t="s">
        <v>25</v>
      </c>
      <c r="B18" s="8">
        <f>SUMPRODUCT((raw!$B$2:$B$1473='2018-19_working'!$A18)*(raw!$E$2:$E$1473='2018-19_working'!$B$6:$I$6)*(raw!$F$2:$F$1473='2018-19_working'!B$7)*(raw!$G$2:$G$1473))</f>
        <v>2</v>
      </c>
      <c r="C18" s="8">
        <f>SUMPRODUCT((raw!$B$2:$B$1473='2018-19_working'!$A18)*(raw!$E$2:$E$1473='2018-19_working'!$B$6:$I$6)*(raw!$F$2:$F$1473='2018-19_working'!C$7)*(raw!$G$2:$G$1473))</f>
        <v>0</v>
      </c>
      <c r="D18" s="8">
        <f>SUMPRODUCT((raw!$B$2:$B$1473='2018-19_working'!$A18)*(raw!$E$2:$E$1473='2018-19_working'!$B$6:$I$6)*(raw!$F$2:$F$1473='2018-19_working'!D$7)*(raw!$G$2:$G$1473))</f>
        <v>0</v>
      </c>
      <c r="E18" s="8">
        <f>SUMPRODUCT((raw!$B$2:$B$1473='2018-19_working'!$A18)*(raw!$E$2:$E$1473='2018-19_working'!$B$6:$I$6)*(raw!$F$2:$F$1473='2018-19_working'!E$7)*(raw!$G$2:$G$1473))</f>
        <v>0</v>
      </c>
      <c r="F18" s="8">
        <f>SUMPRODUCT((raw!$B$2:$B$1473='2018-19_working'!$A18)*(raw!$E$2:$E$1473='2018-19_working'!$B$6:$I$6)*(raw!$F$2:$F$1473='2018-19_working'!F$7)*(raw!$G$2:$G$1473))</f>
        <v>0</v>
      </c>
      <c r="G18" s="8">
        <f>SUMPRODUCT((raw!$B$2:$B$1473='2018-19_working'!$A18)*(raw!$E$2:$E$1473='2018-19_working'!$B$6:$I$6)*(raw!$F$2:$F$1473='2018-19_working'!G$7)*(raw!$G$2:$G$1473))</f>
        <v>0</v>
      </c>
      <c r="H18" s="8">
        <f>SUMPRODUCT((raw!$B$2:$B$1473='2018-19_working'!$A18)*(raw!$E$2:$E$1473='2018-19_working'!$B$6:$I$6)*(raw!$F$2:$F$1473='2018-19_working'!H$7)*(raw!$G$2:$G$1473))</f>
        <v>0</v>
      </c>
      <c r="I18" s="8">
        <f>SUMPRODUCT((raw!$B$2:$B$1473='2018-19_working'!$A18)*(raw!$E$2:$E$1473='2018-19_working'!$B$6:$I$6)*(raw!$F$2:$F$1473='2018-19_working'!I$7)*(raw!$G$2:$G$1473))</f>
        <v>6</v>
      </c>
      <c r="K18" s="8">
        <f>SUMPRODUCT((raw!$B$2:$B$1473='2018-19_working'!$A18)*(raw!$E$2:$E$1473='2018-19_working'!$K$6)*(raw!$F$2:$F$1473='2018-19_working'!K$7)*(raw!$G$2:$G$1473))</f>
        <v>2</v>
      </c>
      <c r="L18" s="8">
        <f>SUMPRODUCT((raw!$B$2:$B$1473='2018-19_working'!$A18)*(raw!$E$2:$E$1473='2018-19_working'!$K$6)*(raw!$F$2:$F$1473='2018-19_working'!L$7)*(raw!$G$2:$G$1473))</f>
        <v>0</v>
      </c>
      <c r="M18" s="8">
        <f>SUMPRODUCT((raw!$B$2:$B$1473='2018-19_working'!$A18)*(raw!$E$2:$E$1473='2018-19_working'!$K$6)*(raw!$F$2:$F$1473='2018-19_working'!M$7)*(raw!$G$2:$G$1473))</f>
        <v>0</v>
      </c>
      <c r="N18" s="8">
        <f>SUMPRODUCT((raw!$B$2:$B$1473='2018-19_working'!$A18)*(raw!$E$2:$E$1473='2018-19_working'!$K$6)*(raw!$F$2:$F$1473='2018-19_working'!N$7)*(raw!$G$2:$G$1473))</f>
        <v>0</v>
      </c>
      <c r="O18" s="8">
        <f>SUMPRODUCT((raw!$B$2:$B$1473='2018-19_working'!$A18)*(raw!$E$2:$E$1473='2018-19_working'!$K$6)*(raw!$F$2:$F$1473='2018-19_working'!O$7)*(raw!$G$2:$G$1473))</f>
        <v>0</v>
      </c>
      <c r="P18" s="8">
        <f>SUMPRODUCT((raw!$B$2:$B$1473='2018-19_working'!$A18)*(raw!$E$2:$E$1473='2018-19_working'!$K$6)*(raw!$F$2:$F$1473='2018-19_working'!P$7)*(raw!$G$2:$G$1473))</f>
        <v>0</v>
      </c>
      <c r="Q18" s="8">
        <f>SUMPRODUCT((raw!$B$2:$B$1473='2018-19_working'!$A18)*(raw!$E$2:$E$1473='2018-19_working'!$K$6)*(raw!$F$2:$F$1473='2018-19_working'!Q$7)*(raw!$G$2:$G$1473))</f>
        <v>0</v>
      </c>
      <c r="R18" s="8">
        <f>SUMPRODUCT((raw!$B$2:$B$1473='2018-19_working'!$A18)*(raw!$E$2:$E$1473='2018-19_working'!$K$6)*(raw!$F$2:$F$1473='2018-19_working'!R$7)*(raw!$G$2:$G$1473))</f>
        <v>15</v>
      </c>
      <c r="T18" s="8">
        <f>SUMPRODUCT((raw!$B$2:$B$1473='2018-19_working'!$A18)*(raw!$E$2:$E$1473='2018-19_working'!$T$6)*(raw!$F$2:$F$1473='2018-19_working'!T$7)*(raw!$G$2:$G$1473))</f>
        <v>0</v>
      </c>
      <c r="U18" s="8">
        <f>SUMPRODUCT((raw!$B$2:$B$1473='2018-19_working'!$A18)*(raw!$E$2:$E$1473='2018-19_working'!$T$6)*(raw!$F$2:$F$1473='2018-19_working'!U$7)*(raw!$G$2:$G$1473))</f>
        <v>0</v>
      </c>
      <c r="V18" s="8">
        <f>SUMPRODUCT((raw!$B$2:$B$1473='2018-19_working'!$A18)*(raw!$E$2:$E$1473='2018-19_working'!$T$6)*(raw!$F$2:$F$1473='2018-19_working'!V$7)*(raw!$G$2:$G$1473))</f>
        <v>0</v>
      </c>
      <c r="W18" s="8">
        <f>SUMPRODUCT((raw!$B$2:$B$1473='2018-19_working'!$A18)*(raw!$E$2:$E$1473='2018-19_working'!$T$6)*(raw!$F$2:$F$1473='2018-19_working'!W$7)*(raw!$G$2:$G$1473))</f>
        <v>0</v>
      </c>
      <c r="X18" s="8">
        <f>SUMPRODUCT((raw!$B$2:$B$1473='2018-19_working'!$A18)*(raw!$E$2:$E$1473='2018-19_working'!$T$6)*(raw!$F$2:$F$1473='2018-19_working'!X$7)*(raw!$G$2:$G$1473))</f>
        <v>0</v>
      </c>
      <c r="Y18" s="8">
        <f>SUMPRODUCT((raw!$B$2:$B$1473='2018-19_working'!$A18)*(raw!$E$2:$E$1473='2018-19_working'!$T$6)*(raw!$F$2:$F$1473='2018-19_working'!Y$7)*(raw!$G$2:$G$1473))</f>
        <v>0</v>
      </c>
      <c r="Z18" s="8">
        <f>SUMPRODUCT((raw!$B$2:$B$1473='2018-19_working'!$A18)*(raw!$E$2:$E$1473='2018-19_working'!$T$6)*(raw!$F$2:$F$1473='2018-19_working'!Z$7)*(raw!$G$2:$G$1473))</f>
        <v>0</v>
      </c>
      <c r="AA18" s="8">
        <f>SUMPRODUCT((raw!$B$2:$B$1473='2018-19_working'!$A18)*(raw!$E$2:$E$1473='2018-19_working'!$T$6)*(raw!$F$2:$F$1473='2018-19_working'!AA$7)*(raw!$G$2:$G$1473))</f>
        <v>0</v>
      </c>
      <c r="AC18" s="8">
        <f>SUMPRODUCT((raw!$B$2:$B$1473='2018-19_working'!$A18)*(raw!$E$2:$E$1473='2018-19_working'!$AC$6)*(raw!$F$2:$F$1473='2018-19_working'!AC$7)*(raw!$G$2:$G$1473))</f>
        <v>4</v>
      </c>
      <c r="AD18" s="8">
        <f>SUMPRODUCT((raw!$B$2:$B$1473='2018-19_working'!$A18)*(raw!$E$2:$E$1473='2018-19_working'!$AC$6)*(raw!$F$2:$F$1473='2018-19_working'!AD$7)*(raw!$G$2:$G$1473))</f>
        <v>0</v>
      </c>
      <c r="AE18" s="8">
        <f>SUMPRODUCT((raw!$B$2:$B$1473='2018-19_working'!$A18)*(raw!$E$2:$E$1473='2018-19_working'!$AC$6)*(raw!$F$2:$F$1473='2018-19_working'!AE$7)*(raw!$G$2:$G$1473))</f>
        <v>0</v>
      </c>
      <c r="AF18" s="8">
        <f>SUMPRODUCT((raw!$B$2:$B$1473='2018-19_working'!$A18)*(raw!$E$2:$E$1473='2018-19_working'!$AC$6)*(raw!$F$2:$F$1473='2018-19_working'!AF$7)*(raw!$G$2:$G$1473))</f>
        <v>0</v>
      </c>
      <c r="AG18" s="8">
        <f>SUMPRODUCT((raw!$B$2:$B$1473='2018-19_working'!$A18)*(raw!$E$2:$E$1473='2018-19_working'!$AC$6)*(raw!$F$2:$F$1473='2018-19_working'!AG$7)*(raw!$G$2:$G$1473))</f>
        <v>0</v>
      </c>
      <c r="AH18" s="8">
        <f>SUMPRODUCT((raw!$B$2:$B$1473='2018-19_working'!$A18)*(raw!$E$2:$E$1473='2018-19_working'!$AC$6)*(raw!$F$2:$F$1473='2018-19_working'!AH$7)*(raw!$G$2:$G$1473))</f>
        <v>0</v>
      </c>
      <c r="AI18" s="8">
        <f>SUMPRODUCT((raw!$B$2:$B$1473='2018-19_working'!$A18)*(raw!$E$2:$E$1473='2018-19_working'!$AC$6)*(raw!$F$2:$F$1473='2018-19_working'!AI$7)*(raw!$G$2:$G$1473))</f>
        <v>0</v>
      </c>
      <c r="AJ18" s="8">
        <f>SUMPRODUCT((raw!$B$2:$B$1473='2018-19_working'!$A18)*(raw!$E$2:$E$1473='2018-19_working'!$AC$6)*(raw!$F$2:$F$1473='2018-19_working'!AJ$7)*(raw!$G$2:$G$1473))</f>
        <v>1</v>
      </c>
    </row>
    <row r="19" spans="1:36" x14ac:dyDescent="0.35">
      <c r="A19" s="8" t="s">
        <v>26</v>
      </c>
      <c r="B19" s="8">
        <f>SUMPRODUCT((raw!$B$2:$B$1473='2018-19_working'!$A19)*(raw!$E$2:$E$1473='2018-19_working'!$B$6:$I$6)*(raw!$F$2:$F$1473='2018-19_working'!B$7)*(raw!$G$2:$G$1473))</f>
        <v>28</v>
      </c>
      <c r="C19" s="8">
        <f>SUMPRODUCT((raw!$B$2:$B$1473='2018-19_working'!$A19)*(raw!$E$2:$E$1473='2018-19_working'!$B$6:$I$6)*(raw!$F$2:$F$1473='2018-19_working'!C$7)*(raw!$G$2:$G$1473))</f>
        <v>0</v>
      </c>
      <c r="D19" s="8">
        <f>SUMPRODUCT((raw!$B$2:$B$1473='2018-19_working'!$A19)*(raw!$E$2:$E$1473='2018-19_working'!$B$6:$I$6)*(raw!$F$2:$F$1473='2018-19_working'!D$7)*(raw!$G$2:$G$1473))</f>
        <v>0</v>
      </c>
      <c r="E19" s="8">
        <f>SUMPRODUCT((raw!$B$2:$B$1473='2018-19_working'!$A19)*(raw!$E$2:$E$1473='2018-19_working'!$B$6:$I$6)*(raw!$F$2:$F$1473='2018-19_working'!E$7)*(raw!$G$2:$G$1473))</f>
        <v>0</v>
      </c>
      <c r="F19" s="8">
        <f>SUMPRODUCT((raw!$B$2:$B$1473='2018-19_working'!$A19)*(raw!$E$2:$E$1473='2018-19_working'!$B$6:$I$6)*(raw!$F$2:$F$1473='2018-19_working'!F$7)*(raw!$G$2:$G$1473))</f>
        <v>0</v>
      </c>
      <c r="G19" s="8">
        <f>SUMPRODUCT((raw!$B$2:$B$1473='2018-19_working'!$A19)*(raw!$E$2:$E$1473='2018-19_working'!$B$6:$I$6)*(raw!$F$2:$F$1473='2018-19_working'!G$7)*(raw!$G$2:$G$1473))</f>
        <v>0</v>
      </c>
      <c r="H19" s="8">
        <f>SUMPRODUCT((raw!$B$2:$B$1473='2018-19_working'!$A19)*(raw!$E$2:$E$1473='2018-19_working'!$B$6:$I$6)*(raw!$F$2:$F$1473='2018-19_working'!H$7)*(raw!$G$2:$G$1473))</f>
        <v>1</v>
      </c>
      <c r="I19" s="8">
        <f>SUMPRODUCT((raw!$B$2:$B$1473='2018-19_working'!$A19)*(raw!$E$2:$E$1473='2018-19_working'!$B$6:$I$6)*(raw!$F$2:$F$1473='2018-19_working'!I$7)*(raw!$G$2:$G$1473))</f>
        <v>2</v>
      </c>
      <c r="K19" s="8">
        <f>SUMPRODUCT((raw!$B$2:$B$1473='2018-19_working'!$A19)*(raw!$E$2:$E$1473='2018-19_working'!$K$6)*(raw!$F$2:$F$1473='2018-19_working'!K$7)*(raw!$G$2:$G$1473))</f>
        <v>28</v>
      </c>
      <c r="L19" s="8">
        <f>SUMPRODUCT((raw!$B$2:$B$1473='2018-19_working'!$A19)*(raw!$E$2:$E$1473='2018-19_working'!$K$6)*(raw!$F$2:$F$1473='2018-19_working'!L$7)*(raw!$G$2:$G$1473))</f>
        <v>2</v>
      </c>
      <c r="M19" s="8">
        <f>SUMPRODUCT((raw!$B$2:$B$1473='2018-19_working'!$A19)*(raw!$E$2:$E$1473='2018-19_working'!$K$6)*(raw!$F$2:$F$1473='2018-19_working'!M$7)*(raw!$G$2:$G$1473))</f>
        <v>0</v>
      </c>
      <c r="N19" s="8">
        <f>SUMPRODUCT((raw!$B$2:$B$1473='2018-19_working'!$A19)*(raw!$E$2:$E$1473='2018-19_working'!$K$6)*(raw!$F$2:$F$1473='2018-19_working'!N$7)*(raw!$G$2:$G$1473))</f>
        <v>0</v>
      </c>
      <c r="O19" s="8">
        <f>SUMPRODUCT((raw!$B$2:$B$1473='2018-19_working'!$A19)*(raw!$E$2:$E$1473='2018-19_working'!$K$6)*(raw!$F$2:$F$1473='2018-19_working'!O$7)*(raw!$G$2:$G$1473))</f>
        <v>0</v>
      </c>
      <c r="P19" s="8">
        <f>SUMPRODUCT((raw!$B$2:$B$1473='2018-19_working'!$A19)*(raw!$E$2:$E$1473='2018-19_working'!$K$6)*(raw!$F$2:$F$1473='2018-19_working'!P$7)*(raw!$G$2:$G$1473))</f>
        <v>0</v>
      </c>
      <c r="Q19" s="8">
        <f>SUMPRODUCT((raw!$B$2:$B$1473='2018-19_working'!$A19)*(raw!$E$2:$E$1473='2018-19_working'!$K$6)*(raw!$F$2:$F$1473='2018-19_working'!Q$7)*(raw!$G$2:$G$1473))</f>
        <v>0</v>
      </c>
      <c r="R19" s="8">
        <f>SUMPRODUCT((raw!$B$2:$B$1473='2018-19_working'!$A19)*(raw!$E$2:$E$1473='2018-19_working'!$K$6)*(raw!$F$2:$F$1473='2018-19_working'!R$7)*(raw!$G$2:$G$1473))</f>
        <v>0</v>
      </c>
      <c r="T19" s="8">
        <f>SUMPRODUCT((raw!$B$2:$B$1473='2018-19_working'!$A19)*(raw!$E$2:$E$1473='2018-19_working'!$T$6)*(raw!$F$2:$F$1473='2018-19_working'!T$7)*(raw!$G$2:$G$1473))</f>
        <v>0</v>
      </c>
      <c r="U19" s="8">
        <f>SUMPRODUCT((raw!$B$2:$B$1473='2018-19_working'!$A19)*(raw!$E$2:$E$1473='2018-19_working'!$T$6)*(raw!$F$2:$F$1473='2018-19_working'!U$7)*(raw!$G$2:$G$1473))</f>
        <v>0</v>
      </c>
      <c r="V19" s="8">
        <f>SUMPRODUCT((raw!$B$2:$B$1473='2018-19_working'!$A19)*(raw!$E$2:$E$1473='2018-19_working'!$T$6)*(raw!$F$2:$F$1473='2018-19_working'!V$7)*(raw!$G$2:$G$1473))</f>
        <v>0</v>
      </c>
      <c r="W19" s="8">
        <f>SUMPRODUCT((raw!$B$2:$B$1473='2018-19_working'!$A19)*(raw!$E$2:$E$1473='2018-19_working'!$T$6)*(raw!$F$2:$F$1473='2018-19_working'!W$7)*(raw!$G$2:$G$1473))</f>
        <v>0</v>
      </c>
      <c r="X19" s="8">
        <f>SUMPRODUCT((raw!$B$2:$B$1473='2018-19_working'!$A19)*(raw!$E$2:$E$1473='2018-19_working'!$T$6)*(raw!$F$2:$F$1473='2018-19_working'!X$7)*(raw!$G$2:$G$1473))</f>
        <v>0</v>
      </c>
      <c r="Y19" s="8">
        <f>SUMPRODUCT((raw!$B$2:$B$1473='2018-19_working'!$A19)*(raw!$E$2:$E$1473='2018-19_working'!$T$6)*(raw!$F$2:$F$1473='2018-19_working'!Y$7)*(raw!$G$2:$G$1473))</f>
        <v>0</v>
      </c>
      <c r="Z19" s="8">
        <f>SUMPRODUCT((raw!$B$2:$B$1473='2018-19_working'!$A19)*(raw!$E$2:$E$1473='2018-19_working'!$T$6)*(raw!$F$2:$F$1473='2018-19_working'!Z$7)*(raw!$G$2:$G$1473))</f>
        <v>0</v>
      </c>
      <c r="AA19" s="8">
        <f>SUMPRODUCT((raw!$B$2:$B$1473='2018-19_working'!$A19)*(raw!$E$2:$E$1473='2018-19_working'!$T$6)*(raw!$F$2:$F$1473='2018-19_working'!AA$7)*(raw!$G$2:$G$1473))</f>
        <v>0</v>
      </c>
      <c r="AC19" s="8">
        <f>SUMPRODUCT((raw!$B$2:$B$1473='2018-19_working'!$A19)*(raw!$E$2:$E$1473='2018-19_working'!$AC$6)*(raw!$F$2:$F$1473='2018-19_working'!AC$7)*(raw!$G$2:$G$1473))</f>
        <v>24</v>
      </c>
      <c r="AD19" s="8">
        <f>SUMPRODUCT((raw!$B$2:$B$1473='2018-19_working'!$A19)*(raw!$E$2:$E$1473='2018-19_working'!$AC$6)*(raw!$F$2:$F$1473='2018-19_working'!AD$7)*(raw!$G$2:$G$1473))</f>
        <v>3</v>
      </c>
      <c r="AE19" s="8">
        <f>SUMPRODUCT((raw!$B$2:$B$1473='2018-19_working'!$A19)*(raw!$E$2:$E$1473='2018-19_working'!$AC$6)*(raw!$F$2:$F$1473='2018-19_working'!AE$7)*(raw!$G$2:$G$1473))</f>
        <v>0</v>
      </c>
      <c r="AF19" s="8">
        <f>SUMPRODUCT((raw!$B$2:$B$1473='2018-19_working'!$A19)*(raw!$E$2:$E$1473='2018-19_working'!$AC$6)*(raw!$F$2:$F$1473='2018-19_working'!AF$7)*(raw!$G$2:$G$1473))</f>
        <v>1</v>
      </c>
      <c r="AG19" s="8">
        <f>SUMPRODUCT((raw!$B$2:$B$1473='2018-19_working'!$A19)*(raw!$E$2:$E$1473='2018-19_working'!$AC$6)*(raw!$F$2:$F$1473='2018-19_working'!AG$7)*(raw!$G$2:$G$1473))</f>
        <v>0</v>
      </c>
      <c r="AH19" s="8">
        <f>SUMPRODUCT((raw!$B$2:$B$1473='2018-19_working'!$A19)*(raw!$E$2:$E$1473='2018-19_working'!$AC$6)*(raw!$F$2:$F$1473='2018-19_working'!AH$7)*(raw!$G$2:$G$1473))</f>
        <v>0</v>
      </c>
      <c r="AI19" s="8">
        <f>SUMPRODUCT((raw!$B$2:$B$1473='2018-19_working'!$A19)*(raw!$E$2:$E$1473='2018-19_working'!$AC$6)*(raw!$F$2:$F$1473='2018-19_working'!AI$7)*(raw!$G$2:$G$1473))</f>
        <v>0</v>
      </c>
      <c r="AJ19" s="8">
        <f>SUMPRODUCT((raw!$B$2:$B$1473='2018-19_working'!$A19)*(raw!$E$2:$E$1473='2018-19_working'!$AC$6)*(raw!$F$2:$F$1473='2018-19_working'!AJ$7)*(raw!$G$2:$G$1473))</f>
        <v>2</v>
      </c>
    </row>
    <row r="20" spans="1:36" x14ac:dyDescent="0.35">
      <c r="A20" s="8" t="s">
        <v>27</v>
      </c>
      <c r="B20" s="8">
        <f>SUMPRODUCT((raw!$B$2:$B$1473='2018-19_working'!$A20)*(raw!$E$2:$E$1473='2018-19_working'!$B$6:$I$6)*(raw!$F$2:$F$1473='2018-19_working'!B$7)*(raw!$G$2:$G$1473))</f>
        <v>4</v>
      </c>
      <c r="C20" s="8">
        <f>SUMPRODUCT((raw!$B$2:$B$1473='2018-19_working'!$A20)*(raw!$E$2:$E$1473='2018-19_working'!$B$6:$I$6)*(raw!$F$2:$F$1473='2018-19_working'!C$7)*(raw!$G$2:$G$1473))</f>
        <v>0</v>
      </c>
      <c r="D20" s="8">
        <f>SUMPRODUCT((raw!$B$2:$B$1473='2018-19_working'!$A20)*(raw!$E$2:$E$1473='2018-19_working'!$B$6:$I$6)*(raw!$F$2:$F$1473='2018-19_working'!D$7)*(raw!$G$2:$G$1473))</f>
        <v>0</v>
      </c>
      <c r="E20" s="8">
        <f>SUMPRODUCT((raw!$B$2:$B$1473='2018-19_working'!$A20)*(raw!$E$2:$E$1473='2018-19_working'!$B$6:$I$6)*(raw!$F$2:$F$1473='2018-19_working'!E$7)*(raw!$G$2:$G$1473))</f>
        <v>0</v>
      </c>
      <c r="F20" s="8">
        <f>SUMPRODUCT((raw!$B$2:$B$1473='2018-19_working'!$A20)*(raw!$E$2:$E$1473='2018-19_working'!$B$6:$I$6)*(raw!$F$2:$F$1473='2018-19_working'!F$7)*(raw!$G$2:$G$1473))</f>
        <v>0</v>
      </c>
      <c r="G20" s="8">
        <f>SUMPRODUCT((raw!$B$2:$B$1473='2018-19_working'!$A20)*(raw!$E$2:$E$1473='2018-19_working'!$B$6:$I$6)*(raw!$F$2:$F$1473='2018-19_working'!G$7)*(raw!$G$2:$G$1473))</f>
        <v>0</v>
      </c>
      <c r="H20" s="8">
        <f>SUMPRODUCT((raw!$B$2:$B$1473='2018-19_working'!$A20)*(raw!$E$2:$E$1473='2018-19_working'!$B$6:$I$6)*(raw!$F$2:$F$1473='2018-19_working'!H$7)*(raw!$G$2:$G$1473))</f>
        <v>0</v>
      </c>
      <c r="I20" s="8">
        <f>SUMPRODUCT((raw!$B$2:$B$1473='2018-19_working'!$A20)*(raw!$E$2:$E$1473='2018-19_working'!$B$6:$I$6)*(raw!$F$2:$F$1473='2018-19_working'!I$7)*(raw!$G$2:$G$1473))</f>
        <v>4</v>
      </c>
      <c r="K20" s="8">
        <f>SUMPRODUCT((raw!$B$2:$B$1473='2018-19_working'!$A20)*(raw!$E$2:$E$1473='2018-19_working'!$K$6)*(raw!$F$2:$F$1473='2018-19_working'!K$7)*(raw!$G$2:$G$1473))</f>
        <v>121</v>
      </c>
      <c r="L20" s="8">
        <f>SUMPRODUCT((raw!$B$2:$B$1473='2018-19_working'!$A20)*(raw!$E$2:$E$1473='2018-19_working'!$K$6)*(raw!$F$2:$F$1473='2018-19_working'!L$7)*(raw!$G$2:$G$1473))</f>
        <v>2</v>
      </c>
      <c r="M20" s="8">
        <f>SUMPRODUCT((raw!$B$2:$B$1473='2018-19_working'!$A20)*(raw!$E$2:$E$1473='2018-19_working'!$K$6)*(raw!$F$2:$F$1473='2018-19_working'!M$7)*(raw!$G$2:$G$1473))</f>
        <v>2</v>
      </c>
      <c r="N20" s="8">
        <f>SUMPRODUCT((raw!$B$2:$B$1473='2018-19_working'!$A20)*(raw!$E$2:$E$1473='2018-19_working'!$K$6)*(raw!$F$2:$F$1473='2018-19_working'!N$7)*(raw!$G$2:$G$1473))</f>
        <v>0</v>
      </c>
      <c r="O20" s="8">
        <f>SUMPRODUCT((raw!$B$2:$B$1473='2018-19_working'!$A20)*(raw!$E$2:$E$1473='2018-19_working'!$K$6)*(raw!$F$2:$F$1473='2018-19_working'!O$7)*(raw!$G$2:$G$1473))</f>
        <v>0</v>
      </c>
      <c r="P20" s="8">
        <f>SUMPRODUCT((raw!$B$2:$B$1473='2018-19_working'!$A20)*(raw!$E$2:$E$1473='2018-19_working'!$K$6)*(raw!$F$2:$F$1473='2018-19_working'!P$7)*(raw!$G$2:$G$1473))</f>
        <v>1</v>
      </c>
      <c r="Q20" s="8">
        <f>SUMPRODUCT((raw!$B$2:$B$1473='2018-19_working'!$A20)*(raw!$E$2:$E$1473='2018-19_working'!$K$6)*(raw!$F$2:$F$1473='2018-19_working'!Q$7)*(raw!$G$2:$G$1473))</f>
        <v>0</v>
      </c>
      <c r="R20" s="8">
        <f>SUMPRODUCT((raw!$B$2:$B$1473='2018-19_working'!$A20)*(raw!$E$2:$E$1473='2018-19_working'!$K$6)*(raw!$F$2:$F$1473='2018-19_working'!R$7)*(raw!$G$2:$G$1473))</f>
        <v>3</v>
      </c>
      <c r="T20" s="8">
        <f>SUMPRODUCT((raw!$B$2:$B$1473='2018-19_working'!$A20)*(raw!$E$2:$E$1473='2018-19_working'!$T$6)*(raw!$F$2:$F$1473='2018-19_working'!T$7)*(raw!$G$2:$G$1473))</f>
        <v>0</v>
      </c>
      <c r="U20" s="8">
        <f>SUMPRODUCT((raw!$B$2:$B$1473='2018-19_working'!$A20)*(raw!$E$2:$E$1473='2018-19_working'!$T$6)*(raw!$F$2:$F$1473='2018-19_working'!U$7)*(raw!$G$2:$G$1473))</f>
        <v>0</v>
      </c>
      <c r="V20" s="8">
        <f>SUMPRODUCT((raw!$B$2:$B$1473='2018-19_working'!$A20)*(raw!$E$2:$E$1473='2018-19_working'!$T$6)*(raw!$F$2:$F$1473='2018-19_working'!V$7)*(raw!$G$2:$G$1473))</f>
        <v>0</v>
      </c>
      <c r="W20" s="8">
        <f>SUMPRODUCT((raw!$B$2:$B$1473='2018-19_working'!$A20)*(raw!$E$2:$E$1473='2018-19_working'!$T$6)*(raw!$F$2:$F$1473='2018-19_working'!W$7)*(raw!$G$2:$G$1473))</f>
        <v>0</v>
      </c>
      <c r="X20" s="8">
        <f>SUMPRODUCT((raw!$B$2:$B$1473='2018-19_working'!$A20)*(raw!$E$2:$E$1473='2018-19_working'!$T$6)*(raw!$F$2:$F$1473='2018-19_working'!X$7)*(raw!$G$2:$G$1473))</f>
        <v>0</v>
      </c>
      <c r="Y20" s="8">
        <f>SUMPRODUCT((raw!$B$2:$B$1473='2018-19_working'!$A20)*(raw!$E$2:$E$1473='2018-19_working'!$T$6)*(raw!$F$2:$F$1473='2018-19_working'!Y$7)*(raw!$G$2:$G$1473))</f>
        <v>0</v>
      </c>
      <c r="Z20" s="8">
        <f>SUMPRODUCT((raw!$B$2:$B$1473='2018-19_working'!$A20)*(raw!$E$2:$E$1473='2018-19_working'!$T$6)*(raw!$F$2:$F$1473='2018-19_working'!Z$7)*(raw!$G$2:$G$1473))</f>
        <v>0</v>
      </c>
      <c r="AA20" s="8">
        <f>SUMPRODUCT((raw!$B$2:$B$1473='2018-19_working'!$A20)*(raw!$E$2:$E$1473='2018-19_working'!$T$6)*(raw!$F$2:$F$1473='2018-19_working'!AA$7)*(raw!$G$2:$G$1473))</f>
        <v>0</v>
      </c>
      <c r="AC20" s="8">
        <f>SUMPRODUCT((raw!$B$2:$B$1473='2018-19_working'!$A20)*(raw!$E$2:$E$1473='2018-19_working'!$AC$6)*(raw!$F$2:$F$1473='2018-19_working'!AC$7)*(raw!$G$2:$G$1473))</f>
        <v>24</v>
      </c>
      <c r="AD20" s="8">
        <f>SUMPRODUCT((raw!$B$2:$B$1473='2018-19_working'!$A20)*(raw!$E$2:$E$1473='2018-19_working'!$AC$6)*(raw!$F$2:$F$1473='2018-19_working'!AD$7)*(raw!$G$2:$G$1473))</f>
        <v>1</v>
      </c>
      <c r="AE20" s="8">
        <f>SUMPRODUCT((raw!$B$2:$B$1473='2018-19_working'!$A20)*(raw!$E$2:$E$1473='2018-19_working'!$AC$6)*(raw!$F$2:$F$1473='2018-19_working'!AE$7)*(raw!$G$2:$G$1473))</f>
        <v>0</v>
      </c>
      <c r="AF20" s="8">
        <f>SUMPRODUCT((raw!$B$2:$B$1473='2018-19_working'!$A20)*(raw!$E$2:$E$1473='2018-19_working'!$AC$6)*(raw!$F$2:$F$1473='2018-19_working'!AF$7)*(raw!$G$2:$G$1473))</f>
        <v>0</v>
      </c>
      <c r="AG20" s="8">
        <f>SUMPRODUCT((raw!$B$2:$B$1473='2018-19_working'!$A20)*(raw!$E$2:$E$1473='2018-19_working'!$AC$6)*(raw!$F$2:$F$1473='2018-19_working'!AG$7)*(raw!$G$2:$G$1473))</f>
        <v>0</v>
      </c>
      <c r="AH20" s="8">
        <f>SUMPRODUCT((raw!$B$2:$B$1473='2018-19_working'!$A20)*(raw!$E$2:$E$1473='2018-19_working'!$AC$6)*(raw!$F$2:$F$1473='2018-19_working'!AH$7)*(raw!$G$2:$G$1473))</f>
        <v>0</v>
      </c>
      <c r="AI20" s="8">
        <f>SUMPRODUCT((raw!$B$2:$B$1473='2018-19_working'!$A20)*(raw!$E$2:$E$1473='2018-19_working'!$AC$6)*(raw!$F$2:$F$1473='2018-19_working'!AI$7)*(raw!$G$2:$G$1473))</f>
        <v>0</v>
      </c>
      <c r="AJ20" s="8">
        <f>SUMPRODUCT((raw!$B$2:$B$1473='2018-19_working'!$A20)*(raw!$E$2:$E$1473='2018-19_working'!$AC$6)*(raw!$F$2:$F$1473='2018-19_working'!AJ$7)*(raw!$G$2:$G$1473))</f>
        <v>2</v>
      </c>
    </row>
    <row r="21" spans="1:36" x14ac:dyDescent="0.35">
      <c r="A21" s="8" t="s">
        <v>28</v>
      </c>
      <c r="B21" s="8">
        <f>SUMPRODUCT((raw!$B$2:$B$1473='2018-19_working'!$A21)*(raw!$E$2:$E$1473='2018-19_working'!$B$6:$I$6)*(raw!$F$2:$F$1473='2018-19_working'!B$7)*(raw!$G$2:$G$1473))</f>
        <v>10</v>
      </c>
      <c r="C21" s="8">
        <f>SUMPRODUCT((raw!$B$2:$B$1473='2018-19_working'!$A21)*(raw!$E$2:$E$1473='2018-19_working'!$B$6:$I$6)*(raw!$F$2:$F$1473='2018-19_working'!C$7)*(raw!$G$2:$G$1473))</f>
        <v>0</v>
      </c>
      <c r="D21" s="8">
        <f>SUMPRODUCT((raw!$B$2:$B$1473='2018-19_working'!$A21)*(raw!$E$2:$E$1473='2018-19_working'!$B$6:$I$6)*(raw!$F$2:$F$1473='2018-19_working'!D$7)*(raw!$G$2:$G$1473))</f>
        <v>0</v>
      </c>
      <c r="E21" s="8">
        <f>SUMPRODUCT((raw!$B$2:$B$1473='2018-19_working'!$A21)*(raw!$E$2:$E$1473='2018-19_working'!$B$6:$I$6)*(raw!$F$2:$F$1473='2018-19_working'!E$7)*(raw!$G$2:$G$1473))</f>
        <v>0</v>
      </c>
      <c r="F21" s="8">
        <f>SUMPRODUCT((raw!$B$2:$B$1473='2018-19_working'!$A21)*(raw!$E$2:$E$1473='2018-19_working'!$B$6:$I$6)*(raw!$F$2:$F$1473='2018-19_working'!F$7)*(raw!$G$2:$G$1473))</f>
        <v>0</v>
      </c>
      <c r="G21" s="8">
        <f>SUMPRODUCT((raw!$B$2:$B$1473='2018-19_working'!$A21)*(raw!$E$2:$E$1473='2018-19_working'!$B$6:$I$6)*(raw!$F$2:$F$1473='2018-19_working'!G$7)*(raw!$G$2:$G$1473))</f>
        <v>0</v>
      </c>
      <c r="H21" s="8">
        <f>SUMPRODUCT((raw!$B$2:$B$1473='2018-19_working'!$A21)*(raw!$E$2:$E$1473='2018-19_working'!$B$6:$I$6)*(raw!$F$2:$F$1473='2018-19_working'!H$7)*(raw!$G$2:$G$1473))</f>
        <v>0</v>
      </c>
      <c r="I21" s="8">
        <f>SUMPRODUCT((raw!$B$2:$B$1473='2018-19_working'!$A21)*(raw!$E$2:$E$1473='2018-19_working'!$B$6:$I$6)*(raw!$F$2:$F$1473='2018-19_working'!I$7)*(raw!$G$2:$G$1473))</f>
        <v>22</v>
      </c>
      <c r="K21" s="8">
        <f>SUMPRODUCT((raw!$B$2:$B$1473='2018-19_working'!$A21)*(raw!$E$2:$E$1473='2018-19_working'!$K$6)*(raw!$F$2:$F$1473='2018-19_working'!K$7)*(raw!$G$2:$G$1473))</f>
        <v>57</v>
      </c>
      <c r="L21" s="8">
        <f>SUMPRODUCT((raw!$B$2:$B$1473='2018-19_working'!$A21)*(raw!$E$2:$E$1473='2018-19_working'!$K$6)*(raw!$F$2:$F$1473='2018-19_working'!L$7)*(raw!$G$2:$G$1473))</f>
        <v>3</v>
      </c>
      <c r="M21" s="8">
        <f>SUMPRODUCT((raw!$B$2:$B$1473='2018-19_working'!$A21)*(raw!$E$2:$E$1473='2018-19_working'!$K$6)*(raw!$F$2:$F$1473='2018-19_working'!M$7)*(raw!$G$2:$G$1473))</f>
        <v>0</v>
      </c>
      <c r="N21" s="8">
        <f>SUMPRODUCT((raw!$B$2:$B$1473='2018-19_working'!$A21)*(raw!$E$2:$E$1473='2018-19_working'!$K$6)*(raw!$F$2:$F$1473='2018-19_working'!N$7)*(raw!$G$2:$G$1473))</f>
        <v>0</v>
      </c>
      <c r="O21" s="8">
        <f>SUMPRODUCT((raw!$B$2:$B$1473='2018-19_working'!$A21)*(raw!$E$2:$E$1473='2018-19_working'!$K$6)*(raw!$F$2:$F$1473='2018-19_working'!O$7)*(raw!$G$2:$G$1473))</f>
        <v>0</v>
      </c>
      <c r="P21" s="8">
        <f>SUMPRODUCT((raw!$B$2:$B$1473='2018-19_working'!$A21)*(raw!$E$2:$E$1473='2018-19_working'!$K$6)*(raw!$F$2:$F$1473='2018-19_working'!P$7)*(raw!$G$2:$G$1473))</f>
        <v>0</v>
      </c>
      <c r="Q21" s="8">
        <f>SUMPRODUCT((raw!$B$2:$B$1473='2018-19_working'!$A21)*(raw!$E$2:$E$1473='2018-19_working'!$K$6)*(raw!$F$2:$F$1473='2018-19_working'!Q$7)*(raw!$G$2:$G$1473))</f>
        <v>0</v>
      </c>
      <c r="R21" s="8">
        <f>SUMPRODUCT((raw!$B$2:$B$1473='2018-19_working'!$A21)*(raw!$E$2:$E$1473='2018-19_working'!$K$6)*(raw!$F$2:$F$1473='2018-19_working'!R$7)*(raw!$G$2:$G$1473))</f>
        <v>7</v>
      </c>
      <c r="T21" s="8">
        <f>SUMPRODUCT((raw!$B$2:$B$1473='2018-19_working'!$A21)*(raw!$E$2:$E$1473='2018-19_working'!$T$6)*(raw!$F$2:$F$1473='2018-19_working'!T$7)*(raw!$G$2:$G$1473))</f>
        <v>0</v>
      </c>
      <c r="U21" s="8">
        <f>SUMPRODUCT((raw!$B$2:$B$1473='2018-19_working'!$A21)*(raw!$E$2:$E$1473='2018-19_working'!$T$6)*(raw!$F$2:$F$1473='2018-19_working'!U$7)*(raw!$G$2:$G$1473))</f>
        <v>0</v>
      </c>
      <c r="V21" s="8">
        <f>SUMPRODUCT((raw!$B$2:$B$1473='2018-19_working'!$A21)*(raw!$E$2:$E$1473='2018-19_working'!$T$6)*(raw!$F$2:$F$1473='2018-19_working'!V$7)*(raw!$G$2:$G$1473))</f>
        <v>0</v>
      </c>
      <c r="W21" s="8">
        <f>SUMPRODUCT((raw!$B$2:$B$1473='2018-19_working'!$A21)*(raw!$E$2:$E$1473='2018-19_working'!$T$6)*(raw!$F$2:$F$1473='2018-19_working'!W$7)*(raw!$G$2:$G$1473))</f>
        <v>0</v>
      </c>
      <c r="X21" s="8">
        <f>SUMPRODUCT((raw!$B$2:$B$1473='2018-19_working'!$A21)*(raw!$E$2:$E$1473='2018-19_working'!$T$6)*(raw!$F$2:$F$1473='2018-19_working'!X$7)*(raw!$G$2:$G$1473))</f>
        <v>0</v>
      </c>
      <c r="Y21" s="8">
        <f>SUMPRODUCT((raw!$B$2:$B$1473='2018-19_working'!$A21)*(raw!$E$2:$E$1473='2018-19_working'!$T$6)*(raw!$F$2:$F$1473='2018-19_working'!Y$7)*(raw!$G$2:$G$1473))</f>
        <v>0</v>
      </c>
      <c r="Z21" s="8">
        <f>SUMPRODUCT((raw!$B$2:$B$1473='2018-19_working'!$A21)*(raw!$E$2:$E$1473='2018-19_working'!$T$6)*(raw!$F$2:$F$1473='2018-19_working'!Z$7)*(raw!$G$2:$G$1473))</f>
        <v>0</v>
      </c>
      <c r="AA21" s="8">
        <f>SUMPRODUCT((raw!$B$2:$B$1473='2018-19_working'!$A21)*(raw!$E$2:$E$1473='2018-19_working'!$T$6)*(raw!$F$2:$F$1473='2018-19_working'!AA$7)*(raw!$G$2:$G$1473))</f>
        <v>0</v>
      </c>
      <c r="AC21" s="8">
        <f>SUMPRODUCT((raw!$B$2:$B$1473='2018-19_working'!$A21)*(raw!$E$2:$E$1473='2018-19_working'!$AC$6)*(raw!$F$2:$F$1473='2018-19_working'!AC$7)*(raw!$G$2:$G$1473))</f>
        <v>51</v>
      </c>
      <c r="AD21" s="8">
        <f>SUMPRODUCT((raw!$B$2:$B$1473='2018-19_working'!$A21)*(raw!$E$2:$E$1473='2018-19_working'!$AC$6)*(raw!$F$2:$F$1473='2018-19_working'!AD$7)*(raw!$G$2:$G$1473))</f>
        <v>0</v>
      </c>
      <c r="AE21" s="8">
        <f>SUMPRODUCT((raw!$B$2:$B$1473='2018-19_working'!$A21)*(raw!$E$2:$E$1473='2018-19_working'!$AC$6)*(raw!$F$2:$F$1473='2018-19_working'!AE$7)*(raw!$G$2:$G$1473))</f>
        <v>0</v>
      </c>
      <c r="AF21" s="8">
        <f>SUMPRODUCT((raw!$B$2:$B$1473='2018-19_working'!$A21)*(raw!$E$2:$E$1473='2018-19_working'!$AC$6)*(raw!$F$2:$F$1473='2018-19_working'!AF$7)*(raw!$G$2:$G$1473))</f>
        <v>0</v>
      </c>
      <c r="AG21" s="8">
        <f>SUMPRODUCT((raw!$B$2:$B$1473='2018-19_working'!$A21)*(raw!$E$2:$E$1473='2018-19_working'!$AC$6)*(raw!$F$2:$F$1473='2018-19_working'!AG$7)*(raw!$G$2:$G$1473))</f>
        <v>0</v>
      </c>
      <c r="AH21" s="8">
        <f>SUMPRODUCT((raw!$B$2:$B$1473='2018-19_working'!$A21)*(raw!$E$2:$E$1473='2018-19_working'!$AC$6)*(raw!$F$2:$F$1473='2018-19_working'!AH$7)*(raw!$G$2:$G$1473))</f>
        <v>0</v>
      </c>
      <c r="AI21" s="8">
        <f>SUMPRODUCT((raw!$B$2:$B$1473='2018-19_working'!$A21)*(raw!$E$2:$E$1473='2018-19_working'!$AC$6)*(raw!$F$2:$F$1473='2018-19_working'!AI$7)*(raw!$G$2:$G$1473))</f>
        <v>0</v>
      </c>
      <c r="AJ21" s="8">
        <f>SUMPRODUCT((raw!$B$2:$B$1473='2018-19_working'!$A21)*(raw!$E$2:$E$1473='2018-19_working'!$AC$6)*(raw!$F$2:$F$1473='2018-19_working'!AJ$7)*(raw!$G$2:$G$1473))</f>
        <v>5</v>
      </c>
    </row>
    <row r="22" spans="1:36" x14ac:dyDescent="0.35">
      <c r="A22" s="8" t="s">
        <v>29</v>
      </c>
      <c r="B22" s="8">
        <f>SUMPRODUCT((raw!$B$2:$B$1473='2018-19_working'!$A22)*(raw!$E$2:$E$1473='2018-19_working'!$B$6:$I$6)*(raw!$F$2:$F$1473='2018-19_working'!B$7)*(raw!$G$2:$G$1473))</f>
        <v>0</v>
      </c>
      <c r="C22" s="8">
        <f>SUMPRODUCT((raw!$B$2:$B$1473='2018-19_working'!$A22)*(raw!$E$2:$E$1473='2018-19_working'!$B$6:$I$6)*(raw!$F$2:$F$1473='2018-19_working'!C$7)*(raw!$G$2:$G$1473))</f>
        <v>0</v>
      </c>
      <c r="D22" s="8">
        <f>SUMPRODUCT((raw!$B$2:$B$1473='2018-19_working'!$A22)*(raw!$E$2:$E$1473='2018-19_working'!$B$6:$I$6)*(raw!$F$2:$F$1473='2018-19_working'!D$7)*(raw!$G$2:$G$1473))</f>
        <v>0</v>
      </c>
      <c r="E22" s="8">
        <f>SUMPRODUCT((raw!$B$2:$B$1473='2018-19_working'!$A22)*(raw!$E$2:$E$1473='2018-19_working'!$B$6:$I$6)*(raw!$F$2:$F$1473='2018-19_working'!E$7)*(raw!$G$2:$G$1473))</f>
        <v>0</v>
      </c>
      <c r="F22" s="8">
        <f>SUMPRODUCT((raw!$B$2:$B$1473='2018-19_working'!$A22)*(raw!$E$2:$E$1473='2018-19_working'!$B$6:$I$6)*(raw!$F$2:$F$1473='2018-19_working'!F$7)*(raw!$G$2:$G$1473))</f>
        <v>0</v>
      </c>
      <c r="G22" s="8">
        <f>SUMPRODUCT((raw!$B$2:$B$1473='2018-19_working'!$A22)*(raw!$E$2:$E$1473='2018-19_working'!$B$6:$I$6)*(raw!$F$2:$F$1473='2018-19_working'!G$7)*(raw!$G$2:$G$1473))</f>
        <v>0</v>
      </c>
      <c r="H22" s="8">
        <f>SUMPRODUCT((raw!$B$2:$B$1473='2018-19_working'!$A22)*(raw!$E$2:$E$1473='2018-19_working'!$B$6:$I$6)*(raw!$F$2:$F$1473='2018-19_working'!H$7)*(raw!$G$2:$G$1473))</f>
        <v>0</v>
      </c>
      <c r="I22" s="8">
        <f>SUMPRODUCT((raw!$B$2:$B$1473='2018-19_working'!$A22)*(raw!$E$2:$E$1473='2018-19_working'!$B$6:$I$6)*(raw!$F$2:$F$1473='2018-19_working'!I$7)*(raw!$G$2:$G$1473))</f>
        <v>0</v>
      </c>
      <c r="K22" s="8">
        <f>SUMPRODUCT((raw!$B$2:$B$1473='2018-19_working'!$A22)*(raw!$E$2:$E$1473='2018-19_working'!$K$6)*(raw!$F$2:$F$1473='2018-19_working'!K$7)*(raw!$G$2:$G$1473))</f>
        <v>6</v>
      </c>
      <c r="L22" s="8">
        <f>SUMPRODUCT((raw!$B$2:$B$1473='2018-19_working'!$A22)*(raw!$E$2:$E$1473='2018-19_working'!$K$6)*(raw!$F$2:$F$1473='2018-19_working'!L$7)*(raw!$G$2:$G$1473))</f>
        <v>0</v>
      </c>
      <c r="M22" s="8">
        <f>SUMPRODUCT((raw!$B$2:$B$1473='2018-19_working'!$A22)*(raw!$E$2:$E$1473='2018-19_working'!$K$6)*(raw!$F$2:$F$1473='2018-19_working'!M$7)*(raw!$G$2:$G$1473))</f>
        <v>0</v>
      </c>
      <c r="N22" s="8">
        <f>SUMPRODUCT((raw!$B$2:$B$1473='2018-19_working'!$A22)*(raw!$E$2:$E$1473='2018-19_working'!$K$6)*(raw!$F$2:$F$1473='2018-19_working'!N$7)*(raw!$G$2:$G$1473))</f>
        <v>0</v>
      </c>
      <c r="O22" s="8">
        <f>SUMPRODUCT((raw!$B$2:$B$1473='2018-19_working'!$A22)*(raw!$E$2:$E$1473='2018-19_working'!$K$6)*(raw!$F$2:$F$1473='2018-19_working'!O$7)*(raw!$G$2:$G$1473))</f>
        <v>0</v>
      </c>
      <c r="P22" s="8">
        <f>SUMPRODUCT((raw!$B$2:$B$1473='2018-19_working'!$A22)*(raw!$E$2:$E$1473='2018-19_working'!$K$6)*(raw!$F$2:$F$1473='2018-19_working'!P$7)*(raw!$G$2:$G$1473))</f>
        <v>0</v>
      </c>
      <c r="Q22" s="8">
        <f>SUMPRODUCT((raw!$B$2:$B$1473='2018-19_working'!$A22)*(raw!$E$2:$E$1473='2018-19_working'!$K$6)*(raw!$F$2:$F$1473='2018-19_working'!Q$7)*(raw!$G$2:$G$1473))</f>
        <v>0</v>
      </c>
      <c r="R22" s="8">
        <f>SUMPRODUCT((raw!$B$2:$B$1473='2018-19_working'!$A22)*(raw!$E$2:$E$1473='2018-19_working'!$K$6)*(raw!$F$2:$F$1473='2018-19_working'!R$7)*(raw!$G$2:$G$1473))</f>
        <v>16</v>
      </c>
      <c r="T22" s="8">
        <f>SUMPRODUCT((raw!$B$2:$B$1473='2018-19_working'!$A22)*(raw!$E$2:$E$1473='2018-19_working'!$T$6)*(raw!$F$2:$F$1473='2018-19_working'!T$7)*(raw!$G$2:$G$1473))</f>
        <v>0</v>
      </c>
      <c r="U22" s="8">
        <f>SUMPRODUCT((raw!$B$2:$B$1473='2018-19_working'!$A22)*(raw!$E$2:$E$1473='2018-19_working'!$T$6)*(raw!$F$2:$F$1473='2018-19_working'!U$7)*(raw!$G$2:$G$1473))</f>
        <v>0</v>
      </c>
      <c r="V22" s="8">
        <f>SUMPRODUCT((raw!$B$2:$B$1473='2018-19_working'!$A22)*(raw!$E$2:$E$1473='2018-19_working'!$T$6)*(raw!$F$2:$F$1473='2018-19_working'!V$7)*(raw!$G$2:$G$1473))</f>
        <v>0</v>
      </c>
      <c r="W22" s="8">
        <f>SUMPRODUCT((raw!$B$2:$B$1473='2018-19_working'!$A22)*(raw!$E$2:$E$1473='2018-19_working'!$T$6)*(raw!$F$2:$F$1473='2018-19_working'!W$7)*(raw!$G$2:$G$1473))</f>
        <v>0</v>
      </c>
      <c r="X22" s="8">
        <f>SUMPRODUCT((raw!$B$2:$B$1473='2018-19_working'!$A22)*(raw!$E$2:$E$1473='2018-19_working'!$T$6)*(raw!$F$2:$F$1473='2018-19_working'!X$7)*(raw!$G$2:$G$1473))</f>
        <v>0</v>
      </c>
      <c r="Y22" s="8">
        <f>SUMPRODUCT((raw!$B$2:$B$1473='2018-19_working'!$A22)*(raw!$E$2:$E$1473='2018-19_working'!$T$6)*(raw!$F$2:$F$1473='2018-19_working'!Y$7)*(raw!$G$2:$G$1473))</f>
        <v>0</v>
      </c>
      <c r="Z22" s="8">
        <f>SUMPRODUCT((raw!$B$2:$B$1473='2018-19_working'!$A22)*(raw!$E$2:$E$1473='2018-19_working'!$T$6)*(raw!$F$2:$F$1473='2018-19_working'!Z$7)*(raw!$G$2:$G$1473))</f>
        <v>0</v>
      </c>
      <c r="AA22" s="8">
        <f>SUMPRODUCT((raw!$B$2:$B$1473='2018-19_working'!$A22)*(raw!$E$2:$E$1473='2018-19_working'!$T$6)*(raw!$F$2:$F$1473='2018-19_working'!AA$7)*(raw!$G$2:$G$1473))</f>
        <v>0</v>
      </c>
      <c r="AC22" s="8">
        <f>SUMPRODUCT((raw!$B$2:$B$1473='2018-19_working'!$A22)*(raw!$E$2:$E$1473='2018-19_working'!$AC$6)*(raw!$F$2:$F$1473='2018-19_working'!AC$7)*(raw!$G$2:$G$1473))</f>
        <v>3</v>
      </c>
      <c r="AD22" s="8">
        <f>SUMPRODUCT((raw!$B$2:$B$1473='2018-19_working'!$A22)*(raw!$E$2:$E$1473='2018-19_working'!$AC$6)*(raw!$F$2:$F$1473='2018-19_working'!AD$7)*(raw!$G$2:$G$1473))</f>
        <v>0</v>
      </c>
      <c r="AE22" s="8">
        <f>SUMPRODUCT((raw!$B$2:$B$1473='2018-19_working'!$A22)*(raw!$E$2:$E$1473='2018-19_working'!$AC$6)*(raw!$F$2:$F$1473='2018-19_working'!AE$7)*(raw!$G$2:$G$1473))</f>
        <v>0</v>
      </c>
      <c r="AF22" s="8">
        <f>SUMPRODUCT((raw!$B$2:$B$1473='2018-19_working'!$A22)*(raw!$E$2:$E$1473='2018-19_working'!$AC$6)*(raw!$F$2:$F$1473='2018-19_working'!AF$7)*(raw!$G$2:$G$1473))</f>
        <v>0</v>
      </c>
      <c r="AG22" s="8">
        <f>SUMPRODUCT((raw!$B$2:$B$1473='2018-19_working'!$A22)*(raw!$E$2:$E$1473='2018-19_working'!$AC$6)*(raw!$F$2:$F$1473='2018-19_working'!AG$7)*(raw!$G$2:$G$1473))</f>
        <v>0</v>
      </c>
      <c r="AH22" s="8">
        <f>SUMPRODUCT((raw!$B$2:$B$1473='2018-19_working'!$A22)*(raw!$E$2:$E$1473='2018-19_working'!$AC$6)*(raw!$F$2:$F$1473='2018-19_working'!AH$7)*(raw!$G$2:$G$1473))</f>
        <v>0</v>
      </c>
      <c r="AI22" s="8">
        <f>SUMPRODUCT((raw!$B$2:$B$1473='2018-19_working'!$A22)*(raw!$E$2:$E$1473='2018-19_working'!$AC$6)*(raw!$F$2:$F$1473='2018-19_working'!AI$7)*(raw!$G$2:$G$1473))</f>
        <v>0</v>
      </c>
      <c r="AJ22" s="8">
        <f>SUMPRODUCT((raw!$B$2:$B$1473='2018-19_working'!$A22)*(raw!$E$2:$E$1473='2018-19_working'!$AC$6)*(raw!$F$2:$F$1473='2018-19_working'!AJ$7)*(raw!$G$2:$G$1473))</f>
        <v>8</v>
      </c>
    </row>
    <row r="23" spans="1:36" x14ac:dyDescent="0.35">
      <c r="A23" s="8" t="s">
        <v>30</v>
      </c>
      <c r="B23" s="8">
        <f>SUMPRODUCT((raw!$B$2:$B$1473='2018-19_working'!$A23)*(raw!$E$2:$E$1473='2018-19_working'!$B$6:$I$6)*(raw!$F$2:$F$1473='2018-19_working'!B$7)*(raw!$G$2:$G$1473))</f>
        <v>2</v>
      </c>
      <c r="C23" s="8">
        <f>SUMPRODUCT((raw!$B$2:$B$1473='2018-19_working'!$A23)*(raw!$E$2:$E$1473='2018-19_working'!$B$6:$I$6)*(raw!$F$2:$F$1473='2018-19_working'!C$7)*(raw!$G$2:$G$1473))</f>
        <v>0</v>
      </c>
      <c r="D23" s="8">
        <f>SUMPRODUCT((raw!$B$2:$B$1473='2018-19_working'!$A23)*(raw!$E$2:$E$1473='2018-19_working'!$B$6:$I$6)*(raw!$F$2:$F$1473='2018-19_working'!D$7)*(raw!$G$2:$G$1473))</f>
        <v>0</v>
      </c>
      <c r="E23" s="8">
        <f>SUMPRODUCT((raw!$B$2:$B$1473='2018-19_working'!$A23)*(raw!$E$2:$E$1473='2018-19_working'!$B$6:$I$6)*(raw!$F$2:$F$1473='2018-19_working'!E$7)*(raw!$G$2:$G$1473))</f>
        <v>0</v>
      </c>
      <c r="F23" s="8">
        <f>SUMPRODUCT((raw!$B$2:$B$1473='2018-19_working'!$A23)*(raw!$E$2:$E$1473='2018-19_working'!$B$6:$I$6)*(raw!$F$2:$F$1473='2018-19_working'!F$7)*(raw!$G$2:$G$1473))</f>
        <v>0</v>
      </c>
      <c r="G23" s="8">
        <f>SUMPRODUCT((raw!$B$2:$B$1473='2018-19_working'!$A23)*(raw!$E$2:$E$1473='2018-19_working'!$B$6:$I$6)*(raw!$F$2:$F$1473='2018-19_working'!G$7)*(raw!$G$2:$G$1473))</f>
        <v>0</v>
      </c>
      <c r="H23" s="8">
        <f>SUMPRODUCT((raw!$B$2:$B$1473='2018-19_working'!$A23)*(raw!$E$2:$E$1473='2018-19_working'!$B$6:$I$6)*(raw!$F$2:$F$1473='2018-19_working'!H$7)*(raw!$G$2:$G$1473))</f>
        <v>0</v>
      </c>
      <c r="I23" s="8">
        <f>SUMPRODUCT((raw!$B$2:$B$1473='2018-19_working'!$A23)*(raw!$E$2:$E$1473='2018-19_working'!$B$6:$I$6)*(raw!$F$2:$F$1473='2018-19_working'!I$7)*(raw!$G$2:$G$1473))</f>
        <v>0</v>
      </c>
      <c r="K23" s="8">
        <f>SUMPRODUCT((raw!$B$2:$B$1473='2018-19_working'!$A23)*(raw!$E$2:$E$1473='2018-19_working'!$K$6)*(raw!$F$2:$F$1473='2018-19_working'!K$7)*(raw!$G$2:$G$1473))</f>
        <v>25</v>
      </c>
      <c r="L23" s="8">
        <f>SUMPRODUCT((raw!$B$2:$B$1473='2018-19_working'!$A23)*(raw!$E$2:$E$1473='2018-19_working'!$K$6)*(raw!$F$2:$F$1473='2018-19_working'!L$7)*(raw!$G$2:$G$1473))</f>
        <v>1</v>
      </c>
      <c r="M23" s="8">
        <f>SUMPRODUCT((raw!$B$2:$B$1473='2018-19_working'!$A23)*(raw!$E$2:$E$1473='2018-19_working'!$K$6)*(raw!$F$2:$F$1473='2018-19_working'!M$7)*(raw!$G$2:$G$1473))</f>
        <v>1</v>
      </c>
      <c r="N23" s="8">
        <f>SUMPRODUCT((raw!$B$2:$B$1473='2018-19_working'!$A23)*(raw!$E$2:$E$1473='2018-19_working'!$K$6)*(raw!$F$2:$F$1473='2018-19_working'!N$7)*(raw!$G$2:$G$1473))</f>
        <v>0</v>
      </c>
      <c r="O23" s="8">
        <f>SUMPRODUCT((raw!$B$2:$B$1473='2018-19_working'!$A23)*(raw!$E$2:$E$1473='2018-19_working'!$K$6)*(raw!$F$2:$F$1473='2018-19_working'!O$7)*(raw!$G$2:$G$1473))</f>
        <v>0</v>
      </c>
      <c r="P23" s="8">
        <f>SUMPRODUCT((raw!$B$2:$B$1473='2018-19_working'!$A23)*(raw!$E$2:$E$1473='2018-19_working'!$K$6)*(raw!$F$2:$F$1473='2018-19_working'!P$7)*(raw!$G$2:$G$1473))</f>
        <v>0</v>
      </c>
      <c r="Q23" s="8">
        <f>SUMPRODUCT((raw!$B$2:$B$1473='2018-19_working'!$A23)*(raw!$E$2:$E$1473='2018-19_working'!$K$6)*(raw!$F$2:$F$1473='2018-19_working'!Q$7)*(raw!$G$2:$G$1473))</f>
        <v>0</v>
      </c>
      <c r="R23" s="8">
        <f>SUMPRODUCT((raw!$B$2:$B$1473='2018-19_working'!$A23)*(raw!$E$2:$E$1473='2018-19_working'!$K$6)*(raw!$F$2:$F$1473='2018-19_working'!R$7)*(raw!$G$2:$G$1473))</f>
        <v>0</v>
      </c>
      <c r="T23" s="8">
        <f>SUMPRODUCT((raw!$B$2:$B$1473='2018-19_working'!$A23)*(raw!$E$2:$E$1473='2018-19_working'!$T$6)*(raw!$F$2:$F$1473='2018-19_working'!T$7)*(raw!$G$2:$G$1473))</f>
        <v>2</v>
      </c>
      <c r="U23" s="8">
        <f>SUMPRODUCT((raw!$B$2:$B$1473='2018-19_working'!$A23)*(raw!$E$2:$E$1473='2018-19_working'!$T$6)*(raw!$F$2:$F$1473='2018-19_working'!U$7)*(raw!$G$2:$G$1473))</f>
        <v>0</v>
      </c>
      <c r="V23" s="8">
        <f>SUMPRODUCT((raw!$B$2:$B$1473='2018-19_working'!$A23)*(raw!$E$2:$E$1473='2018-19_working'!$T$6)*(raw!$F$2:$F$1473='2018-19_working'!V$7)*(raw!$G$2:$G$1473))</f>
        <v>0</v>
      </c>
      <c r="W23" s="8">
        <f>SUMPRODUCT((raw!$B$2:$B$1473='2018-19_working'!$A23)*(raw!$E$2:$E$1473='2018-19_working'!$T$6)*(raw!$F$2:$F$1473='2018-19_working'!W$7)*(raw!$G$2:$G$1473))</f>
        <v>0</v>
      </c>
      <c r="X23" s="8">
        <f>SUMPRODUCT((raw!$B$2:$B$1473='2018-19_working'!$A23)*(raw!$E$2:$E$1473='2018-19_working'!$T$6)*(raw!$F$2:$F$1473='2018-19_working'!X$7)*(raw!$G$2:$G$1473))</f>
        <v>0</v>
      </c>
      <c r="Y23" s="8">
        <f>SUMPRODUCT((raw!$B$2:$B$1473='2018-19_working'!$A23)*(raw!$E$2:$E$1473='2018-19_working'!$T$6)*(raw!$F$2:$F$1473='2018-19_working'!Y$7)*(raw!$G$2:$G$1473))</f>
        <v>0</v>
      </c>
      <c r="Z23" s="8">
        <f>SUMPRODUCT((raw!$B$2:$B$1473='2018-19_working'!$A23)*(raw!$E$2:$E$1473='2018-19_working'!$T$6)*(raw!$F$2:$F$1473='2018-19_working'!Z$7)*(raw!$G$2:$G$1473))</f>
        <v>0</v>
      </c>
      <c r="AA23" s="8">
        <f>SUMPRODUCT((raw!$B$2:$B$1473='2018-19_working'!$A23)*(raw!$E$2:$E$1473='2018-19_working'!$T$6)*(raw!$F$2:$F$1473='2018-19_working'!AA$7)*(raw!$G$2:$G$1473))</f>
        <v>0</v>
      </c>
      <c r="AC23" s="8">
        <f>SUMPRODUCT((raw!$B$2:$B$1473='2018-19_working'!$A23)*(raw!$E$2:$E$1473='2018-19_working'!$AC$6)*(raw!$F$2:$F$1473='2018-19_working'!AC$7)*(raw!$G$2:$G$1473))</f>
        <v>23</v>
      </c>
      <c r="AD23" s="8">
        <f>SUMPRODUCT((raw!$B$2:$B$1473='2018-19_working'!$A23)*(raw!$E$2:$E$1473='2018-19_working'!$AC$6)*(raw!$F$2:$F$1473='2018-19_working'!AD$7)*(raw!$G$2:$G$1473))</f>
        <v>0</v>
      </c>
      <c r="AE23" s="8">
        <f>SUMPRODUCT((raw!$B$2:$B$1473='2018-19_working'!$A23)*(raw!$E$2:$E$1473='2018-19_working'!$AC$6)*(raw!$F$2:$F$1473='2018-19_working'!AE$7)*(raw!$G$2:$G$1473))</f>
        <v>0</v>
      </c>
      <c r="AF23" s="8">
        <f>SUMPRODUCT((raw!$B$2:$B$1473='2018-19_working'!$A23)*(raw!$E$2:$E$1473='2018-19_working'!$AC$6)*(raw!$F$2:$F$1473='2018-19_working'!AF$7)*(raw!$G$2:$G$1473))</f>
        <v>0</v>
      </c>
      <c r="AG23" s="8">
        <f>SUMPRODUCT((raw!$B$2:$B$1473='2018-19_working'!$A23)*(raw!$E$2:$E$1473='2018-19_working'!$AC$6)*(raw!$F$2:$F$1473='2018-19_working'!AG$7)*(raw!$G$2:$G$1473))</f>
        <v>1</v>
      </c>
      <c r="AH23" s="8">
        <f>SUMPRODUCT((raw!$B$2:$B$1473='2018-19_working'!$A23)*(raw!$E$2:$E$1473='2018-19_working'!$AC$6)*(raw!$F$2:$F$1473='2018-19_working'!AH$7)*(raw!$G$2:$G$1473))</f>
        <v>0</v>
      </c>
      <c r="AI23" s="8">
        <f>SUMPRODUCT((raw!$B$2:$B$1473='2018-19_working'!$A23)*(raw!$E$2:$E$1473='2018-19_working'!$AC$6)*(raw!$F$2:$F$1473='2018-19_working'!AI$7)*(raw!$G$2:$G$1473))</f>
        <v>0</v>
      </c>
      <c r="AJ23" s="8">
        <f>SUMPRODUCT((raw!$B$2:$B$1473='2018-19_working'!$A23)*(raw!$E$2:$E$1473='2018-19_working'!$AC$6)*(raw!$F$2:$F$1473='2018-19_working'!AJ$7)*(raw!$G$2:$G$1473))</f>
        <v>2</v>
      </c>
    </row>
    <row r="24" spans="1:36" x14ac:dyDescent="0.35">
      <c r="A24" s="8" t="s">
        <v>31</v>
      </c>
      <c r="B24" s="8">
        <f>SUMPRODUCT((raw!$B$2:$B$1473='2018-19_working'!$A24)*(raw!$E$2:$E$1473='2018-19_working'!$B$6:$I$6)*(raw!$F$2:$F$1473='2018-19_working'!B$7)*(raw!$G$2:$G$1473))</f>
        <v>33</v>
      </c>
      <c r="C24" s="8">
        <f>SUMPRODUCT((raw!$B$2:$B$1473='2018-19_working'!$A24)*(raw!$E$2:$E$1473='2018-19_working'!$B$6:$I$6)*(raw!$F$2:$F$1473='2018-19_working'!C$7)*(raw!$G$2:$G$1473))</f>
        <v>0</v>
      </c>
      <c r="D24" s="8">
        <f>SUMPRODUCT((raw!$B$2:$B$1473='2018-19_working'!$A24)*(raw!$E$2:$E$1473='2018-19_working'!$B$6:$I$6)*(raw!$F$2:$F$1473='2018-19_working'!D$7)*(raw!$G$2:$G$1473))</f>
        <v>0</v>
      </c>
      <c r="E24" s="8">
        <f>SUMPRODUCT((raw!$B$2:$B$1473='2018-19_working'!$A24)*(raw!$E$2:$E$1473='2018-19_working'!$B$6:$I$6)*(raw!$F$2:$F$1473='2018-19_working'!E$7)*(raw!$G$2:$G$1473))</f>
        <v>1</v>
      </c>
      <c r="F24" s="8">
        <f>SUMPRODUCT((raw!$B$2:$B$1473='2018-19_working'!$A24)*(raw!$E$2:$E$1473='2018-19_working'!$B$6:$I$6)*(raw!$F$2:$F$1473='2018-19_working'!F$7)*(raw!$G$2:$G$1473))</f>
        <v>0</v>
      </c>
      <c r="G24" s="8">
        <f>SUMPRODUCT((raw!$B$2:$B$1473='2018-19_working'!$A24)*(raw!$E$2:$E$1473='2018-19_working'!$B$6:$I$6)*(raw!$F$2:$F$1473='2018-19_working'!G$7)*(raw!$G$2:$G$1473))</f>
        <v>0</v>
      </c>
      <c r="H24" s="8">
        <f>SUMPRODUCT((raw!$B$2:$B$1473='2018-19_working'!$A24)*(raw!$E$2:$E$1473='2018-19_working'!$B$6:$I$6)*(raw!$F$2:$F$1473='2018-19_working'!H$7)*(raw!$G$2:$G$1473))</f>
        <v>0</v>
      </c>
      <c r="I24" s="8">
        <f>SUMPRODUCT((raw!$B$2:$B$1473='2018-19_working'!$A24)*(raw!$E$2:$E$1473='2018-19_working'!$B$6:$I$6)*(raw!$F$2:$F$1473='2018-19_working'!I$7)*(raw!$G$2:$G$1473))</f>
        <v>23</v>
      </c>
      <c r="K24" s="8">
        <f>SUMPRODUCT((raw!$B$2:$B$1473='2018-19_working'!$A24)*(raw!$E$2:$E$1473='2018-19_working'!$K$6)*(raw!$F$2:$F$1473='2018-19_working'!K$7)*(raw!$G$2:$G$1473))</f>
        <v>30</v>
      </c>
      <c r="L24" s="8">
        <f>SUMPRODUCT((raw!$B$2:$B$1473='2018-19_working'!$A24)*(raw!$E$2:$E$1473='2018-19_working'!$K$6)*(raw!$F$2:$F$1473='2018-19_working'!L$7)*(raw!$G$2:$G$1473))</f>
        <v>2</v>
      </c>
      <c r="M24" s="8">
        <f>SUMPRODUCT((raw!$B$2:$B$1473='2018-19_working'!$A24)*(raw!$E$2:$E$1473='2018-19_working'!$K$6)*(raw!$F$2:$F$1473='2018-19_working'!M$7)*(raw!$G$2:$G$1473))</f>
        <v>0</v>
      </c>
      <c r="N24" s="8">
        <f>SUMPRODUCT((raw!$B$2:$B$1473='2018-19_working'!$A24)*(raw!$E$2:$E$1473='2018-19_working'!$K$6)*(raw!$F$2:$F$1473='2018-19_working'!N$7)*(raw!$G$2:$G$1473))</f>
        <v>0</v>
      </c>
      <c r="O24" s="8">
        <f>SUMPRODUCT((raw!$B$2:$B$1473='2018-19_working'!$A24)*(raw!$E$2:$E$1473='2018-19_working'!$K$6)*(raw!$F$2:$F$1473='2018-19_working'!O$7)*(raw!$G$2:$G$1473))</f>
        <v>1</v>
      </c>
      <c r="P24" s="8">
        <f>SUMPRODUCT((raw!$B$2:$B$1473='2018-19_working'!$A24)*(raw!$E$2:$E$1473='2018-19_working'!$K$6)*(raw!$F$2:$F$1473='2018-19_working'!P$7)*(raw!$G$2:$G$1473))</f>
        <v>0</v>
      </c>
      <c r="Q24" s="8">
        <f>SUMPRODUCT((raw!$B$2:$B$1473='2018-19_working'!$A24)*(raw!$E$2:$E$1473='2018-19_working'!$K$6)*(raw!$F$2:$F$1473='2018-19_working'!Q$7)*(raw!$G$2:$G$1473))</f>
        <v>0</v>
      </c>
      <c r="R24" s="8">
        <f>SUMPRODUCT((raw!$B$2:$B$1473='2018-19_working'!$A24)*(raw!$E$2:$E$1473='2018-19_working'!$K$6)*(raw!$F$2:$F$1473='2018-19_working'!R$7)*(raw!$G$2:$G$1473))</f>
        <v>29</v>
      </c>
      <c r="T24" s="8">
        <f>SUMPRODUCT((raw!$B$2:$B$1473='2018-19_working'!$A24)*(raw!$E$2:$E$1473='2018-19_working'!$T$6)*(raw!$F$2:$F$1473='2018-19_working'!T$7)*(raw!$G$2:$G$1473))</f>
        <v>1</v>
      </c>
      <c r="U24" s="8">
        <f>SUMPRODUCT((raw!$B$2:$B$1473='2018-19_working'!$A24)*(raw!$E$2:$E$1473='2018-19_working'!$T$6)*(raw!$F$2:$F$1473='2018-19_working'!U$7)*(raw!$G$2:$G$1473))</f>
        <v>0</v>
      </c>
      <c r="V24" s="8">
        <f>SUMPRODUCT((raw!$B$2:$B$1473='2018-19_working'!$A24)*(raw!$E$2:$E$1473='2018-19_working'!$T$6)*(raw!$F$2:$F$1473='2018-19_working'!V$7)*(raw!$G$2:$G$1473))</f>
        <v>0</v>
      </c>
      <c r="W24" s="8">
        <f>SUMPRODUCT((raw!$B$2:$B$1473='2018-19_working'!$A24)*(raw!$E$2:$E$1473='2018-19_working'!$T$6)*(raw!$F$2:$F$1473='2018-19_working'!W$7)*(raw!$G$2:$G$1473))</f>
        <v>0</v>
      </c>
      <c r="X24" s="8">
        <f>SUMPRODUCT((raw!$B$2:$B$1473='2018-19_working'!$A24)*(raw!$E$2:$E$1473='2018-19_working'!$T$6)*(raw!$F$2:$F$1473='2018-19_working'!X$7)*(raw!$G$2:$G$1473))</f>
        <v>0</v>
      </c>
      <c r="Y24" s="8">
        <f>SUMPRODUCT((raw!$B$2:$B$1473='2018-19_working'!$A24)*(raw!$E$2:$E$1473='2018-19_working'!$T$6)*(raw!$F$2:$F$1473='2018-19_working'!Y$7)*(raw!$G$2:$G$1473))</f>
        <v>0</v>
      </c>
      <c r="Z24" s="8">
        <f>SUMPRODUCT((raw!$B$2:$B$1473='2018-19_working'!$A24)*(raw!$E$2:$E$1473='2018-19_working'!$T$6)*(raw!$F$2:$F$1473='2018-19_working'!Z$7)*(raw!$G$2:$G$1473))</f>
        <v>0</v>
      </c>
      <c r="AA24" s="8">
        <f>SUMPRODUCT((raw!$B$2:$B$1473='2018-19_working'!$A24)*(raw!$E$2:$E$1473='2018-19_working'!$T$6)*(raw!$F$2:$F$1473='2018-19_working'!AA$7)*(raw!$G$2:$G$1473))</f>
        <v>2</v>
      </c>
      <c r="AC24" s="8">
        <f>SUMPRODUCT((raw!$B$2:$B$1473='2018-19_working'!$A24)*(raw!$E$2:$E$1473='2018-19_working'!$AC$6)*(raw!$F$2:$F$1473='2018-19_working'!AC$7)*(raw!$G$2:$G$1473))</f>
        <v>15</v>
      </c>
      <c r="AD24" s="8">
        <f>SUMPRODUCT((raw!$B$2:$B$1473='2018-19_working'!$A24)*(raw!$E$2:$E$1473='2018-19_working'!$AC$6)*(raw!$F$2:$F$1473='2018-19_working'!AD$7)*(raw!$G$2:$G$1473))</f>
        <v>0</v>
      </c>
      <c r="AE24" s="8">
        <f>SUMPRODUCT((raw!$B$2:$B$1473='2018-19_working'!$A24)*(raw!$E$2:$E$1473='2018-19_working'!$AC$6)*(raw!$F$2:$F$1473='2018-19_working'!AE$7)*(raw!$G$2:$G$1473))</f>
        <v>0</v>
      </c>
      <c r="AF24" s="8">
        <f>SUMPRODUCT((raw!$B$2:$B$1473='2018-19_working'!$A24)*(raw!$E$2:$E$1473='2018-19_working'!$AC$6)*(raw!$F$2:$F$1473='2018-19_working'!AF$7)*(raw!$G$2:$G$1473))</f>
        <v>0</v>
      </c>
      <c r="AG24" s="8">
        <f>SUMPRODUCT((raw!$B$2:$B$1473='2018-19_working'!$A24)*(raw!$E$2:$E$1473='2018-19_working'!$AC$6)*(raw!$F$2:$F$1473='2018-19_working'!AG$7)*(raw!$G$2:$G$1473))</f>
        <v>0</v>
      </c>
      <c r="AH24" s="8">
        <f>SUMPRODUCT((raw!$B$2:$B$1473='2018-19_working'!$A24)*(raw!$E$2:$E$1473='2018-19_working'!$AC$6)*(raw!$F$2:$F$1473='2018-19_working'!AH$7)*(raw!$G$2:$G$1473))</f>
        <v>0</v>
      </c>
      <c r="AI24" s="8">
        <f>SUMPRODUCT((raw!$B$2:$B$1473='2018-19_working'!$A24)*(raw!$E$2:$E$1473='2018-19_working'!$AC$6)*(raw!$F$2:$F$1473='2018-19_working'!AI$7)*(raw!$G$2:$G$1473))</f>
        <v>0</v>
      </c>
      <c r="AJ24" s="8">
        <f>SUMPRODUCT((raw!$B$2:$B$1473='2018-19_working'!$A24)*(raw!$E$2:$E$1473='2018-19_working'!$AC$6)*(raw!$F$2:$F$1473='2018-19_working'!AJ$7)*(raw!$G$2:$G$1473))</f>
        <v>16</v>
      </c>
    </row>
    <row r="25" spans="1:36" x14ac:dyDescent="0.35">
      <c r="A25" s="8" t="s">
        <v>32</v>
      </c>
      <c r="B25" s="8">
        <f>SUMPRODUCT((raw!$B$2:$B$1473='2018-19_working'!$A25)*(raw!$E$2:$E$1473='2018-19_working'!$B$6:$I$6)*(raw!$F$2:$F$1473='2018-19_working'!B$7)*(raw!$G$2:$G$1473))</f>
        <v>6</v>
      </c>
      <c r="C25" s="8">
        <f>SUMPRODUCT((raw!$B$2:$B$1473='2018-19_working'!$A25)*(raw!$E$2:$E$1473='2018-19_working'!$B$6:$I$6)*(raw!$F$2:$F$1473='2018-19_working'!C$7)*(raw!$G$2:$G$1473))</f>
        <v>1</v>
      </c>
      <c r="D25" s="8">
        <f>SUMPRODUCT((raw!$B$2:$B$1473='2018-19_working'!$A25)*(raw!$E$2:$E$1473='2018-19_working'!$B$6:$I$6)*(raw!$F$2:$F$1473='2018-19_working'!D$7)*(raw!$G$2:$G$1473))</f>
        <v>0</v>
      </c>
      <c r="E25" s="8">
        <f>SUMPRODUCT((raw!$B$2:$B$1473='2018-19_working'!$A25)*(raw!$E$2:$E$1473='2018-19_working'!$B$6:$I$6)*(raw!$F$2:$F$1473='2018-19_working'!E$7)*(raw!$G$2:$G$1473))</f>
        <v>0</v>
      </c>
      <c r="F25" s="8">
        <f>SUMPRODUCT((raw!$B$2:$B$1473='2018-19_working'!$A25)*(raw!$E$2:$E$1473='2018-19_working'!$B$6:$I$6)*(raw!$F$2:$F$1473='2018-19_working'!F$7)*(raw!$G$2:$G$1473))</f>
        <v>0</v>
      </c>
      <c r="G25" s="8">
        <f>SUMPRODUCT((raw!$B$2:$B$1473='2018-19_working'!$A25)*(raw!$E$2:$E$1473='2018-19_working'!$B$6:$I$6)*(raw!$F$2:$F$1473='2018-19_working'!G$7)*(raw!$G$2:$G$1473))</f>
        <v>0</v>
      </c>
      <c r="H25" s="8">
        <f>SUMPRODUCT((raw!$B$2:$B$1473='2018-19_working'!$A25)*(raw!$E$2:$E$1473='2018-19_working'!$B$6:$I$6)*(raw!$F$2:$F$1473='2018-19_working'!H$7)*(raw!$G$2:$G$1473))</f>
        <v>0</v>
      </c>
      <c r="I25" s="8">
        <f>SUMPRODUCT((raw!$B$2:$B$1473='2018-19_working'!$A25)*(raw!$E$2:$E$1473='2018-19_working'!$B$6:$I$6)*(raw!$F$2:$F$1473='2018-19_working'!I$7)*(raw!$G$2:$G$1473))</f>
        <v>0</v>
      </c>
      <c r="K25" s="8">
        <f>SUMPRODUCT((raw!$B$2:$B$1473='2018-19_working'!$A25)*(raw!$E$2:$E$1473='2018-19_working'!$K$6)*(raw!$F$2:$F$1473='2018-19_working'!K$7)*(raw!$G$2:$G$1473))</f>
        <v>27</v>
      </c>
      <c r="L25" s="8">
        <f>SUMPRODUCT((raw!$B$2:$B$1473='2018-19_working'!$A25)*(raw!$E$2:$E$1473='2018-19_working'!$K$6)*(raw!$F$2:$F$1473='2018-19_working'!L$7)*(raw!$G$2:$G$1473))</f>
        <v>2</v>
      </c>
      <c r="M25" s="8">
        <f>SUMPRODUCT((raw!$B$2:$B$1473='2018-19_working'!$A25)*(raw!$E$2:$E$1473='2018-19_working'!$K$6)*(raw!$F$2:$F$1473='2018-19_working'!M$7)*(raw!$G$2:$G$1473))</f>
        <v>0</v>
      </c>
      <c r="N25" s="8">
        <f>SUMPRODUCT((raw!$B$2:$B$1473='2018-19_working'!$A25)*(raw!$E$2:$E$1473='2018-19_working'!$K$6)*(raw!$F$2:$F$1473='2018-19_working'!N$7)*(raw!$G$2:$G$1473))</f>
        <v>1</v>
      </c>
      <c r="O25" s="8">
        <f>SUMPRODUCT((raw!$B$2:$B$1473='2018-19_working'!$A25)*(raw!$E$2:$E$1473='2018-19_working'!$K$6)*(raw!$F$2:$F$1473='2018-19_working'!O$7)*(raw!$G$2:$G$1473))</f>
        <v>0</v>
      </c>
      <c r="P25" s="8">
        <f>SUMPRODUCT((raw!$B$2:$B$1473='2018-19_working'!$A25)*(raw!$E$2:$E$1473='2018-19_working'!$K$6)*(raw!$F$2:$F$1473='2018-19_working'!P$7)*(raw!$G$2:$G$1473))</f>
        <v>0</v>
      </c>
      <c r="Q25" s="8">
        <f>SUMPRODUCT((raw!$B$2:$B$1473='2018-19_working'!$A25)*(raw!$E$2:$E$1473='2018-19_working'!$K$6)*(raw!$F$2:$F$1473='2018-19_working'!Q$7)*(raw!$G$2:$G$1473))</f>
        <v>0</v>
      </c>
      <c r="R25" s="8">
        <f>SUMPRODUCT((raw!$B$2:$B$1473='2018-19_working'!$A25)*(raw!$E$2:$E$1473='2018-19_working'!$K$6)*(raw!$F$2:$F$1473='2018-19_working'!R$7)*(raw!$G$2:$G$1473))</f>
        <v>21</v>
      </c>
      <c r="T25" s="8">
        <f>SUMPRODUCT((raw!$B$2:$B$1473='2018-19_working'!$A25)*(raw!$E$2:$E$1473='2018-19_working'!$T$6)*(raw!$F$2:$F$1473='2018-19_working'!T$7)*(raw!$G$2:$G$1473))</f>
        <v>0</v>
      </c>
      <c r="U25" s="8">
        <f>SUMPRODUCT((raw!$B$2:$B$1473='2018-19_working'!$A25)*(raw!$E$2:$E$1473='2018-19_working'!$T$6)*(raw!$F$2:$F$1473='2018-19_working'!U$7)*(raw!$G$2:$G$1473))</f>
        <v>0</v>
      </c>
      <c r="V25" s="8">
        <f>SUMPRODUCT((raw!$B$2:$B$1473='2018-19_working'!$A25)*(raw!$E$2:$E$1473='2018-19_working'!$T$6)*(raw!$F$2:$F$1473='2018-19_working'!V$7)*(raw!$G$2:$G$1473))</f>
        <v>0</v>
      </c>
      <c r="W25" s="8">
        <f>SUMPRODUCT((raw!$B$2:$B$1473='2018-19_working'!$A25)*(raw!$E$2:$E$1473='2018-19_working'!$T$6)*(raw!$F$2:$F$1473='2018-19_working'!W$7)*(raw!$G$2:$G$1473))</f>
        <v>0</v>
      </c>
      <c r="X25" s="8">
        <f>SUMPRODUCT((raw!$B$2:$B$1473='2018-19_working'!$A25)*(raw!$E$2:$E$1473='2018-19_working'!$T$6)*(raw!$F$2:$F$1473='2018-19_working'!X$7)*(raw!$G$2:$G$1473))</f>
        <v>0</v>
      </c>
      <c r="Y25" s="8">
        <f>SUMPRODUCT((raw!$B$2:$B$1473='2018-19_working'!$A25)*(raw!$E$2:$E$1473='2018-19_working'!$T$6)*(raw!$F$2:$F$1473='2018-19_working'!Y$7)*(raw!$G$2:$G$1473))</f>
        <v>0</v>
      </c>
      <c r="Z25" s="8">
        <f>SUMPRODUCT((raw!$B$2:$B$1473='2018-19_working'!$A25)*(raw!$E$2:$E$1473='2018-19_working'!$T$6)*(raw!$F$2:$F$1473='2018-19_working'!Z$7)*(raw!$G$2:$G$1473))</f>
        <v>0</v>
      </c>
      <c r="AA25" s="8">
        <f>SUMPRODUCT((raw!$B$2:$B$1473='2018-19_working'!$A25)*(raw!$E$2:$E$1473='2018-19_working'!$T$6)*(raw!$F$2:$F$1473='2018-19_working'!AA$7)*(raw!$G$2:$G$1473))</f>
        <v>0</v>
      </c>
      <c r="AC25" s="8">
        <f>SUMPRODUCT((raw!$B$2:$B$1473='2018-19_working'!$A25)*(raw!$E$2:$E$1473='2018-19_working'!$AC$6)*(raw!$F$2:$F$1473='2018-19_working'!AC$7)*(raw!$G$2:$G$1473))</f>
        <v>5</v>
      </c>
      <c r="AD25" s="8">
        <f>SUMPRODUCT((raw!$B$2:$B$1473='2018-19_working'!$A25)*(raw!$E$2:$E$1473='2018-19_working'!$AC$6)*(raw!$F$2:$F$1473='2018-19_working'!AD$7)*(raw!$G$2:$G$1473))</f>
        <v>0</v>
      </c>
      <c r="AE25" s="8">
        <f>SUMPRODUCT((raw!$B$2:$B$1473='2018-19_working'!$A25)*(raw!$E$2:$E$1473='2018-19_working'!$AC$6)*(raw!$F$2:$F$1473='2018-19_working'!AE$7)*(raw!$G$2:$G$1473))</f>
        <v>0</v>
      </c>
      <c r="AF25" s="8">
        <f>SUMPRODUCT((raw!$B$2:$B$1473='2018-19_working'!$A25)*(raw!$E$2:$E$1473='2018-19_working'!$AC$6)*(raw!$F$2:$F$1473='2018-19_working'!AF$7)*(raw!$G$2:$G$1473))</f>
        <v>0</v>
      </c>
      <c r="AG25" s="8">
        <f>SUMPRODUCT((raw!$B$2:$B$1473='2018-19_working'!$A25)*(raw!$E$2:$E$1473='2018-19_working'!$AC$6)*(raw!$F$2:$F$1473='2018-19_working'!AG$7)*(raw!$G$2:$G$1473))</f>
        <v>0</v>
      </c>
      <c r="AH25" s="8">
        <f>SUMPRODUCT((raw!$B$2:$B$1473='2018-19_working'!$A25)*(raw!$E$2:$E$1473='2018-19_working'!$AC$6)*(raw!$F$2:$F$1473='2018-19_working'!AH$7)*(raw!$G$2:$G$1473))</f>
        <v>0</v>
      </c>
      <c r="AI25" s="8">
        <f>SUMPRODUCT((raw!$B$2:$B$1473='2018-19_working'!$A25)*(raw!$E$2:$E$1473='2018-19_working'!$AC$6)*(raw!$F$2:$F$1473='2018-19_working'!AI$7)*(raw!$G$2:$G$1473))</f>
        <v>0</v>
      </c>
      <c r="AJ25" s="8">
        <f>SUMPRODUCT((raw!$B$2:$B$1473='2018-19_working'!$A25)*(raw!$E$2:$E$1473='2018-19_working'!$AC$6)*(raw!$F$2:$F$1473='2018-19_working'!AJ$7)*(raw!$G$2:$G$1473))</f>
        <v>0</v>
      </c>
    </row>
    <row r="26" spans="1:36" x14ac:dyDescent="0.35">
      <c r="A26" s="8" t="s">
        <v>33</v>
      </c>
      <c r="B26" s="8">
        <f>SUMPRODUCT((raw!$B$2:$B$1473='2018-19_working'!$A26)*(raw!$E$2:$E$1473='2018-19_working'!$B$6:$I$6)*(raw!$F$2:$F$1473='2018-19_working'!B$7)*(raw!$G$2:$G$1473))</f>
        <v>37</v>
      </c>
      <c r="C26" s="8">
        <f>SUMPRODUCT((raw!$B$2:$B$1473='2018-19_working'!$A26)*(raw!$E$2:$E$1473='2018-19_working'!$B$6:$I$6)*(raw!$F$2:$F$1473='2018-19_working'!C$7)*(raw!$G$2:$G$1473))</f>
        <v>0</v>
      </c>
      <c r="D26" s="8">
        <f>SUMPRODUCT((raw!$B$2:$B$1473='2018-19_working'!$A26)*(raw!$E$2:$E$1473='2018-19_working'!$B$6:$I$6)*(raw!$F$2:$F$1473='2018-19_working'!D$7)*(raw!$G$2:$G$1473))</f>
        <v>0</v>
      </c>
      <c r="E26" s="8">
        <f>SUMPRODUCT((raw!$B$2:$B$1473='2018-19_working'!$A26)*(raw!$E$2:$E$1473='2018-19_working'!$B$6:$I$6)*(raw!$F$2:$F$1473='2018-19_working'!E$7)*(raw!$G$2:$G$1473))</f>
        <v>0</v>
      </c>
      <c r="F26" s="8">
        <f>SUMPRODUCT((raw!$B$2:$B$1473='2018-19_working'!$A26)*(raw!$E$2:$E$1473='2018-19_working'!$B$6:$I$6)*(raw!$F$2:$F$1473='2018-19_working'!F$7)*(raw!$G$2:$G$1473))</f>
        <v>0</v>
      </c>
      <c r="G26" s="8">
        <f>SUMPRODUCT((raw!$B$2:$B$1473='2018-19_working'!$A26)*(raw!$E$2:$E$1473='2018-19_working'!$B$6:$I$6)*(raw!$F$2:$F$1473='2018-19_working'!G$7)*(raw!$G$2:$G$1473))</f>
        <v>0</v>
      </c>
      <c r="H26" s="8">
        <f>SUMPRODUCT((raw!$B$2:$B$1473='2018-19_working'!$A26)*(raw!$E$2:$E$1473='2018-19_working'!$B$6:$I$6)*(raw!$F$2:$F$1473='2018-19_working'!H$7)*(raw!$G$2:$G$1473))</f>
        <v>0</v>
      </c>
      <c r="I26" s="8">
        <f>SUMPRODUCT((raw!$B$2:$B$1473='2018-19_working'!$A26)*(raw!$E$2:$E$1473='2018-19_working'!$B$6:$I$6)*(raw!$F$2:$F$1473='2018-19_working'!I$7)*(raw!$G$2:$G$1473))</f>
        <v>22</v>
      </c>
      <c r="K26" s="8">
        <f>SUMPRODUCT((raw!$B$2:$B$1473='2018-19_working'!$A26)*(raw!$E$2:$E$1473='2018-19_working'!$K$6)*(raw!$F$2:$F$1473='2018-19_working'!K$7)*(raw!$G$2:$G$1473))</f>
        <v>100</v>
      </c>
      <c r="L26" s="8">
        <f>SUMPRODUCT((raw!$B$2:$B$1473='2018-19_working'!$A26)*(raw!$E$2:$E$1473='2018-19_working'!$K$6)*(raw!$F$2:$F$1473='2018-19_working'!L$7)*(raw!$G$2:$G$1473))</f>
        <v>4</v>
      </c>
      <c r="M26" s="8">
        <f>SUMPRODUCT((raw!$B$2:$B$1473='2018-19_working'!$A26)*(raw!$E$2:$E$1473='2018-19_working'!$K$6)*(raw!$F$2:$F$1473='2018-19_working'!M$7)*(raw!$G$2:$G$1473))</f>
        <v>0</v>
      </c>
      <c r="N26" s="8">
        <f>SUMPRODUCT((raw!$B$2:$B$1473='2018-19_working'!$A26)*(raw!$E$2:$E$1473='2018-19_working'!$K$6)*(raw!$F$2:$F$1473='2018-19_working'!N$7)*(raw!$G$2:$G$1473))</f>
        <v>0</v>
      </c>
      <c r="O26" s="8">
        <f>SUMPRODUCT((raw!$B$2:$B$1473='2018-19_working'!$A26)*(raw!$E$2:$E$1473='2018-19_working'!$K$6)*(raw!$F$2:$F$1473='2018-19_working'!O$7)*(raw!$G$2:$G$1473))</f>
        <v>1</v>
      </c>
      <c r="P26" s="8">
        <f>SUMPRODUCT((raw!$B$2:$B$1473='2018-19_working'!$A26)*(raw!$E$2:$E$1473='2018-19_working'!$K$6)*(raw!$F$2:$F$1473='2018-19_working'!P$7)*(raw!$G$2:$G$1473))</f>
        <v>0</v>
      </c>
      <c r="Q26" s="8">
        <f>SUMPRODUCT((raw!$B$2:$B$1473='2018-19_working'!$A26)*(raw!$E$2:$E$1473='2018-19_working'!$K$6)*(raw!$F$2:$F$1473='2018-19_working'!Q$7)*(raw!$G$2:$G$1473))</f>
        <v>0</v>
      </c>
      <c r="R26" s="8">
        <f>SUMPRODUCT((raw!$B$2:$B$1473='2018-19_working'!$A26)*(raw!$E$2:$E$1473='2018-19_working'!$K$6)*(raw!$F$2:$F$1473='2018-19_working'!R$7)*(raw!$G$2:$G$1473))</f>
        <v>5</v>
      </c>
      <c r="T26" s="8">
        <f>SUMPRODUCT((raw!$B$2:$B$1473='2018-19_working'!$A26)*(raw!$E$2:$E$1473='2018-19_working'!$T$6)*(raw!$F$2:$F$1473='2018-19_working'!T$7)*(raw!$G$2:$G$1473))</f>
        <v>3</v>
      </c>
      <c r="U26" s="8">
        <f>SUMPRODUCT((raw!$B$2:$B$1473='2018-19_working'!$A26)*(raw!$E$2:$E$1473='2018-19_working'!$T$6)*(raw!$F$2:$F$1473='2018-19_working'!U$7)*(raw!$G$2:$G$1473))</f>
        <v>0</v>
      </c>
      <c r="V26" s="8">
        <f>SUMPRODUCT((raw!$B$2:$B$1473='2018-19_working'!$A26)*(raw!$E$2:$E$1473='2018-19_working'!$T$6)*(raw!$F$2:$F$1473='2018-19_working'!V$7)*(raw!$G$2:$G$1473))</f>
        <v>0</v>
      </c>
      <c r="W26" s="8">
        <f>SUMPRODUCT((raw!$B$2:$B$1473='2018-19_working'!$A26)*(raw!$E$2:$E$1473='2018-19_working'!$T$6)*(raw!$F$2:$F$1473='2018-19_working'!W$7)*(raw!$G$2:$G$1473))</f>
        <v>0</v>
      </c>
      <c r="X26" s="8">
        <f>SUMPRODUCT((raw!$B$2:$B$1473='2018-19_working'!$A26)*(raw!$E$2:$E$1473='2018-19_working'!$T$6)*(raw!$F$2:$F$1473='2018-19_working'!X$7)*(raw!$G$2:$G$1473))</f>
        <v>0</v>
      </c>
      <c r="Y26" s="8">
        <f>SUMPRODUCT((raw!$B$2:$B$1473='2018-19_working'!$A26)*(raw!$E$2:$E$1473='2018-19_working'!$T$6)*(raw!$F$2:$F$1473='2018-19_working'!Y$7)*(raw!$G$2:$G$1473))</f>
        <v>0</v>
      </c>
      <c r="Z26" s="8">
        <f>SUMPRODUCT((raw!$B$2:$B$1473='2018-19_working'!$A26)*(raw!$E$2:$E$1473='2018-19_working'!$T$6)*(raw!$F$2:$F$1473='2018-19_working'!Z$7)*(raw!$G$2:$G$1473))</f>
        <v>0</v>
      </c>
      <c r="AA26" s="8">
        <f>SUMPRODUCT((raw!$B$2:$B$1473='2018-19_working'!$A26)*(raw!$E$2:$E$1473='2018-19_working'!$T$6)*(raw!$F$2:$F$1473='2018-19_working'!AA$7)*(raw!$G$2:$G$1473))</f>
        <v>0</v>
      </c>
      <c r="AC26" s="8">
        <f>SUMPRODUCT((raw!$B$2:$B$1473='2018-19_working'!$A26)*(raw!$E$2:$E$1473='2018-19_working'!$AC$6)*(raw!$F$2:$F$1473='2018-19_working'!AC$7)*(raw!$G$2:$G$1473))</f>
        <v>26</v>
      </c>
      <c r="AD26" s="8">
        <f>SUMPRODUCT((raw!$B$2:$B$1473='2018-19_working'!$A26)*(raw!$E$2:$E$1473='2018-19_working'!$AC$6)*(raw!$F$2:$F$1473='2018-19_working'!AD$7)*(raw!$G$2:$G$1473))</f>
        <v>0</v>
      </c>
      <c r="AE26" s="8">
        <f>SUMPRODUCT((raw!$B$2:$B$1473='2018-19_working'!$A26)*(raw!$E$2:$E$1473='2018-19_working'!$AC$6)*(raw!$F$2:$F$1473='2018-19_working'!AE$7)*(raw!$G$2:$G$1473))</f>
        <v>0</v>
      </c>
      <c r="AF26" s="8">
        <f>SUMPRODUCT((raw!$B$2:$B$1473='2018-19_working'!$A26)*(raw!$E$2:$E$1473='2018-19_working'!$AC$6)*(raw!$F$2:$F$1473='2018-19_working'!AF$7)*(raw!$G$2:$G$1473))</f>
        <v>0</v>
      </c>
      <c r="AG26" s="8">
        <f>SUMPRODUCT((raw!$B$2:$B$1473='2018-19_working'!$A26)*(raw!$E$2:$E$1473='2018-19_working'!$AC$6)*(raw!$F$2:$F$1473='2018-19_working'!AG$7)*(raw!$G$2:$G$1473))</f>
        <v>0</v>
      </c>
      <c r="AH26" s="8">
        <f>SUMPRODUCT((raw!$B$2:$B$1473='2018-19_working'!$A26)*(raw!$E$2:$E$1473='2018-19_working'!$AC$6)*(raw!$F$2:$F$1473='2018-19_working'!AH$7)*(raw!$G$2:$G$1473))</f>
        <v>0</v>
      </c>
      <c r="AI26" s="8">
        <f>SUMPRODUCT((raw!$B$2:$B$1473='2018-19_working'!$A26)*(raw!$E$2:$E$1473='2018-19_working'!$AC$6)*(raw!$F$2:$F$1473='2018-19_working'!AI$7)*(raw!$G$2:$G$1473))</f>
        <v>0</v>
      </c>
      <c r="AJ26" s="8">
        <f>SUMPRODUCT((raw!$B$2:$B$1473='2018-19_working'!$A26)*(raw!$E$2:$E$1473='2018-19_working'!$AC$6)*(raw!$F$2:$F$1473='2018-19_working'!AJ$7)*(raw!$G$2:$G$1473))</f>
        <v>2</v>
      </c>
    </row>
    <row r="27" spans="1:36" x14ac:dyDescent="0.35">
      <c r="A27" s="8" t="s">
        <v>34</v>
      </c>
      <c r="B27" s="8">
        <f>SUMPRODUCT((raw!$B$2:$B$1473='2018-19_working'!$A27)*(raw!$E$2:$E$1473='2018-19_working'!$B$6:$I$6)*(raw!$F$2:$F$1473='2018-19_working'!B$7)*(raw!$G$2:$G$1473))</f>
        <v>23</v>
      </c>
      <c r="C27" s="8">
        <f>SUMPRODUCT((raw!$B$2:$B$1473='2018-19_working'!$A27)*(raw!$E$2:$E$1473='2018-19_working'!$B$6:$I$6)*(raw!$F$2:$F$1473='2018-19_working'!C$7)*(raw!$G$2:$G$1473))</f>
        <v>0</v>
      </c>
      <c r="D27" s="8">
        <f>SUMPRODUCT((raw!$B$2:$B$1473='2018-19_working'!$A27)*(raw!$E$2:$E$1473='2018-19_working'!$B$6:$I$6)*(raw!$F$2:$F$1473='2018-19_working'!D$7)*(raw!$G$2:$G$1473))</f>
        <v>1</v>
      </c>
      <c r="E27" s="8">
        <f>SUMPRODUCT((raw!$B$2:$B$1473='2018-19_working'!$A27)*(raw!$E$2:$E$1473='2018-19_working'!$B$6:$I$6)*(raw!$F$2:$F$1473='2018-19_working'!E$7)*(raw!$G$2:$G$1473))</f>
        <v>0</v>
      </c>
      <c r="F27" s="8">
        <f>SUMPRODUCT((raw!$B$2:$B$1473='2018-19_working'!$A27)*(raw!$E$2:$E$1473='2018-19_working'!$B$6:$I$6)*(raw!$F$2:$F$1473='2018-19_working'!F$7)*(raw!$G$2:$G$1473))</f>
        <v>0</v>
      </c>
      <c r="G27" s="8">
        <f>SUMPRODUCT((raw!$B$2:$B$1473='2018-19_working'!$A27)*(raw!$E$2:$E$1473='2018-19_working'!$B$6:$I$6)*(raw!$F$2:$F$1473='2018-19_working'!G$7)*(raw!$G$2:$G$1473))</f>
        <v>0</v>
      </c>
      <c r="H27" s="8">
        <f>SUMPRODUCT((raw!$B$2:$B$1473='2018-19_working'!$A27)*(raw!$E$2:$E$1473='2018-19_working'!$B$6:$I$6)*(raw!$F$2:$F$1473='2018-19_working'!H$7)*(raw!$G$2:$G$1473))</f>
        <v>0</v>
      </c>
      <c r="I27" s="8">
        <f>SUMPRODUCT((raw!$B$2:$B$1473='2018-19_working'!$A27)*(raw!$E$2:$E$1473='2018-19_working'!$B$6:$I$6)*(raw!$F$2:$F$1473='2018-19_working'!I$7)*(raw!$G$2:$G$1473))</f>
        <v>1</v>
      </c>
      <c r="K27" s="8">
        <f>SUMPRODUCT((raw!$B$2:$B$1473='2018-19_working'!$A27)*(raw!$E$2:$E$1473='2018-19_working'!$K$6)*(raw!$F$2:$F$1473='2018-19_working'!K$7)*(raw!$G$2:$G$1473))</f>
        <v>52</v>
      </c>
      <c r="L27" s="8">
        <f>SUMPRODUCT((raw!$B$2:$B$1473='2018-19_working'!$A27)*(raw!$E$2:$E$1473='2018-19_working'!$K$6)*(raw!$F$2:$F$1473='2018-19_working'!L$7)*(raw!$G$2:$G$1473))</f>
        <v>2</v>
      </c>
      <c r="M27" s="8">
        <f>SUMPRODUCT((raw!$B$2:$B$1473='2018-19_working'!$A27)*(raw!$E$2:$E$1473='2018-19_working'!$K$6)*(raw!$F$2:$F$1473='2018-19_working'!M$7)*(raw!$G$2:$G$1473))</f>
        <v>0</v>
      </c>
      <c r="N27" s="8">
        <f>SUMPRODUCT((raw!$B$2:$B$1473='2018-19_working'!$A27)*(raw!$E$2:$E$1473='2018-19_working'!$K$6)*(raw!$F$2:$F$1473='2018-19_working'!N$7)*(raw!$G$2:$G$1473))</f>
        <v>0</v>
      </c>
      <c r="O27" s="8">
        <f>SUMPRODUCT((raw!$B$2:$B$1473='2018-19_working'!$A27)*(raw!$E$2:$E$1473='2018-19_working'!$K$6)*(raw!$F$2:$F$1473='2018-19_working'!O$7)*(raw!$G$2:$G$1473))</f>
        <v>0</v>
      </c>
      <c r="P27" s="8">
        <f>SUMPRODUCT((raw!$B$2:$B$1473='2018-19_working'!$A27)*(raw!$E$2:$E$1473='2018-19_working'!$K$6)*(raw!$F$2:$F$1473='2018-19_working'!P$7)*(raw!$G$2:$G$1473))</f>
        <v>0</v>
      </c>
      <c r="Q27" s="8">
        <f>SUMPRODUCT((raw!$B$2:$B$1473='2018-19_working'!$A27)*(raw!$E$2:$E$1473='2018-19_working'!$K$6)*(raw!$F$2:$F$1473='2018-19_working'!Q$7)*(raw!$G$2:$G$1473))</f>
        <v>0</v>
      </c>
      <c r="R27" s="8">
        <f>SUMPRODUCT((raw!$B$2:$B$1473='2018-19_working'!$A27)*(raw!$E$2:$E$1473='2018-19_working'!$K$6)*(raw!$F$2:$F$1473='2018-19_working'!R$7)*(raw!$G$2:$G$1473))</f>
        <v>9</v>
      </c>
      <c r="T27" s="8">
        <f>SUMPRODUCT((raw!$B$2:$B$1473='2018-19_working'!$A27)*(raw!$E$2:$E$1473='2018-19_working'!$T$6)*(raw!$F$2:$F$1473='2018-19_working'!T$7)*(raw!$G$2:$G$1473))</f>
        <v>2</v>
      </c>
      <c r="U27" s="8">
        <f>SUMPRODUCT((raw!$B$2:$B$1473='2018-19_working'!$A27)*(raw!$E$2:$E$1473='2018-19_working'!$T$6)*(raw!$F$2:$F$1473='2018-19_working'!U$7)*(raw!$G$2:$G$1473))</f>
        <v>0</v>
      </c>
      <c r="V27" s="8">
        <f>SUMPRODUCT((raw!$B$2:$B$1473='2018-19_working'!$A27)*(raw!$E$2:$E$1473='2018-19_working'!$T$6)*(raw!$F$2:$F$1473='2018-19_working'!V$7)*(raw!$G$2:$G$1473))</f>
        <v>0</v>
      </c>
      <c r="W27" s="8">
        <f>SUMPRODUCT((raw!$B$2:$B$1473='2018-19_working'!$A27)*(raw!$E$2:$E$1473='2018-19_working'!$T$6)*(raw!$F$2:$F$1473='2018-19_working'!W$7)*(raw!$G$2:$G$1473))</f>
        <v>0</v>
      </c>
      <c r="X27" s="8">
        <f>SUMPRODUCT((raw!$B$2:$B$1473='2018-19_working'!$A27)*(raw!$E$2:$E$1473='2018-19_working'!$T$6)*(raw!$F$2:$F$1473='2018-19_working'!X$7)*(raw!$G$2:$G$1473))</f>
        <v>0</v>
      </c>
      <c r="Y27" s="8">
        <f>SUMPRODUCT((raw!$B$2:$B$1473='2018-19_working'!$A27)*(raw!$E$2:$E$1473='2018-19_working'!$T$6)*(raw!$F$2:$F$1473='2018-19_working'!Y$7)*(raw!$G$2:$G$1473))</f>
        <v>0</v>
      </c>
      <c r="Z27" s="8">
        <f>SUMPRODUCT((raw!$B$2:$B$1473='2018-19_working'!$A27)*(raw!$E$2:$E$1473='2018-19_working'!$T$6)*(raw!$F$2:$F$1473='2018-19_working'!Z$7)*(raw!$G$2:$G$1473))</f>
        <v>0</v>
      </c>
      <c r="AA27" s="8">
        <f>SUMPRODUCT((raw!$B$2:$B$1473='2018-19_working'!$A27)*(raw!$E$2:$E$1473='2018-19_working'!$T$6)*(raw!$F$2:$F$1473='2018-19_working'!AA$7)*(raw!$G$2:$G$1473))</f>
        <v>0</v>
      </c>
      <c r="AC27" s="8">
        <f>SUMPRODUCT((raw!$B$2:$B$1473='2018-19_working'!$A27)*(raw!$E$2:$E$1473='2018-19_working'!$AC$6)*(raw!$F$2:$F$1473='2018-19_working'!AC$7)*(raw!$G$2:$G$1473))</f>
        <v>19</v>
      </c>
      <c r="AD27" s="8">
        <f>SUMPRODUCT((raw!$B$2:$B$1473='2018-19_working'!$A27)*(raw!$E$2:$E$1473='2018-19_working'!$AC$6)*(raw!$F$2:$F$1473='2018-19_working'!AD$7)*(raw!$G$2:$G$1473))</f>
        <v>2</v>
      </c>
      <c r="AE27" s="8">
        <f>SUMPRODUCT((raw!$B$2:$B$1473='2018-19_working'!$A27)*(raw!$E$2:$E$1473='2018-19_working'!$AC$6)*(raw!$F$2:$F$1473='2018-19_working'!AE$7)*(raw!$G$2:$G$1473))</f>
        <v>0</v>
      </c>
      <c r="AF27" s="8">
        <f>SUMPRODUCT((raw!$B$2:$B$1473='2018-19_working'!$A27)*(raw!$E$2:$E$1473='2018-19_working'!$AC$6)*(raw!$F$2:$F$1473='2018-19_working'!AF$7)*(raw!$G$2:$G$1473))</f>
        <v>0</v>
      </c>
      <c r="AG27" s="8">
        <f>SUMPRODUCT((raw!$B$2:$B$1473='2018-19_working'!$A27)*(raw!$E$2:$E$1473='2018-19_working'!$AC$6)*(raw!$F$2:$F$1473='2018-19_working'!AG$7)*(raw!$G$2:$G$1473))</f>
        <v>1</v>
      </c>
      <c r="AH27" s="8">
        <f>SUMPRODUCT((raw!$B$2:$B$1473='2018-19_working'!$A27)*(raw!$E$2:$E$1473='2018-19_working'!$AC$6)*(raw!$F$2:$F$1473='2018-19_working'!AH$7)*(raw!$G$2:$G$1473))</f>
        <v>0</v>
      </c>
      <c r="AI27" s="8">
        <f>SUMPRODUCT((raw!$B$2:$B$1473='2018-19_working'!$A27)*(raw!$E$2:$E$1473='2018-19_working'!$AC$6)*(raw!$F$2:$F$1473='2018-19_working'!AI$7)*(raw!$G$2:$G$1473))</f>
        <v>0</v>
      </c>
      <c r="AJ27" s="8">
        <f>SUMPRODUCT((raw!$B$2:$B$1473='2018-19_working'!$A27)*(raw!$E$2:$E$1473='2018-19_working'!$AC$6)*(raw!$F$2:$F$1473='2018-19_working'!AJ$7)*(raw!$G$2:$G$1473))</f>
        <v>3</v>
      </c>
    </row>
    <row r="28" spans="1:36" x14ac:dyDescent="0.35">
      <c r="A28" s="8" t="s">
        <v>35</v>
      </c>
      <c r="B28" s="8">
        <f>SUMPRODUCT((raw!$B$2:$B$1473='2018-19_working'!$A28)*(raw!$E$2:$E$1473='2018-19_working'!$B$6:$I$6)*(raw!$F$2:$F$1473='2018-19_working'!B$7)*(raw!$G$2:$G$1473))</f>
        <v>24</v>
      </c>
      <c r="C28" s="8">
        <f>SUMPRODUCT((raw!$B$2:$B$1473='2018-19_working'!$A28)*(raw!$E$2:$E$1473='2018-19_working'!$B$6:$I$6)*(raw!$F$2:$F$1473='2018-19_working'!C$7)*(raw!$G$2:$G$1473))</f>
        <v>0</v>
      </c>
      <c r="D28" s="8">
        <f>SUMPRODUCT((raw!$B$2:$B$1473='2018-19_working'!$A28)*(raw!$E$2:$E$1473='2018-19_working'!$B$6:$I$6)*(raw!$F$2:$F$1473='2018-19_working'!D$7)*(raw!$G$2:$G$1473))</f>
        <v>2</v>
      </c>
      <c r="E28" s="8">
        <f>SUMPRODUCT((raw!$B$2:$B$1473='2018-19_working'!$A28)*(raw!$E$2:$E$1473='2018-19_working'!$B$6:$I$6)*(raw!$F$2:$F$1473='2018-19_working'!E$7)*(raw!$G$2:$G$1473))</f>
        <v>0</v>
      </c>
      <c r="F28" s="8">
        <f>SUMPRODUCT((raw!$B$2:$B$1473='2018-19_working'!$A28)*(raw!$E$2:$E$1473='2018-19_working'!$B$6:$I$6)*(raw!$F$2:$F$1473='2018-19_working'!F$7)*(raw!$G$2:$G$1473))</f>
        <v>0</v>
      </c>
      <c r="G28" s="8">
        <f>SUMPRODUCT((raw!$B$2:$B$1473='2018-19_working'!$A28)*(raw!$E$2:$E$1473='2018-19_working'!$B$6:$I$6)*(raw!$F$2:$F$1473='2018-19_working'!G$7)*(raw!$G$2:$G$1473))</f>
        <v>0</v>
      </c>
      <c r="H28" s="8">
        <f>SUMPRODUCT((raw!$B$2:$B$1473='2018-19_working'!$A28)*(raw!$E$2:$E$1473='2018-19_working'!$B$6:$I$6)*(raw!$F$2:$F$1473='2018-19_working'!H$7)*(raw!$G$2:$G$1473))</f>
        <v>0</v>
      </c>
      <c r="I28" s="8">
        <f>SUMPRODUCT((raw!$B$2:$B$1473='2018-19_working'!$A28)*(raw!$E$2:$E$1473='2018-19_working'!$B$6:$I$6)*(raw!$F$2:$F$1473='2018-19_working'!I$7)*(raw!$G$2:$G$1473))</f>
        <v>0</v>
      </c>
      <c r="K28" s="8">
        <f>SUMPRODUCT((raw!$B$2:$B$1473='2018-19_working'!$A28)*(raw!$E$2:$E$1473='2018-19_working'!$K$6)*(raw!$F$2:$F$1473='2018-19_working'!K$7)*(raw!$G$2:$G$1473))</f>
        <v>21</v>
      </c>
      <c r="L28" s="8">
        <f>SUMPRODUCT((raw!$B$2:$B$1473='2018-19_working'!$A28)*(raw!$E$2:$E$1473='2018-19_working'!$K$6)*(raw!$F$2:$F$1473='2018-19_working'!L$7)*(raw!$G$2:$G$1473))</f>
        <v>0</v>
      </c>
      <c r="M28" s="8">
        <f>SUMPRODUCT((raw!$B$2:$B$1473='2018-19_working'!$A28)*(raw!$E$2:$E$1473='2018-19_working'!$K$6)*(raw!$F$2:$F$1473='2018-19_working'!M$7)*(raw!$G$2:$G$1473))</f>
        <v>0</v>
      </c>
      <c r="N28" s="8">
        <f>SUMPRODUCT((raw!$B$2:$B$1473='2018-19_working'!$A28)*(raw!$E$2:$E$1473='2018-19_working'!$K$6)*(raw!$F$2:$F$1473='2018-19_working'!N$7)*(raw!$G$2:$G$1473))</f>
        <v>0</v>
      </c>
      <c r="O28" s="8">
        <f>SUMPRODUCT((raw!$B$2:$B$1473='2018-19_working'!$A28)*(raw!$E$2:$E$1473='2018-19_working'!$K$6)*(raw!$F$2:$F$1473='2018-19_working'!O$7)*(raw!$G$2:$G$1473))</f>
        <v>0</v>
      </c>
      <c r="P28" s="8">
        <f>SUMPRODUCT((raw!$B$2:$B$1473='2018-19_working'!$A28)*(raw!$E$2:$E$1473='2018-19_working'!$K$6)*(raw!$F$2:$F$1473='2018-19_working'!P$7)*(raw!$G$2:$G$1473))</f>
        <v>0</v>
      </c>
      <c r="Q28" s="8">
        <f>SUMPRODUCT((raw!$B$2:$B$1473='2018-19_working'!$A28)*(raw!$E$2:$E$1473='2018-19_working'!$K$6)*(raw!$F$2:$F$1473='2018-19_working'!Q$7)*(raw!$G$2:$G$1473))</f>
        <v>0</v>
      </c>
      <c r="R28" s="8">
        <f>SUMPRODUCT((raw!$B$2:$B$1473='2018-19_working'!$A28)*(raw!$E$2:$E$1473='2018-19_working'!$K$6)*(raw!$F$2:$F$1473='2018-19_working'!R$7)*(raw!$G$2:$G$1473))</f>
        <v>1</v>
      </c>
      <c r="T28" s="8">
        <f>SUMPRODUCT((raw!$B$2:$B$1473='2018-19_working'!$A28)*(raw!$E$2:$E$1473='2018-19_working'!$T$6)*(raw!$F$2:$F$1473='2018-19_working'!T$7)*(raw!$G$2:$G$1473))</f>
        <v>0</v>
      </c>
      <c r="U28" s="8">
        <f>SUMPRODUCT((raw!$B$2:$B$1473='2018-19_working'!$A28)*(raw!$E$2:$E$1473='2018-19_working'!$T$6)*(raw!$F$2:$F$1473='2018-19_working'!U$7)*(raw!$G$2:$G$1473))</f>
        <v>0</v>
      </c>
      <c r="V28" s="8">
        <f>SUMPRODUCT((raw!$B$2:$B$1473='2018-19_working'!$A28)*(raw!$E$2:$E$1473='2018-19_working'!$T$6)*(raw!$F$2:$F$1473='2018-19_working'!V$7)*(raw!$G$2:$G$1473))</f>
        <v>0</v>
      </c>
      <c r="W28" s="8">
        <f>SUMPRODUCT((raw!$B$2:$B$1473='2018-19_working'!$A28)*(raw!$E$2:$E$1473='2018-19_working'!$T$6)*(raw!$F$2:$F$1473='2018-19_working'!W$7)*(raw!$G$2:$G$1473))</f>
        <v>0</v>
      </c>
      <c r="X28" s="8">
        <f>SUMPRODUCT((raw!$B$2:$B$1473='2018-19_working'!$A28)*(raw!$E$2:$E$1473='2018-19_working'!$T$6)*(raw!$F$2:$F$1473='2018-19_working'!X$7)*(raw!$G$2:$G$1473))</f>
        <v>0</v>
      </c>
      <c r="Y28" s="8">
        <f>SUMPRODUCT((raw!$B$2:$B$1473='2018-19_working'!$A28)*(raw!$E$2:$E$1473='2018-19_working'!$T$6)*(raw!$F$2:$F$1473='2018-19_working'!Y$7)*(raw!$G$2:$G$1473))</f>
        <v>0</v>
      </c>
      <c r="Z28" s="8">
        <f>SUMPRODUCT((raw!$B$2:$B$1473='2018-19_working'!$A28)*(raw!$E$2:$E$1473='2018-19_working'!$T$6)*(raw!$F$2:$F$1473='2018-19_working'!Z$7)*(raw!$G$2:$G$1473))</f>
        <v>0</v>
      </c>
      <c r="AA28" s="8">
        <f>SUMPRODUCT((raw!$B$2:$B$1473='2018-19_working'!$A28)*(raw!$E$2:$E$1473='2018-19_working'!$T$6)*(raw!$F$2:$F$1473='2018-19_working'!AA$7)*(raw!$G$2:$G$1473))</f>
        <v>0</v>
      </c>
      <c r="AC28" s="8">
        <f>SUMPRODUCT((raw!$B$2:$B$1473='2018-19_working'!$A28)*(raw!$E$2:$E$1473='2018-19_working'!$AC$6)*(raw!$F$2:$F$1473='2018-19_working'!AC$7)*(raw!$G$2:$G$1473))</f>
        <v>10</v>
      </c>
      <c r="AD28" s="8">
        <f>SUMPRODUCT((raw!$B$2:$B$1473='2018-19_working'!$A28)*(raw!$E$2:$E$1473='2018-19_working'!$AC$6)*(raw!$F$2:$F$1473='2018-19_working'!AD$7)*(raw!$G$2:$G$1473))</f>
        <v>0</v>
      </c>
      <c r="AE28" s="8">
        <f>SUMPRODUCT((raw!$B$2:$B$1473='2018-19_working'!$A28)*(raw!$E$2:$E$1473='2018-19_working'!$AC$6)*(raw!$F$2:$F$1473='2018-19_working'!AE$7)*(raw!$G$2:$G$1473))</f>
        <v>1</v>
      </c>
      <c r="AF28" s="8">
        <f>SUMPRODUCT((raw!$B$2:$B$1473='2018-19_working'!$A28)*(raw!$E$2:$E$1473='2018-19_working'!$AC$6)*(raw!$F$2:$F$1473='2018-19_working'!AF$7)*(raw!$G$2:$G$1473))</f>
        <v>0</v>
      </c>
      <c r="AG28" s="8">
        <f>SUMPRODUCT((raw!$B$2:$B$1473='2018-19_working'!$A28)*(raw!$E$2:$E$1473='2018-19_working'!$AC$6)*(raw!$F$2:$F$1473='2018-19_working'!AG$7)*(raw!$G$2:$G$1473))</f>
        <v>1</v>
      </c>
      <c r="AH28" s="8">
        <f>SUMPRODUCT((raw!$B$2:$B$1473='2018-19_working'!$A28)*(raw!$E$2:$E$1473='2018-19_working'!$AC$6)*(raw!$F$2:$F$1473='2018-19_working'!AH$7)*(raw!$G$2:$G$1473))</f>
        <v>0</v>
      </c>
      <c r="AI28" s="8">
        <f>SUMPRODUCT((raw!$B$2:$B$1473='2018-19_working'!$A28)*(raw!$E$2:$E$1473='2018-19_working'!$AC$6)*(raw!$F$2:$F$1473='2018-19_working'!AI$7)*(raw!$G$2:$G$1473))</f>
        <v>0</v>
      </c>
      <c r="AJ28" s="8">
        <f>SUMPRODUCT((raw!$B$2:$B$1473='2018-19_working'!$A28)*(raw!$E$2:$E$1473='2018-19_working'!$AC$6)*(raw!$F$2:$F$1473='2018-19_working'!AJ$7)*(raw!$G$2:$G$1473))</f>
        <v>0</v>
      </c>
    </row>
    <row r="29" spans="1:36" x14ac:dyDescent="0.35">
      <c r="A29" s="8" t="s">
        <v>36</v>
      </c>
      <c r="B29" s="8">
        <f>SUMPRODUCT((raw!$B$2:$B$1473='2018-19_working'!$A29)*(raw!$E$2:$E$1473='2018-19_working'!$B$6:$I$6)*(raw!$F$2:$F$1473='2018-19_working'!B$7)*(raw!$G$2:$G$1473))</f>
        <v>21</v>
      </c>
      <c r="C29" s="8">
        <f>SUMPRODUCT((raw!$B$2:$B$1473='2018-19_working'!$A29)*(raw!$E$2:$E$1473='2018-19_working'!$B$6:$I$6)*(raw!$F$2:$F$1473='2018-19_working'!C$7)*(raw!$G$2:$G$1473))</f>
        <v>0</v>
      </c>
      <c r="D29" s="8">
        <f>SUMPRODUCT((raw!$B$2:$B$1473='2018-19_working'!$A29)*(raw!$E$2:$E$1473='2018-19_working'!$B$6:$I$6)*(raw!$F$2:$F$1473='2018-19_working'!D$7)*(raw!$G$2:$G$1473))</f>
        <v>0</v>
      </c>
      <c r="E29" s="8">
        <f>SUMPRODUCT((raw!$B$2:$B$1473='2018-19_working'!$A29)*(raw!$E$2:$E$1473='2018-19_working'!$B$6:$I$6)*(raw!$F$2:$F$1473='2018-19_working'!E$7)*(raw!$G$2:$G$1473))</f>
        <v>0</v>
      </c>
      <c r="F29" s="8">
        <f>SUMPRODUCT((raw!$B$2:$B$1473='2018-19_working'!$A29)*(raw!$E$2:$E$1473='2018-19_working'!$B$6:$I$6)*(raw!$F$2:$F$1473='2018-19_working'!F$7)*(raw!$G$2:$G$1473))</f>
        <v>0</v>
      </c>
      <c r="G29" s="8">
        <f>SUMPRODUCT((raw!$B$2:$B$1473='2018-19_working'!$A29)*(raw!$E$2:$E$1473='2018-19_working'!$B$6:$I$6)*(raw!$F$2:$F$1473='2018-19_working'!G$7)*(raw!$G$2:$G$1473))</f>
        <v>0</v>
      </c>
      <c r="H29" s="8">
        <f>SUMPRODUCT((raw!$B$2:$B$1473='2018-19_working'!$A29)*(raw!$E$2:$E$1473='2018-19_working'!$B$6:$I$6)*(raw!$F$2:$F$1473='2018-19_working'!H$7)*(raw!$G$2:$G$1473))</f>
        <v>1</v>
      </c>
      <c r="I29" s="8">
        <f>SUMPRODUCT((raw!$B$2:$B$1473='2018-19_working'!$A29)*(raw!$E$2:$E$1473='2018-19_working'!$B$6:$I$6)*(raw!$F$2:$F$1473='2018-19_working'!I$7)*(raw!$G$2:$G$1473))</f>
        <v>0</v>
      </c>
      <c r="K29" s="8">
        <f>SUMPRODUCT((raw!$B$2:$B$1473='2018-19_working'!$A29)*(raw!$E$2:$E$1473='2018-19_working'!$K$6)*(raw!$F$2:$F$1473='2018-19_working'!K$7)*(raw!$G$2:$G$1473))</f>
        <v>29</v>
      </c>
      <c r="L29" s="8">
        <f>SUMPRODUCT((raw!$B$2:$B$1473='2018-19_working'!$A29)*(raw!$E$2:$E$1473='2018-19_working'!$K$6)*(raw!$F$2:$F$1473='2018-19_working'!L$7)*(raw!$G$2:$G$1473))</f>
        <v>2</v>
      </c>
      <c r="M29" s="8">
        <f>SUMPRODUCT((raw!$B$2:$B$1473='2018-19_working'!$A29)*(raw!$E$2:$E$1473='2018-19_working'!$K$6)*(raw!$F$2:$F$1473='2018-19_working'!M$7)*(raw!$G$2:$G$1473))</f>
        <v>0</v>
      </c>
      <c r="N29" s="8">
        <f>SUMPRODUCT((raw!$B$2:$B$1473='2018-19_working'!$A29)*(raw!$E$2:$E$1473='2018-19_working'!$K$6)*(raw!$F$2:$F$1473='2018-19_working'!N$7)*(raw!$G$2:$G$1473))</f>
        <v>0</v>
      </c>
      <c r="O29" s="8">
        <f>SUMPRODUCT((raw!$B$2:$B$1473='2018-19_working'!$A29)*(raw!$E$2:$E$1473='2018-19_working'!$K$6)*(raw!$F$2:$F$1473='2018-19_working'!O$7)*(raw!$G$2:$G$1473))</f>
        <v>0</v>
      </c>
      <c r="P29" s="8">
        <f>SUMPRODUCT((raw!$B$2:$B$1473='2018-19_working'!$A29)*(raw!$E$2:$E$1473='2018-19_working'!$K$6)*(raw!$F$2:$F$1473='2018-19_working'!P$7)*(raw!$G$2:$G$1473))</f>
        <v>0</v>
      </c>
      <c r="Q29" s="8">
        <f>SUMPRODUCT((raw!$B$2:$B$1473='2018-19_working'!$A29)*(raw!$E$2:$E$1473='2018-19_working'!$K$6)*(raw!$F$2:$F$1473='2018-19_working'!Q$7)*(raw!$G$2:$G$1473))</f>
        <v>0</v>
      </c>
      <c r="R29" s="8">
        <f>SUMPRODUCT((raw!$B$2:$B$1473='2018-19_working'!$A29)*(raw!$E$2:$E$1473='2018-19_working'!$K$6)*(raw!$F$2:$F$1473='2018-19_working'!R$7)*(raw!$G$2:$G$1473))</f>
        <v>0</v>
      </c>
      <c r="T29" s="8">
        <f>SUMPRODUCT((raw!$B$2:$B$1473='2018-19_working'!$A29)*(raw!$E$2:$E$1473='2018-19_working'!$T$6)*(raw!$F$2:$F$1473='2018-19_working'!T$7)*(raw!$G$2:$G$1473))</f>
        <v>4</v>
      </c>
      <c r="U29" s="8">
        <f>SUMPRODUCT((raw!$B$2:$B$1473='2018-19_working'!$A29)*(raw!$E$2:$E$1473='2018-19_working'!$T$6)*(raw!$F$2:$F$1473='2018-19_working'!U$7)*(raw!$G$2:$G$1473))</f>
        <v>0</v>
      </c>
      <c r="V29" s="8">
        <f>SUMPRODUCT((raw!$B$2:$B$1473='2018-19_working'!$A29)*(raw!$E$2:$E$1473='2018-19_working'!$T$6)*(raw!$F$2:$F$1473='2018-19_working'!V$7)*(raw!$G$2:$G$1473))</f>
        <v>0</v>
      </c>
      <c r="W29" s="8">
        <f>SUMPRODUCT((raw!$B$2:$B$1473='2018-19_working'!$A29)*(raw!$E$2:$E$1473='2018-19_working'!$T$6)*(raw!$F$2:$F$1473='2018-19_working'!W$7)*(raw!$G$2:$G$1473))</f>
        <v>0</v>
      </c>
      <c r="X29" s="8">
        <f>SUMPRODUCT((raw!$B$2:$B$1473='2018-19_working'!$A29)*(raw!$E$2:$E$1473='2018-19_working'!$T$6)*(raw!$F$2:$F$1473='2018-19_working'!X$7)*(raw!$G$2:$G$1473))</f>
        <v>0</v>
      </c>
      <c r="Y29" s="8">
        <f>SUMPRODUCT((raw!$B$2:$B$1473='2018-19_working'!$A29)*(raw!$E$2:$E$1473='2018-19_working'!$T$6)*(raw!$F$2:$F$1473='2018-19_working'!Y$7)*(raw!$G$2:$G$1473))</f>
        <v>0</v>
      </c>
      <c r="Z29" s="8">
        <f>SUMPRODUCT((raw!$B$2:$B$1473='2018-19_working'!$A29)*(raw!$E$2:$E$1473='2018-19_working'!$T$6)*(raw!$F$2:$F$1473='2018-19_working'!Z$7)*(raw!$G$2:$G$1473))</f>
        <v>0</v>
      </c>
      <c r="AA29" s="8">
        <f>SUMPRODUCT((raw!$B$2:$B$1473='2018-19_working'!$A29)*(raw!$E$2:$E$1473='2018-19_working'!$T$6)*(raw!$F$2:$F$1473='2018-19_working'!AA$7)*(raw!$G$2:$G$1473))</f>
        <v>0</v>
      </c>
      <c r="AC29" s="8">
        <f>SUMPRODUCT((raw!$B$2:$B$1473='2018-19_working'!$A29)*(raw!$E$2:$E$1473='2018-19_working'!$AC$6)*(raw!$F$2:$F$1473='2018-19_working'!AC$7)*(raw!$G$2:$G$1473))</f>
        <v>17</v>
      </c>
      <c r="AD29" s="8">
        <f>SUMPRODUCT((raw!$B$2:$B$1473='2018-19_working'!$A29)*(raw!$E$2:$E$1473='2018-19_working'!$AC$6)*(raw!$F$2:$F$1473='2018-19_working'!AD$7)*(raw!$G$2:$G$1473))</f>
        <v>0</v>
      </c>
      <c r="AE29" s="8">
        <f>SUMPRODUCT((raw!$B$2:$B$1473='2018-19_working'!$A29)*(raw!$E$2:$E$1473='2018-19_working'!$AC$6)*(raw!$F$2:$F$1473='2018-19_working'!AE$7)*(raw!$G$2:$G$1473))</f>
        <v>0</v>
      </c>
      <c r="AF29" s="8">
        <f>SUMPRODUCT((raw!$B$2:$B$1473='2018-19_working'!$A29)*(raw!$E$2:$E$1473='2018-19_working'!$AC$6)*(raw!$F$2:$F$1473='2018-19_working'!AF$7)*(raw!$G$2:$G$1473))</f>
        <v>1</v>
      </c>
      <c r="AG29" s="8">
        <f>SUMPRODUCT((raw!$B$2:$B$1473='2018-19_working'!$A29)*(raw!$E$2:$E$1473='2018-19_working'!$AC$6)*(raw!$F$2:$F$1473='2018-19_working'!AG$7)*(raw!$G$2:$G$1473))</f>
        <v>0</v>
      </c>
      <c r="AH29" s="8">
        <f>SUMPRODUCT((raw!$B$2:$B$1473='2018-19_working'!$A29)*(raw!$E$2:$E$1473='2018-19_working'!$AC$6)*(raw!$F$2:$F$1473='2018-19_working'!AH$7)*(raw!$G$2:$G$1473))</f>
        <v>0</v>
      </c>
      <c r="AI29" s="8">
        <f>SUMPRODUCT((raw!$B$2:$B$1473='2018-19_working'!$A29)*(raw!$E$2:$E$1473='2018-19_working'!$AC$6)*(raw!$F$2:$F$1473='2018-19_working'!AI$7)*(raw!$G$2:$G$1473))</f>
        <v>0</v>
      </c>
      <c r="AJ29" s="8">
        <f>SUMPRODUCT((raw!$B$2:$B$1473='2018-19_working'!$A29)*(raw!$E$2:$E$1473='2018-19_working'!$AC$6)*(raw!$F$2:$F$1473='2018-19_working'!AJ$7)*(raw!$G$2:$G$1473))</f>
        <v>0</v>
      </c>
    </row>
    <row r="30" spans="1:36" x14ac:dyDescent="0.35">
      <c r="A30" s="8" t="s">
        <v>37</v>
      </c>
      <c r="B30" s="8">
        <f>SUMPRODUCT((raw!$B$2:$B$1473='2018-19_working'!$A30)*(raw!$E$2:$E$1473='2018-19_working'!$B$6:$I$6)*(raw!$F$2:$F$1473='2018-19_working'!B$7)*(raw!$G$2:$G$1473))</f>
        <v>0</v>
      </c>
      <c r="C30" s="8">
        <f>SUMPRODUCT((raw!$B$2:$B$1473='2018-19_working'!$A30)*(raw!$E$2:$E$1473='2018-19_working'!$B$6:$I$6)*(raw!$F$2:$F$1473='2018-19_working'!C$7)*(raw!$G$2:$G$1473))</f>
        <v>0</v>
      </c>
      <c r="D30" s="8">
        <f>SUMPRODUCT((raw!$B$2:$B$1473='2018-19_working'!$A30)*(raw!$E$2:$E$1473='2018-19_working'!$B$6:$I$6)*(raw!$F$2:$F$1473='2018-19_working'!D$7)*(raw!$G$2:$G$1473))</f>
        <v>0</v>
      </c>
      <c r="E30" s="8">
        <f>SUMPRODUCT((raw!$B$2:$B$1473='2018-19_working'!$A30)*(raw!$E$2:$E$1473='2018-19_working'!$B$6:$I$6)*(raw!$F$2:$F$1473='2018-19_working'!E$7)*(raw!$G$2:$G$1473))</f>
        <v>0</v>
      </c>
      <c r="F30" s="8">
        <f>SUMPRODUCT((raw!$B$2:$B$1473='2018-19_working'!$A30)*(raw!$E$2:$E$1473='2018-19_working'!$B$6:$I$6)*(raw!$F$2:$F$1473='2018-19_working'!F$7)*(raw!$G$2:$G$1473))</f>
        <v>0</v>
      </c>
      <c r="G30" s="8">
        <f>SUMPRODUCT((raw!$B$2:$B$1473='2018-19_working'!$A30)*(raw!$E$2:$E$1473='2018-19_working'!$B$6:$I$6)*(raw!$F$2:$F$1473='2018-19_working'!G$7)*(raw!$G$2:$G$1473))</f>
        <v>0</v>
      </c>
      <c r="H30" s="8">
        <f>SUMPRODUCT((raw!$B$2:$B$1473='2018-19_working'!$A30)*(raw!$E$2:$E$1473='2018-19_working'!$B$6:$I$6)*(raw!$F$2:$F$1473='2018-19_working'!H$7)*(raw!$G$2:$G$1473))</f>
        <v>0</v>
      </c>
      <c r="I30" s="8">
        <f>SUMPRODUCT((raw!$B$2:$B$1473='2018-19_working'!$A30)*(raw!$E$2:$E$1473='2018-19_working'!$B$6:$I$6)*(raw!$F$2:$F$1473='2018-19_working'!I$7)*(raw!$G$2:$G$1473))</f>
        <v>0</v>
      </c>
      <c r="K30" s="8">
        <f>SUMPRODUCT((raw!$B$2:$B$1473='2018-19_working'!$A30)*(raw!$E$2:$E$1473='2018-19_working'!$K$6)*(raw!$F$2:$F$1473='2018-19_working'!K$7)*(raw!$G$2:$G$1473))</f>
        <v>9</v>
      </c>
      <c r="L30" s="8">
        <f>SUMPRODUCT((raw!$B$2:$B$1473='2018-19_working'!$A30)*(raw!$E$2:$E$1473='2018-19_working'!$K$6)*(raw!$F$2:$F$1473='2018-19_working'!L$7)*(raw!$G$2:$G$1473))</f>
        <v>0</v>
      </c>
      <c r="M30" s="8">
        <f>SUMPRODUCT((raw!$B$2:$B$1473='2018-19_working'!$A30)*(raw!$E$2:$E$1473='2018-19_working'!$K$6)*(raw!$F$2:$F$1473='2018-19_working'!M$7)*(raw!$G$2:$G$1473))</f>
        <v>0</v>
      </c>
      <c r="N30" s="8">
        <f>SUMPRODUCT((raw!$B$2:$B$1473='2018-19_working'!$A30)*(raw!$E$2:$E$1473='2018-19_working'!$K$6)*(raw!$F$2:$F$1473='2018-19_working'!N$7)*(raw!$G$2:$G$1473))</f>
        <v>0</v>
      </c>
      <c r="O30" s="8">
        <f>SUMPRODUCT((raw!$B$2:$B$1473='2018-19_working'!$A30)*(raw!$E$2:$E$1473='2018-19_working'!$K$6)*(raw!$F$2:$F$1473='2018-19_working'!O$7)*(raw!$G$2:$G$1473))</f>
        <v>0</v>
      </c>
      <c r="P30" s="8">
        <f>SUMPRODUCT((raw!$B$2:$B$1473='2018-19_working'!$A30)*(raw!$E$2:$E$1473='2018-19_working'!$K$6)*(raw!$F$2:$F$1473='2018-19_working'!P$7)*(raw!$G$2:$G$1473))</f>
        <v>0</v>
      </c>
      <c r="Q30" s="8">
        <f>SUMPRODUCT((raw!$B$2:$B$1473='2018-19_working'!$A30)*(raw!$E$2:$E$1473='2018-19_working'!$K$6)*(raw!$F$2:$F$1473='2018-19_working'!Q$7)*(raw!$G$2:$G$1473))</f>
        <v>0</v>
      </c>
      <c r="R30" s="8">
        <f>SUMPRODUCT((raw!$B$2:$B$1473='2018-19_working'!$A30)*(raw!$E$2:$E$1473='2018-19_working'!$K$6)*(raw!$F$2:$F$1473='2018-19_working'!R$7)*(raw!$G$2:$G$1473))</f>
        <v>0</v>
      </c>
      <c r="T30" s="8">
        <f>SUMPRODUCT((raw!$B$2:$B$1473='2018-19_working'!$A30)*(raw!$E$2:$E$1473='2018-19_working'!$T$6)*(raw!$F$2:$F$1473='2018-19_working'!T$7)*(raw!$G$2:$G$1473))</f>
        <v>0</v>
      </c>
      <c r="U30" s="8">
        <f>SUMPRODUCT((raw!$B$2:$B$1473='2018-19_working'!$A30)*(raw!$E$2:$E$1473='2018-19_working'!$T$6)*(raw!$F$2:$F$1473='2018-19_working'!U$7)*(raw!$G$2:$G$1473))</f>
        <v>0</v>
      </c>
      <c r="V30" s="8">
        <f>SUMPRODUCT((raw!$B$2:$B$1473='2018-19_working'!$A30)*(raw!$E$2:$E$1473='2018-19_working'!$T$6)*(raw!$F$2:$F$1473='2018-19_working'!V$7)*(raw!$G$2:$G$1473))</f>
        <v>0</v>
      </c>
      <c r="W30" s="8">
        <f>SUMPRODUCT((raw!$B$2:$B$1473='2018-19_working'!$A30)*(raw!$E$2:$E$1473='2018-19_working'!$T$6)*(raw!$F$2:$F$1473='2018-19_working'!W$7)*(raw!$G$2:$G$1473))</f>
        <v>0</v>
      </c>
      <c r="X30" s="8">
        <f>SUMPRODUCT((raw!$B$2:$B$1473='2018-19_working'!$A30)*(raw!$E$2:$E$1473='2018-19_working'!$T$6)*(raw!$F$2:$F$1473='2018-19_working'!X$7)*(raw!$G$2:$G$1473))</f>
        <v>0</v>
      </c>
      <c r="Y30" s="8">
        <f>SUMPRODUCT((raw!$B$2:$B$1473='2018-19_working'!$A30)*(raw!$E$2:$E$1473='2018-19_working'!$T$6)*(raw!$F$2:$F$1473='2018-19_working'!Y$7)*(raw!$G$2:$G$1473))</f>
        <v>0</v>
      </c>
      <c r="Z30" s="8">
        <f>SUMPRODUCT((raw!$B$2:$B$1473='2018-19_working'!$A30)*(raw!$E$2:$E$1473='2018-19_working'!$T$6)*(raw!$F$2:$F$1473='2018-19_working'!Z$7)*(raw!$G$2:$G$1473))</f>
        <v>0</v>
      </c>
      <c r="AA30" s="8">
        <f>SUMPRODUCT((raw!$B$2:$B$1473='2018-19_working'!$A30)*(raw!$E$2:$E$1473='2018-19_working'!$T$6)*(raw!$F$2:$F$1473='2018-19_working'!AA$7)*(raw!$G$2:$G$1473))</f>
        <v>0</v>
      </c>
      <c r="AC30" s="8">
        <f>SUMPRODUCT((raw!$B$2:$B$1473='2018-19_working'!$A30)*(raw!$E$2:$E$1473='2018-19_working'!$AC$6)*(raw!$F$2:$F$1473='2018-19_working'!AC$7)*(raw!$G$2:$G$1473))</f>
        <v>2</v>
      </c>
      <c r="AD30" s="8">
        <f>SUMPRODUCT((raw!$B$2:$B$1473='2018-19_working'!$A30)*(raw!$E$2:$E$1473='2018-19_working'!$AC$6)*(raw!$F$2:$F$1473='2018-19_working'!AD$7)*(raw!$G$2:$G$1473))</f>
        <v>0</v>
      </c>
      <c r="AE30" s="8">
        <f>SUMPRODUCT((raw!$B$2:$B$1473='2018-19_working'!$A30)*(raw!$E$2:$E$1473='2018-19_working'!$AC$6)*(raw!$F$2:$F$1473='2018-19_working'!AE$7)*(raw!$G$2:$G$1473))</f>
        <v>0</v>
      </c>
      <c r="AF30" s="8">
        <f>SUMPRODUCT((raw!$B$2:$B$1473='2018-19_working'!$A30)*(raw!$E$2:$E$1473='2018-19_working'!$AC$6)*(raw!$F$2:$F$1473='2018-19_working'!AF$7)*(raw!$G$2:$G$1473))</f>
        <v>0</v>
      </c>
      <c r="AG30" s="8">
        <f>SUMPRODUCT((raw!$B$2:$B$1473='2018-19_working'!$A30)*(raw!$E$2:$E$1473='2018-19_working'!$AC$6)*(raw!$F$2:$F$1473='2018-19_working'!AG$7)*(raw!$G$2:$G$1473))</f>
        <v>0</v>
      </c>
      <c r="AH30" s="8">
        <f>SUMPRODUCT((raw!$B$2:$B$1473='2018-19_working'!$A30)*(raw!$E$2:$E$1473='2018-19_working'!$AC$6)*(raw!$F$2:$F$1473='2018-19_working'!AH$7)*(raw!$G$2:$G$1473))</f>
        <v>0</v>
      </c>
      <c r="AI30" s="8">
        <f>SUMPRODUCT((raw!$B$2:$B$1473='2018-19_working'!$A30)*(raw!$E$2:$E$1473='2018-19_working'!$AC$6)*(raw!$F$2:$F$1473='2018-19_working'!AI$7)*(raw!$G$2:$G$1473))</f>
        <v>0</v>
      </c>
      <c r="AJ30" s="8">
        <f>SUMPRODUCT((raw!$B$2:$B$1473='2018-19_working'!$A30)*(raw!$E$2:$E$1473='2018-19_working'!$AC$6)*(raw!$F$2:$F$1473='2018-19_working'!AJ$7)*(raw!$G$2:$G$1473))</f>
        <v>0</v>
      </c>
    </row>
    <row r="31" spans="1:36" x14ac:dyDescent="0.35">
      <c r="A31" s="8" t="s">
        <v>38</v>
      </c>
      <c r="B31" s="8">
        <f>SUMPRODUCT((raw!$B$2:$B$1473='2018-19_working'!$A31)*(raw!$E$2:$E$1473='2018-19_working'!$B$6:$I$6)*(raw!$F$2:$F$1473='2018-19_working'!B$7)*(raw!$G$2:$G$1473))</f>
        <v>13</v>
      </c>
      <c r="C31" s="8">
        <f>SUMPRODUCT((raw!$B$2:$B$1473='2018-19_working'!$A31)*(raw!$E$2:$E$1473='2018-19_working'!$B$6:$I$6)*(raw!$F$2:$F$1473='2018-19_working'!C$7)*(raw!$G$2:$G$1473))</f>
        <v>0</v>
      </c>
      <c r="D31" s="8">
        <f>SUMPRODUCT((raw!$B$2:$B$1473='2018-19_working'!$A31)*(raw!$E$2:$E$1473='2018-19_working'!$B$6:$I$6)*(raw!$F$2:$F$1473='2018-19_working'!D$7)*(raw!$G$2:$G$1473))</f>
        <v>0</v>
      </c>
      <c r="E31" s="8">
        <f>SUMPRODUCT((raw!$B$2:$B$1473='2018-19_working'!$A31)*(raw!$E$2:$E$1473='2018-19_working'!$B$6:$I$6)*(raw!$F$2:$F$1473='2018-19_working'!E$7)*(raw!$G$2:$G$1473))</f>
        <v>0</v>
      </c>
      <c r="F31" s="8">
        <f>SUMPRODUCT((raw!$B$2:$B$1473='2018-19_working'!$A31)*(raw!$E$2:$E$1473='2018-19_working'!$B$6:$I$6)*(raw!$F$2:$F$1473='2018-19_working'!F$7)*(raw!$G$2:$G$1473))</f>
        <v>0</v>
      </c>
      <c r="G31" s="8">
        <f>SUMPRODUCT((raw!$B$2:$B$1473='2018-19_working'!$A31)*(raw!$E$2:$E$1473='2018-19_working'!$B$6:$I$6)*(raw!$F$2:$F$1473='2018-19_working'!G$7)*(raw!$G$2:$G$1473))</f>
        <v>0</v>
      </c>
      <c r="H31" s="8">
        <f>SUMPRODUCT((raw!$B$2:$B$1473='2018-19_working'!$A31)*(raw!$E$2:$E$1473='2018-19_working'!$B$6:$I$6)*(raw!$F$2:$F$1473='2018-19_working'!H$7)*(raw!$G$2:$G$1473))</f>
        <v>0</v>
      </c>
      <c r="I31" s="8">
        <f>SUMPRODUCT((raw!$B$2:$B$1473='2018-19_working'!$A31)*(raw!$E$2:$E$1473='2018-19_working'!$B$6:$I$6)*(raw!$F$2:$F$1473='2018-19_working'!I$7)*(raw!$G$2:$G$1473))</f>
        <v>20</v>
      </c>
      <c r="K31" s="8">
        <f>SUMPRODUCT((raw!$B$2:$B$1473='2018-19_working'!$A31)*(raw!$E$2:$E$1473='2018-19_working'!$K$6)*(raw!$F$2:$F$1473='2018-19_working'!K$7)*(raw!$G$2:$G$1473))</f>
        <v>15</v>
      </c>
      <c r="L31" s="8">
        <f>SUMPRODUCT((raw!$B$2:$B$1473='2018-19_working'!$A31)*(raw!$E$2:$E$1473='2018-19_working'!$K$6)*(raw!$F$2:$F$1473='2018-19_working'!L$7)*(raw!$G$2:$G$1473))</f>
        <v>0</v>
      </c>
      <c r="M31" s="8">
        <f>SUMPRODUCT((raw!$B$2:$B$1473='2018-19_working'!$A31)*(raw!$E$2:$E$1473='2018-19_working'!$K$6)*(raw!$F$2:$F$1473='2018-19_working'!M$7)*(raw!$G$2:$G$1473))</f>
        <v>0</v>
      </c>
      <c r="N31" s="8">
        <f>SUMPRODUCT((raw!$B$2:$B$1473='2018-19_working'!$A31)*(raw!$E$2:$E$1473='2018-19_working'!$K$6)*(raw!$F$2:$F$1473='2018-19_working'!N$7)*(raw!$G$2:$G$1473))</f>
        <v>0</v>
      </c>
      <c r="O31" s="8">
        <f>SUMPRODUCT((raw!$B$2:$B$1473='2018-19_working'!$A31)*(raw!$E$2:$E$1473='2018-19_working'!$K$6)*(raw!$F$2:$F$1473='2018-19_working'!O$7)*(raw!$G$2:$G$1473))</f>
        <v>0</v>
      </c>
      <c r="P31" s="8">
        <f>SUMPRODUCT((raw!$B$2:$B$1473='2018-19_working'!$A31)*(raw!$E$2:$E$1473='2018-19_working'!$K$6)*(raw!$F$2:$F$1473='2018-19_working'!P$7)*(raw!$G$2:$G$1473))</f>
        <v>0</v>
      </c>
      <c r="Q31" s="8">
        <f>SUMPRODUCT((raw!$B$2:$B$1473='2018-19_working'!$A31)*(raw!$E$2:$E$1473='2018-19_working'!$K$6)*(raw!$F$2:$F$1473='2018-19_working'!Q$7)*(raw!$G$2:$G$1473))</f>
        <v>0</v>
      </c>
      <c r="R31" s="8">
        <f>SUMPRODUCT((raw!$B$2:$B$1473='2018-19_working'!$A31)*(raw!$E$2:$E$1473='2018-19_working'!$K$6)*(raw!$F$2:$F$1473='2018-19_working'!R$7)*(raw!$G$2:$G$1473))</f>
        <v>87</v>
      </c>
      <c r="T31" s="8">
        <f>SUMPRODUCT((raw!$B$2:$B$1473='2018-19_working'!$A31)*(raw!$E$2:$E$1473='2018-19_working'!$T$6)*(raw!$F$2:$F$1473='2018-19_working'!T$7)*(raw!$G$2:$G$1473))</f>
        <v>0</v>
      </c>
      <c r="U31" s="8">
        <f>SUMPRODUCT((raw!$B$2:$B$1473='2018-19_working'!$A31)*(raw!$E$2:$E$1473='2018-19_working'!$T$6)*(raw!$F$2:$F$1473='2018-19_working'!U$7)*(raw!$G$2:$G$1473))</f>
        <v>0</v>
      </c>
      <c r="V31" s="8">
        <f>SUMPRODUCT((raw!$B$2:$B$1473='2018-19_working'!$A31)*(raw!$E$2:$E$1473='2018-19_working'!$T$6)*(raw!$F$2:$F$1473='2018-19_working'!V$7)*(raw!$G$2:$G$1473))</f>
        <v>0</v>
      </c>
      <c r="W31" s="8">
        <f>SUMPRODUCT((raw!$B$2:$B$1473='2018-19_working'!$A31)*(raw!$E$2:$E$1473='2018-19_working'!$T$6)*(raw!$F$2:$F$1473='2018-19_working'!W$7)*(raw!$G$2:$G$1473))</f>
        <v>0</v>
      </c>
      <c r="X31" s="8">
        <f>SUMPRODUCT((raw!$B$2:$B$1473='2018-19_working'!$A31)*(raw!$E$2:$E$1473='2018-19_working'!$T$6)*(raw!$F$2:$F$1473='2018-19_working'!X$7)*(raw!$G$2:$G$1473))</f>
        <v>0</v>
      </c>
      <c r="Y31" s="8">
        <f>SUMPRODUCT((raw!$B$2:$B$1473='2018-19_working'!$A31)*(raw!$E$2:$E$1473='2018-19_working'!$T$6)*(raw!$F$2:$F$1473='2018-19_working'!Y$7)*(raw!$G$2:$G$1473))</f>
        <v>0</v>
      </c>
      <c r="Z31" s="8">
        <f>SUMPRODUCT((raw!$B$2:$B$1473='2018-19_working'!$A31)*(raw!$E$2:$E$1473='2018-19_working'!$T$6)*(raw!$F$2:$F$1473='2018-19_working'!Z$7)*(raw!$G$2:$G$1473))</f>
        <v>0</v>
      </c>
      <c r="AA31" s="8">
        <f>SUMPRODUCT((raw!$B$2:$B$1473='2018-19_working'!$A31)*(raw!$E$2:$E$1473='2018-19_working'!$T$6)*(raw!$F$2:$F$1473='2018-19_working'!AA$7)*(raw!$G$2:$G$1473))</f>
        <v>1</v>
      </c>
      <c r="AC31" s="8">
        <f>SUMPRODUCT((raw!$B$2:$B$1473='2018-19_working'!$A31)*(raw!$E$2:$E$1473='2018-19_working'!$AC$6)*(raw!$F$2:$F$1473='2018-19_working'!AC$7)*(raw!$G$2:$G$1473))</f>
        <v>11</v>
      </c>
      <c r="AD31" s="8">
        <f>SUMPRODUCT((raw!$B$2:$B$1473='2018-19_working'!$A31)*(raw!$E$2:$E$1473='2018-19_working'!$AC$6)*(raw!$F$2:$F$1473='2018-19_working'!AD$7)*(raw!$G$2:$G$1473))</f>
        <v>0</v>
      </c>
      <c r="AE31" s="8">
        <f>SUMPRODUCT((raw!$B$2:$B$1473='2018-19_working'!$A31)*(raw!$E$2:$E$1473='2018-19_working'!$AC$6)*(raw!$F$2:$F$1473='2018-19_working'!AE$7)*(raw!$G$2:$G$1473))</f>
        <v>0</v>
      </c>
      <c r="AF31" s="8">
        <f>SUMPRODUCT((raw!$B$2:$B$1473='2018-19_working'!$A31)*(raw!$E$2:$E$1473='2018-19_working'!$AC$6)*(raw!$F$2:$F$1473='2018-19_working'!AF$7)*(raw!$G$2:$G$1473))</f>
        <v>0</v>
      </c>
      <c r="AG31" s="8">
        <f>SUMPRODUCT((raw!$B$2:$B$1473='2018-19_working'!$A31)*(raw!$E$2:$E$1473='2018-19_working'!$AC$6)*(raw!$F$2:$F$1473='2018-19_working'!AG$7)*(raw!$G$2:$G$1473))</f>
        <v>0</v>
      </c>
      <c r="AH31" s="8">
        <f>SUMPRODUCT((raw!$B$2:$B$1473='2018-19_working'!$A31)*(raw!$E$2:$E$1473='2018-19_working'!$AC$6)*(raw!$F$2:$F$1473='2018-19_working'!AH$7)*(raw!$G$2:$G$1473))</f>
        <v>0</v>
      </c>
      <c r="AI31" s="8">
        <f>SUMPRODUCT((raw!$B$2:$B$1473='2018-19_working'!$A31)*(raw!$E$2:$E$1473='2018-19_working'!$AC$6)*(raw!$F$2:$F$1473='2018-19_working'!AI$7)*(raw!$G$2:$G$1473))</f>
        <v>0</v>
      </c>
      <c r="AJ31" s="8">
        <f>SUMPRODUCT((raw!$B$2:$B$1473='2018-19_working'!$A31)*(raw!$E$2:$E$1473='2018-19_working'!$AC$6)*(raw!$F$2:$F$1473='2018-19_working'!AJ$7)*(raw!$G$2:$G$1473))</f>
        <v>29</v>
      </c>
    </row>
    <row r="32" spans="1:36" x14ac:dyDescent="0.35">
      <c r="A32" s="8" t="s">
        <v>39</v>
      </c>
      <c r="B32" s="8">
        <f>SUMPRODUCT((raw!$B$2:$B$1473='2018-19_working'!$A32)*(raw!$E$2:$E$1473='2018-19_working'!$B$6:$I$6)*(raw!$F$2:$F$1473='2018-19_working'!B$7)*(raw!$G$2:$G$1473))</f>
        <v>50</v>
      </c>
      <c r="C32" s="8">
        <f>SUMPRODUCT((raw!$B$2:$B$1473='2018-19_working'!$A32)*(raw!$E$2:$E$1473='2018-19_working'!$B$6:$I$6)*(raw!$F$2:$F$1473='2018-19_working'!C$7)*(raw!$G$2:$G$1473))</f>
        <v>1</v>
      </c>
      <c r="D32" s="8">
        <f>SUMPRODUCT((raw!$B$2:$B$1473='2018-19_working'!$A32)*(raw!$E$2:$E$1473='2018-19_working'!$B$6:$I$6)*(raw!$F$2:$F$1473='2018-19_working'!D$7)*(raw!$G$2:$G$1473))</f>
        <v>3</v>
      </c>
      <c r="E32" s="8">
        <f>SUMPRODUCT((raw!$B$2:$B$1473='2018-19_working'!$A32)*(raw!$E$2:$E$1473='2018-19_working'!$B$6:$I$6)*(raw!$F$2:$F$1473='2018-19_working'!E$7)*(raw!$G$2:$G$1473))</f>
        <v>1</v>
      </c>
      <c r="F32" s="8">
        <f>SUMPRODUCT((raw!$B$2:$B$1473='2018-19_working'!$A32)*(raw!$E$2:$E$1473='2018-19_working'!$B$6:$I$6)*(raw!$F$2:$F$1473='2018-19_working'!F$7)*(raw!$G$2:$G$1473))</f>
        <v>0</v>
      </c>
      <c r="G32" s="8">
        <f>SUMPRODUCT((raw!$B$2:$B$1473='2018-19_working'!$A32)*(raw!$E$2:$E$1473='2018-19_working'!$B$6:$I$6)*(raw!$F$2:$F$1473='2018-19_working'!G$7)*(raw!$G$2:$G$1473))</f>
        <v>0</v>
      </c>
      <c r="H32" s="8">
        <f>SUMPRODUCT((raw!$B$2:$B$1473='2018-19_working'!$A32)*(raw!$E$2:$E$1473='2018-19_working'!$B$6:$I$6)*(raw!$F$2:$F$1473='2018-19_working'!H$7)*(raw!$G$2:$G$1473))</f>
        <v>0</v>
      </c>
      <c r="I32" s="8">
        <f>SUMPRODUCT((raw!$B$2:$B$1473='2018-19_working'!$A32)*(raw!$E$2:$E$1473='2018-19_working'!$B$6:$I$6)*(raw!$F$2:$F$1473='2018-19_working'!I$7)*(raw!$G$2:$G$1473))</f>
        <v>0</v>
      </c>
      <c r="K32" s="8">
        <f>SUMPRODUCT((raw!$B$2:$B$1473='2018-19_working'!$A32)*(raw!$E$2:$E$1473='2018-19_working'!$K$6)*(raw!$F$2:$F$1473='2018-19_working'!K$7)*(raw!$G$2:$G$1473))</f>
        <v>63</v>
      </c>
      <c r="L32" s="8">
        <f>SUMPRODUCT((raw!$B$2:$B$1473='2018-19_working'!$A32)*(raw!$E$2:$E$1473='2018-19_working'!$K$6)*(raw!$F$2:$F$1473='2018-19_working'!L$7)*(raw!$G$2:$G$1473))</f>
        <v>0</v>
      </c>
      <c r="M32" s="8">
        <f>SUMPRODUCT((raw!$B$2:$B$1473='2018-19_working'!$A32)*(raw!$E$2:$E$1473='2018-19_working'!$K$6)*(raw!$F$2:$F$1473='2018-19_working'!M$7)*(raw!$G$2:$G$1473))</f>
        <v>0</v>
      </c>
      <c r="N32" s="8">
        <f>SUMPRODUCT((raw!$B$2:$B$1473='2018-19_working'!$A32)*(raw!$E$2:$E$1473='2018-19_working'!$K$6)*(raw!$F$2:$F$1473='2018-19_working'!N$7)*(raw!$G$2:$G$1473))</f>
        <v>1</v>
      </c>
      <c r="O32" s="8">
        <f>SUMPRODUCT((raw!$B$2:$B$1473='2018-19_working'!$A32)*(raw!$E$2:$E$1473='2018-19_working'!$K$6)*(raw!$F$2:$F$1473='2018-19_working'!O$7)*(raw!$G$2:$G$1473))</f>
        <v>0</v>
      </c>
      <c r="P32" s="8">
        <f>SUMPRODUCT((raw!$B$2:$B$1473='2018-19_working'!$A32)*(raw!$E$2:$E$1473='2018-19_working'!$K$6)*(raw!$F$2:$F$1473='2018-19_working'!P$7)*(raw!$G$2:$G$1473))</f>
        <v>0</v>
      </c>
      <c r="Q32" s="8">
        <f>SUMPRODUCT((raw!$B$2:$B$1473='2018-19_working'!$A32)*(raw!$E$2:$E$1473='2018-19_working'!$K$6)*(raw!$F$2:$F$1473='2018-19_working'!Q$7)*(raw!$G$2:$G$1473))</f>
        <v>1</v>
      </c>
      <c r="R32" s="8">
        <f>SUMPRODUCT((raw!$B$2:$B$1473='2018-19_working'!$A32)*(raw!$E$2:$E$1473='2018-19_working'!$K$6)*(raw!$F$2:$F$1473='2018-19_working'!R$7)*(raw!$G$2:$G$1473))</f>
        <v>7</v>
      </c>
      <c r="T32" s="8">
        <f>SUMPRODUCT((raw!$B$2:$B$1473='2018-19_working'!$A32)*(raw!$E$2:$E$1473='2018-19_working'!$T$6)*(raw!$F$2:$F$1473='2018-19_working'!T$7)*(raw!$G$2:$G$1473))</f>
        <v>0</v>
      </c>
      <c r="U32" s="8">
        <f>SUMPRODUCT((raw!$B$2:$B$1473='2018-19_working'!$A32)*(raw!$E$2:$E$1473='2018-19_working'!$T$6)*(raw!$F$2:$F$1473='2018-19_working'!U$7)*(raw!$G$2:$G$1473))</f>
        <v>0</v>
      </c>
      <c r="V32" s="8">
        <f>SUMPRODUCT((raw!$B$2:$B$1473='2018-19_working'!$A32)*(raw!$E$2:$E$1473='2018-19_working'!$T$6)*(raw!$F$2:$F$1473='2018-19_working'!V$7)*(raw!$G$2:$G$1473))</f>
        <v>0</v>
      </c>
      <c r="W32" s="8">
        <f>SUMPRODUCT((raw!$B$2:$B$1473='2018-19_working'!$A32)*(raw!$E$2:$E$1473='2018-19_working'!$T$6)*(raw!$F$2:$F$1473='2018-19_working'!W$7)*(raw!$G$2:$G$1473))</f>
        <v>0</v>
      </c>
      <c r="X32" s="8">
        <f>SUMPRODUCT((raw!$B$2:$B$1473='2018-19_working'!$A32)*(raw!$E$2:$E$1473='2018-19_working'!$T$6)*(raw!$F$2:$F$1473='2018-19_working'!X$7)*(raw!$G$2:$G$1473))</f>
        <v>0</v>
      </c>
      <c r="Y32" s="8">
        <f>SUMPRODUCT((raw!$B$2:$B$1473='2018-19_working'!$A32)*(raw!$E$2:$E$1473='2018-19_working'!$T$6)*(raw!$F$2:$F$1473='2018-19_working'!Y$7)*(raw!$G$2:$G$1473))</f>
        <v>0</v>
      </c>
      <c r="Z32" s="8">
        <f>SUMPRODUCT((raw!$B$2:$B$1473='2018-19_working'!$A32)*(raw!$E$2:$E$1473='2018-19_working'!$T$6)*(raw!$F$2:$F$1473='2018-19_working'!Z$7)*(raw!$G$2:$G$1473))</f>
        <v>0</v>
      </c>
      <c r="AA32" s="8">
        <f>SUMPRODUCT((raw!$B$2:$B$1473='2018-19_working'!$A32)*(raw!$E$2:$E$1473='2018-19_working'!$T$6)*(raw!$F$2:$F$1473='2018-19_working'!AA$7)*(raw!$G$2:$G$1473))</f>
        <v>0</v>
      </c>
      <c r="AC32" s="8">
        <f>SUMPRODUCT((raw!$B$2:$B$1473='2018-19_working'!$A32)*(raw!$E$2:$E$1473='2018-19_working'!$AC$6)*(raw!$F$2:$F$1473='2018-19_working'!AC$7)*(raw!$G$2:$G$1473))</f>
        <v>19</v>
      </c>
      <c r="AD32" s="8">
        <f>SUMPRODUCT((raw!$B$2:$B$1473='2018-19_working'!$A32)*(raw!$E$2:$E$1473='2018-19_working'!$AC$6)*(raw!$F$2:$F$1473='2018-19_working'!AD$7)*(raw!$G$2:$G$1473))</f>
        <v>1</v>
      </c>
      <c r="AE32" s="8">
        <f>SUMPRODUCT((raw!$B$2:$B$1473='2018-19_working'!$A32)*(raw!$E$2:$E$1473='2018-19_working'!$AC$6)*(raw!$F$2:$F$1473='2018-19_working'!AE$7)*(raw!$G$2:$G$1473))</f>
        <v>0</v>
      </c>
      <c r="AF32" s="8">
        <f>SUMPRODUCT((raw!$B$2:$B$1473='2018-19_working'!$A32)*(raw!$E$2:$E$1473='2018-19_working'!$AC$6)*(raw!$F$2:$F$1473='2018-19_working'!AF$7)*(raw!$G$2:$G$1473))</f>
        <v>2</v>
      </c>
      <c r="AG32" s="8">
        <f>SUMPRODUCT((raw!$B$2:$B$1473='2018-19_working'!$A32)*(raw!$E$2:$E$1473='2018-19_working'!$AC$6)*(raw!$F$2:$F$1473='2018-19_working'!AG$7)*(raw!$G$2:$G$1473))</f>
        <v>0</v>
      </c>
      <c r="AH32" s="8">
        <f>SUMPRODUCT((raw!$B$2:$B$1473='2018-19_working'!$A32)*(raw!$E$2:$E$1473='2018-19_working'!$AC$6)*(raw!$F$2:$F$1473='2018-19_working'!AH$7)*(raw!$G$2:$G$1473))</f>
        <v>0</v>
      </c>
      <c r="AI32" s="8">
        <f>SUMPRODUCT((raw!$B$2:$B$1473='2018-19_working'!$A32)*(raw!$E$2:$E$1473='2018-19_working'!$AC$6)*(raw!$F$2:$F$1473='2018-19_working'!AI$7)*(raw!$G$2:$G$1473))</f>
        <v>0</v>
      </c>
      <c r="AJ32" s="8">
        <f>SUMPRODUCT((raw!$B$2:$B$1473='2018-19_working'!$A32)*(raw!$E$2:$E$1473='2018-19_working'!$AC$6)*(raw!$F$2:$F$1473='2018-19_working'!AJ$7)*(raw!$G$2:$G$1473))</f>
        <v>0</v>
      </c>
    </row>
    <row r="33" spans="1:36" x14ac:dyDescent="0.35">
      <c r="A33" s="8" t="s">
        <v>40</v>
      </c>
      <c r="B33" s="8">
        <f>SUMPRODUCT((raw!$B$2:$B$1473='2018-19_working'!$A33)*(raw!$E$2:$E$1473='2018-19_working'!$B$6:$I$6)*(raw!$F$2:$F$1473='2018-19_working'!B$7)*(raw!$G$2:$G$1473))</f>
        <v>6</v>
      </c>
      <c r="C33" s="8">
        <f>SUMPRODUCT((raw!$B$2:$B$1473='2018-19_working'!$A33)*(raw!$E$2:$E$1473='2018-19_working'!$B$6:$I$6)*(raw!$F$2:$F$1473='2018-19_working'!C$7)*(raw!$G$2:$G$1473))</f>
        <v>0</v>
      </c>
      <c r="D33" s="8">
        <f>SUMPRODUCT((raw!$B$2:$B$1473='2018-19_working'!$A33)*(raw!$E$2:$E$1473='2018-19_working'!$B$6:$I$6)*(raw!$F$2:$F$1473='2018-19_working'!D$7)*(raw!$G$2:$G$1473))</f>
        <v>0</v>
      </c>
      <c r="E33" s="8">
        <f>SUMPRODUCT((raw!$B$2:$B$1473='2018-19_working'!$A33)*(raw!$E$2:$E$1473='2018-19_working'!$B$6:$I$6)*(raw!$F$2:$F$1473='2018-19_working'!E$7)*(raw!$G$2:$G$1473))</f>
        <v>0</v>
      </c>
      <c r="F33" s="8">
        <f>SUMPRODUCT((raw!$B$2:$B$1473='2018-19_working'!$A33)*(raw!$E$2:$E$1473='2018-19_working'!$B$6:$I$6)*(raw!$F$2:$F$1473='2018-19_working'!F$7)*(raw!$G$2:$G$1473))</f>
        <v>0</v>
      </c>
      <c r="G33" s="8">
        <f>SUMPRODUCT((raw!$B$2:$B$1473='2018-19_working'!$A33)*(raw!$E$2:$E$1473='2018-19_working'!$B$6:$I$6)*(raw!$F$2:$F$1473='2018-19_working'!G$7)*(raw!$G$2:$G$1473))</f>
        <v>0</v>
      </c>
      <c r="H33" s="8">
        <f>SUMPRODUCT((raw!$B$2:$B$1473='2018-19_working'!$A33)*(raw!$E$2:$E$1473='2018-19_working'!$B$6:$I$6)*(raw!$F$2:$F$1473='2018-19_working'!H$7)*(raw!$G$2:$G$1473))</f>
        <v>0</v>
      </c>
      <c r="I33" s="8">
        <f>SUMPRODUCT((raw!$B$2:$B$1473='2018-19_working'!$A33)*(raw!$E$2:$E$1473='2018-19_working'!$B$6:$I$6)*(raw!$F$2:$F$1473='2018-19_working'!I$7)*(raw!$G$2:$G$1473))</f>
        <v>2</v>
      </c>
      <c r="K33" s="8">
        <f>SUMPRODUCT((raw!$B$2:$B$1473='2018-19_working'!$A33)*(raw!$E$2:$E$1473='2018-19_working'!$K$6)*(raw!$F$2:$F$1473='2018-19_working'!K$7)*(raw!$G$2:$G$1473))</f>
        <v>20</v>
      </c>
      <c r="L33" s="8">
        <f>SUMPRODUCT((raw!$B$2:$B$1473='2018-19_working'!$A33)*(raw!$E$2:$E$1473='2018-19_working'!$K$6)*(raw!$F$2:$F$1473='2018-19_working'!L$7)*(raw!$G$2:$G$1473))</f>
        <v>0</v>
      </c>
      <c r="M33" s="8">
        <f>SUMPRODUCT((raw!$B$2:$B$1473='2018-19_working'!$A33)*(raw!$E$2:$E$1473='2018-19_working'!$K$6)*(raw!$F$2:$F$1473='2018-19_working'!M$7)*(raw!$G$2:$G$1473))</f>
        <v>1</v>
      </c>
      <c r="N33" s="8">
        <f>SUMPRODUCT((raw!$B$2:$B$1473='2018-19_working'!$A33)*(raw!$E$2:$E$1473='2018-19_working'!$K$6)*(raw!$F$2:$F$1473='2018-19_working'!N$7)*(raw!$G$2:$G$1473))</f>
        <v>0</v>
      </c>
      <c r="O33" s="8">
        <f>SUMPRODUCT((raw!$B$2:$B$1473='2018-19_working'!$A33)*(raw!$E$2:$E$1473='2018-19_working'!$K$6)*(raw!$F$2:$F$1473='2018-19_working'!O$7)*(raw!$G$2:$G$1473))</f>
        <v>0</v>
      </c>
      <c r="P33" s="8">
        <f>SUMPRODUCT((raw!$B$2:$B$1473='2018-19_working'!$A33)*(raw!$E$2:$E$1473='2018-19_working'!$K$6)*(raw!$F$2:$F$1473='2018-19_working'!P$7)*(raw!$G$2:$G$1473))</f>
        <v>0</v>
      </c>
      <c r="Q33" s="8">
        <f>SUMPRODUCT((raw!$B$2:$B$1473='2018-19_working'!$A33)*(raw!$E$2:$E$1473='2018-19_working'!$K$6)*(raw!$F$2:$F$1473='2018-19_working'!Q$7)*(raw!$G$2:$G$1473))</f>
        <v>0</v>
      </c>
      <c r="R33" s="8">
        <f>SUMPRODUCT((raw!$B$2:$B$1473='2018-19_working'!$A33)*(raw!$E$2:$E$1473='2018-19_working'!$K$6)*(raw!$F$2:$F$1473='2018-19_working'!R$7)*(raw!$G$2:$G$1473))</f>
        <v>12</v>
      </c>
      <c r="T33" s="8">
        <f>SUMPRODUCT((raw!$B$2:$B$1473='2018-19_working'!$A33)*(raw!$E$2:$E$1473='2018-19_working'!$T$6)*(raw!$F$2:$F$1473='2018-19_working'!T$7)*(raw!$G$2:$G$1473))</f>
        <v>0</v>
      </c>
      <c r="U33" s="8">
        <f>SUMPRODUCT((raw!$B$2:$B$1473='2018-19_working'!$A33)*(raw!$E$2:$E$1473='2018-19_working'!$T$6)*(raw!$F$2:$F$1473='2018-19_working'!U$7)*(raw!$G$2:$G$1473))</f>
        <v>0</v>
      </c>
      <c r="V33" s="8">
        <f>SUMPRODUCT((raw!$B$2:$B$1473='2018-19_working'!$A33)*(raw!$E$2:$E$1473='2018-19_working'!$T$6)*(raw!$F$2:$F$1473='2018-19_working'!V$7)*(raw!$G$2:$G$1473))</f>
        <v>0</v>
      </c>
      <c r="W33" s="8">
        <f>SUMPRODUCT((raw!$B$2:$B$1473='2018-19_working'!$A33)*(raw!$E$2:$E$1473='2018-19_working'!$T$6)*(raw!$F$2:$F$1473='2018-19_working'!W$7)*(raw!$G$2:$G$1473))</f>
        <v>0</v>
      </c>
      <c r="X33" s="8">
        <f>SUMPRODUCT((raw!$B$2:$B$1473='2018-19_working'!$A33)*(raw!$E$2:$E$1473='2018-19_working'!$T$6)*(raw!$F$2:$F$1473='2018-19_working'!X$7)*(raw!$G$2:$G$1473))</f>
        <v>0</v>
      </c>
      <c r="Y33" s="8">
        <f>SUMPRODUCT((raw!$B$2:$B$1473='2018-19_working'!$A33)*(raw!$E$2:$E$1473='2018-19_working'!$T$6)*(raw!$F$2:$F$1473='2018-19_working'!Y$7)*(raw!$G$2:$G$1473))</f>
        <v>0</v>
      </c>
      <c r="Z33" s="8">
        <f>SUMPRODUCT((raw!$B$2:$B$1473='2018-19_working'!$A33)*(raw!$E$2:$E$1473='2018-19_working'!$T$6)*(raw!$F$2:$F$1473='2018-19_working'!Z$7)*(raw!$G$2:$G$1473))</f>
        <v>0</v>
      </c>
      <c r="AA33" s="8">
        <f>SUMPRODUCT((raw!$B$2:$B$1473='2018-19_working'!$A33)*(raw!$E$2:$E$1473='2018-19_working'!$T$6)*(raw!$F$2:$F$1473='2018-19_working'!AA$7)*(raw!$G$2:$G$1473))</f>
        <v>0</v>
      </c>
      <c r="AC33" s="8">
        <f>SUMPRODUCT((raw!$B$2:$B$1473='2018-19_working'!$A33)*(raw!$E$2:$E$1473='2018-19_working'!$AC$6)*(raw!$F$2:$F$1473='2018-19_working'!AC$7)*(raw!$G$2:$G$1473))</f>
        <v>9</v>
      </c>
      <c r="AD33" s="8">
        <f>SUMPRODUCT((raw!$B$2:$B$1473='2018-19_working'!$A33)*(raw!$E$2:$E$1473='2018-19_working'!$AC$6)*(raw!$F$2:$F$1473='2018-19_working'!AD$7)*(raw!$G$2:$G$1473))</f>
        <v>0</v>
      </c>
      <c r="AE33" s="8">
        <f>SUMPRODUCT((raw!$B$2:$B$1473='2018-19_working'!$A33)*(raw!$E$2:$E$1473='2018-19_working'!$AC$6)*(raw!$F$2:$F$1473='2018-19_working'!AE$7)*(raw!$G$2:$G$1473))</f>
        <v>0</v>
      </c>
      <c r="AF33" s="8">
        <f>SUMPRODUCT((raw!$B$2:$B$1473='2018-19_working'!$A33)*(raw!$E$2:$E$1473='2018-19_working'!$AC$6)*(raw!$F$2:$F$1473='2018-19_working'!AF$7)*(raw!$G$2:$G$1473))</f>
        <v>0</v>
      </c>
      <c r="AG33" s="8">
        <f>SUMPRODUCT((raw!$B$2:$B$1473='2018-19_working'!$A33)*(raw!$E$2:$E$1473='2018-19_working'!$AC$6)*(raw!$F$2:$F$1473='2018-19_working'!AG$7)*(raw!$G$2:$G$1473))</f>
        <v>0</v>
      </c>
      <c r="AH33" s="8">
        <f>SUMPRODUCT((raw!$B$2:$B$1473='2018-19_working'!$A33)*(raw!$E$2:$E$1473='2018-19_working'!$AC$6)*(raw!$F$2:$F$1473='2018-19_working'!AH$7)*(raw!$G$2:$G$1473))</f>
        <v>0</v>
      </c>
      <c r="AI33" s="8">
        <f>SUMPRODUCT((raw!$B$2:$B$1473='2018-19_working'!$A33)*(raw!$E$2:$E$1473='2018-19_working'!$AC$6)*(raw!$F$2:$F$1473='2018-19_working'!AI$7)*(raw!$G$2:$G$1473))</f>
        <v>0</v>
      </c>
      <c r="AJ33" s="8">
        <f>SUMPRODUCT((raw!$B$2:$B$1473='2018-19_working'!$A33)*(raw!$E$2:$E$1473='2018-19_working'!$AC$6)*(raw!$F$2:$F$1473='2018-19_working'!AJ$7)*(raw!$G$2:$G$1473))</f>
        <v>0</v>
      </c>
    </row>
    <row r="34" spans="1:36" x14ac:dyDescent="0.35">
      <c r="A34" s="8" t="s">
        <v>41</v>
      </c>
      <c r="B34" s="8">
        <f>SUMPRODUCT((raw!$B$2:$B$1473='2018-19_working'!$A34)*(raw!$E$2:$E$1473='2018-19_working'!$B$6:$I$6)*(raw!$F$2:$F$1473='2018-19_working'!B$7)*(raw!$G$2:$G$1473))</f>
        <v>12</v>
      </c>
      <c r="C34" s="8">
        <f>SUMPRODUCT((raw!$B$2:$B$1473='2018-19_working'!$A34)*(raw!$E$2:$E$1473='2018-19_working'!$B$6:$I$6)*(raw!$F$2:$F$1473='2018-19_working'!C$7)*(raw!$G$2:$G$1473))</f>
        <v>0</v>
      </c>
      <c r="D34" s="8">
        <f>SUMPRODUCT((raw!$B$2:$B$1473='2018-19_working'!$A34)*(raw!$E$2:$E$1473='2018-19_working'!$B$6:$I$6)*(raw!$F$2:$F$1473='2018-19_working'!D$7)*(raw!$G$2:$G$1473))</f>
        <v>1</v>
      </c>
      <c r="E34" s="8">
        <f>SUMPRODUCT((raw!$B$2:$B$1473='2018-19_working'!$A34)*(raw!$E$2:$E$1473='2018-19_working'!$B$6:$I$6)*(raw!$F$2:$F$1473='2018-19_working'!E$7)*(raw!$G$2:$G$1473))</f>
        <v>0</v>
      </c>
      <c r="F34" s="8">
        <f>SUMPRODUCT((raw!$B$2:$B$1473='2018-19_working'!$A34)*(raw!$E$2:$E$1473='2018-19_working'!$B$6:$I$6)*(raw!$F$2:$F$1473='2018-19_working'!F$7)*(raw!$G$2:$G$1473))</f>
        <v>0</v>
      </c>
      <c r="G34" s="8">
        <f>SUMPRODUCT((raw!$B$2:$B$1473='2018-19_working'!$A34)*(raw!$E$2:$E$1473='2018-19_working'!$B$6:$I$6)*(raw!$F$2:$F$1473='2018-19_working'!G$7)*(raw!$G$2:$G$1473))</f>
        <v>0</v>
      </c>
      <c r="H34" s="8">
        <f>SUMPRODUCT((raw!$B$2:$B$1473='2018-19_working'!$A34)*(raw!$E$2:$E$1473='2018-19_working'!$B$6:$I$6)*(raw!$F$2:$F$1473='2018-19_working'!H$7)*(raw!$G$2:$G$1473))</f>
        <v>0</v>
      </c>
      <c r="I34" s="8">
        <f>SUMPRODUCT((raw!$B$2:$B$1473='2018-19_working'!$A34)*(raw!$E$2:$E$1473='2018-19_working'!$B$6:$I$6)*(raw!$F$2:$F$1473='2018-19_working'!I$7)*(raw!$G$2:$G$1473))</f>
        <v>0</v>
      </c>
      <c r="K34" s="8">
        <f>SUMPRODUCT((raw!$B$2:$B$1473='2018-19_working'!$A34)*(raw!$E$2:$E$1473='2018-19_working'!$K$6)*(raw!$F$2:$F$1473='2018-19_working'!K$7)*(raw!$G$2:$G$1473))</f>
        <v>49</v>
      </c>
      <c r="L34" s="8">
        <f>SUMPRODUCT((raw!$B$2:$B$1473='2018-19_working'!$A34)*(raw!$E$2:$E$1473='2018-19_working'!$K$6)*(raw!$F$2:$F$1473='2018-19_working'!L$7)*(raw!$G$2:$G$1473))</f>
        <v>3</v>
      </c>
      <c r="M34" s="8">
        <f>SUMPRODUCT((raw!$B$2:$B$1473='2018-19_working'!$A34)*(raw!$E$2:$E$1473='2018-19_working'!$K$6)*(raw!$F$2:$F$1473='2018-19_working'!M$7)*(raw!$G$2:$G$1473))</f>
        <v>0</v>
      </c>
      <c r="N34" s="8">
        <f>SUMPRODUCT((raw!$B$2:$B$1473='2018-19_working'!$A34)*(raw!$E$2:$E$1473='2018-19_working'!$K$6)*(raw!$F$2:$F$1473='2018-19_working'!N$7)*(raw!$G$2:$G$1473))</f>
        <v>0</v>
      </c>
      <c r="O34" s="8">
        <f>SUMPRODUCT((raw!$B$2:$B$1473='2018-19_working'!$A34)*(raw!$E$2:$E$1473='2018-19_working'!$K$6)*(raw!$F$2:$F$1473='2018-19_working'!O$7)*(raw!$G$2:$G$1473))</f>
        <v>0</v>
      </c>
      <c r="P34" s="8">
        <f>SUMPRODUCT((raw!$B$2:$B$1473='2018-19_working'!$A34)*(raw!$E$2:$E$1473='2018-19_working'!$K$6)*(raw!$F$2:$F$1473='2018-19_working'!P$7)*(raw!$G$2:$G$1473))</f>
        <v>0</v>
      </c>
      <c r="Q34" s="8">
        <f>SUMPRODUCT((raw!$B$2:$B$1473='2018-19_working'!$A34)*(raw!$E$2:$E$1473='2018-19_working'!$K$6)*(raw!$F$2:$F$1473='2018-19_working'!Q$7)*(raw!$G$2:$G$1473))</f>
        <v>0</v>
      </c>
      <c r="R34" s="8">
        <f>SUMPRODUCT((raw!$B$2:$B$1473='2018-19_working'!$A34)*(raw!$E$2:$E$1473='2018-19_working'!$K$6)*(raw!$F$2:$F$1473='2018-19_working'!R$7)*(raw!$G$2:$G$1473))</f>
        <v>1</v>
      </c>
      <c r="T34" s="8">
        <f>SUMPRODUCT((raw!$B$2:$B$1473='2018-19_working'!$A34)*(raw!$E$2:$E$1473='2018-19_working'!$T$6)*(raw!$F$2:$F$1473='2018-19_working'!T$7)*(raw!$G$2:$G$1473))</f>
        <v>4</v>
      </c>
      <c r="U34" s="8">
        <f>SUMPRODUCT((raw!$B$2:$B$1473='2018-19_working'!$A34)*(raw!$E$2:$E$1473='2018-19_working'!$T$6)*(raw!$F$2:$F$1473='2018-19_working'!U$7)*(raw!$G$2:$G$1473))</f>
        <v>0</v>
      </c>
      <c r="V34" s="8">
        <f>SUMPRODUCT((raw!$B$2:$B$1473='2018-19_working'!$A34)*(raw!$E$2:$E$1473='2018-19_working'!$T$6)*(raw!$F$2:$F$1473='2018-19_working'!V$7)*(raw!$G$2:$G$1473))</f>
        <v>0</v>
      </c>
      <c r="W34" s="8">
        <f>SUMPRODUCT((raw!$B$2:$B$1473='2018-19_working'!$A34)*(raw!$E$2:$E$1473='2018-19_working'!$T$6)*(raw!$F$2:$F$1473='2018-19_working'!W$7)*(raw!$G$2:$G$1473))</f>
        <v>0</v>
      </c>
      <c r="X34" s="8">
        <f>SUMPRODUCT((raw!$B$2:$B$1473='2018-19_working'!$A34)*(raw!$E$2:$E$1473='2018-19_working'!$T$6)*(raw!$F$2:$F$1473='2018-19_working'!X$7)*(raw!$G$2:$G$1473))</f>
        <v>0</v>
      </c>
      <c r="Y34" s="8">
        <f>SUMPRODUCT((raw!$B$2:$B$1473='2018-19_working'!$A34)*(raw!$E$2:$E$1473='2018-19_working'!$T$6)*(raw!$F$2:$F$1473='2018-19_working'!Y$7)*(raw!$G$2:$G$1473))</f>
        <v>0</v>
      </c>
      <c r="Z34" s="8">
        <f>SUMPRODUCT((raw!$B$2:$B$1473='2018-19_working'!$A34)*(raw!$E$2:$E$1473='2018-19_working'!$T$6)*(raw!$F$2:$F$1473='2018-19_working'!Z$7)*(raw!$G$2:$G$1473))</f>
        <v>0</v>
      </c>
      <c r="AA34" s="8">
        <f>SUMPRODUCT((raw!$B$2:$B$1473='2018-19_working'!$A34)*(raw!$E$2:$E$1473='2018-19_working'!$T$6)*(raw!$F$2:$F$1473='2018-19_working'!AA$7)*(raw!$G$2:$G$1473))</f>
        <v>0</v>
      </c>
      <c r="AC34" s="8">
        <f>SUMPRODUCT((raw!$B$2:$B$1473='2018-19_working'!$A34)*(raw!$E$2:$E$1473='2018-19_working'!$AC$6)*(raw!$F$2:$F$1473='2018-19_working'!AC$7)*(raw!$G$2:$G$1473))</f>
        <v>8</v>
      </c>
      <c r="AD34" s="8">
        <f>SUMPRODUCT((raw!$B$2:$B$1473='2018-19_working'!$A34)*(raw!$E$2:$E$1473='2018-19_working'!$AC$6)*(raw!$F$2:$F$1473='2018-19_working'!AD$7)*(raw!$G$2:$G$1473))</f>
        <v>0</v>
      </c>
      <c r="AE34" s="8">
        <f>SUMPRODUCT((raw!$B$2:$B$1473='2018-19_working'!$A34)*(raw!$E$2:$E$1473='2018-19_working'!$AC$6)*(raw!$F$2:$F$1473='2018-19_working'!AE$7)*(raw!$G$2:$G$1473))</f>
        <v>0</v>
      </c>
      <c r="AF34" s="8">
        <f>SUMPRODUCT((raw!$B$2:$B$1473='2018-19_working'!$A34)*(raw!$E$2:$E$1473='2018-19_working'!$AC$6)*(raw!$F$2:$F$1473='2018-19_working'!AF$7)*(raw!$G$2:$G$1473))</f>
        <v>0</v>
      </c>
      <c r="AG34" s="8">
        <f>SUMPRODUCT((raw!$B$2:$B$1473='2018-19_working'!$A34)*(raw!$E$2:$E$1473='2018-19_working'!$AC$6)*(raw!$F$2:$F$1473='2018-19_working'!AG$7)*(raw!$G$2:$G$1473))</f>
        <v>1</v>
      </c>
      <c r="AH34" s="8">
        <f>SUMPRODUCT((raw!$B$2:$B$1473='2018-19_working'!$A34)*(raw!$E$2:$E$1473='2018-19_working'!$AC$6)*(raw!$F$2:$F$1473='2018-19_working'!AH$7)*(raw!$G$2:$G$1473))</f>
        <v>0</v>
      </c>
      <c r="AI34" s="8">
        <f>SUMPRODUCT((raw!$B$2:$B$1473='2018-19_working'!$A34)*(raw!$E$2:$E$1473='2018-19_working'!$AC$6)*(raw!$F$2:$F$1473='2018-19_working'!AI$7)*(raw!$G$2:$G$1473))</f>
        <v>0</v>
      </c>
      <c r="AJ34" s="8">
        <f>SUMPRODUCT((raw!$B$2:$B$1473='2018-19_working'!$A34)*(raw!$E$2:$E$1473='2018-19_working'!$AC$6)*(raw!$F$2:$F$1473='2018-19_working'!AJ$7)*(raw!$G$2:$G$1473))</f>
        <v>1</v>
      </c>
    </row>
    <row r="35" spans="1:36" x14ac:dyDescent="0.35">
      <c r="A35" s="8" t="s">
        <v>42</v>
      </c>
      <c r="B35" s="8">
        <f>SUMPRODUCT((raw!$B$2:$B$1473='2018-19_working'!$A35)*(raw!$E$2:$E$1473='2018-19_working'!$B$6:$I$6)*(raw!$F$2:$F$1473='2018-19_working'!B$7)*(raw!$G$2:$G$1473))</f>
        <v>22</v>
      </c>
      <c r="C35" s="8">
        <f>SUMPRODUCT((raw!$B$2:$B$1473='2018-19_working'!$A35)*(raw!$E$2:$E$1473='2018-19_working'!$B$6:$I$6)*(raw!$F$2:$F$1473='2018-19_working'!C$7)*(raw!$G$2:$G$1473))</f>
        <v>3</v>
      </c>
      <c r="D35" s="8">
        <f>SUMPRODUCT((raw!$B$2:$B$1473='2018-19_working'!$A35)*(raw!$E$2:$E$1473='2018-19_working'!$B$6:$I$6)*(raw!$F$2:$F$1473='2018-19_working'!D$7)*(raw!$G$2:$G$1473))</f>
        <v>1</v>
      </c>
      <c r="E35" s="8">
        <f>SUMPRODUCT((raw!$B$2:$B$1473='2018-19_working'!$A35)*(raw!$E$2:$E$1473='2018-19_working'!$B$6:$I$6)*(raw!$F$2:$F$1473='2018-19_working'!E$7)*(raw!$G$2:$G$1473))</f>
        <v>0</v>
      </c>
      <c r="F35" s="8">
        <f>SUMPRODUCT((raw!$B$2:$B$1473='2018-19_working'!$A35)*(raw!$E$2:$E$1473='2018-19_working'!$B$6:$I$6)*(raw!$F$2:$F$1473='2018-19_working'!F$7)*(raw!$G$2:$G$1473))</f>
        <v>0</v>
      </c>
      <c r="G35" s="8">
        <f>SUMPRODUCT((raw!$B$2:$B$1473='2018-19_working'!$A35)*(raw!$E$2:$E$1473='2018-19_working'!$B$6:$I$6)*(raw!$F$2:$F$1473='2018-19_working'!G$7)*(raw!$G$2:$G$1473))</f>
        <v>0</v>
      </c>
      <c r="H35" s="8">
        <f>SUMPRODUCT((raw!$B$2:$B$1473='2018-19_working'!$A35)*(raw!$E$2:$E$1473='2018-19_working'!$B$6:$I$6)*(raw!$F$2:$F$1473='2018-19_working'!H$7)*(raw!$G$2:$G$1473))</f>
        <v>0</v>
      </c>
      <c r="I35" s="8">
        <f>SUMPRODUCT((raw!$B$2:$B$1473='2018-19_working'!$A35)*(raw!$E$2:$E$1473='2018-19_working'!$B$6:$I$6)*(raw!$F$2:$F$1473='2018-19_working'!I$7)*(raw!$G$2:$G$1473))</f>
        <v>4</v>
      </c>
      <c r="K35" s="8">
        <f>SUMPRODUCT((raw!$B$2:$B$1473='2018-19_working'!$A35)*(raw!$E$2:$E$1473='2018-19_working'!$K$6)*(raw!$F$2:$F$1473='2018-19_working'!K$7)*(raw!$G$2:$G$1473))</f>
        <v>31</v>
      </c>
      <c r="L35" s="8">
        <f>SUMPRODUCT((raw!$B$2:$B$1473='2018-19_working'!$A35)*(raw!$E$2:$E$1473='2018-19_working'!$K$6)*(raw!$F$2:$F$1473='2018-19_working'!L$7)*(raw!$G$2:$G$1473))</f>
        <v>1</v>
      </c>
      <c r="M35" s="8">
        <f>SUMPRODUCT((raw!$B$2:$B$1473='2018-19_working'!$A35)*(raw!$E$2:$E$1473='2018-19_working'!$K$6)*(raw!$F$2:$F$1473='2018-19_working'!M$7)*(raw!$G$2:$G$1473))</f>
        <v>0</v>
      </c>
      <c r="N35" s="8">
        <f>SUMPRODUCT((raw!$B$2:$B$1473='2018-19_working'!$A35)*(raw!$E$2:$E$1473='2018-19_working'!$K$6)*(raw!$F$2:$F$1473='2018-19_working'!N$7)*(raw!$G$2:$G$1473))</f>
        <v>0</v>
      </c>
      <c r="O35" s="8">
        <f>SUMPRODUCT((raw!$B$2:$B$1473='2018-19_working'!$A35)*(raw!$E$2:$E$1473='2018-19_working'!$K$6)*(raw!$F$2:$F$1473='2018-19_working'!O$7)*(raw!$G$2:$G$1473))</f>
        <v>0</v>
      </c>
      <c r="P35" s="8">
        <f>SUMPRODUCT((raw!$B$2:$B$1473='2018-19_working'!$A35)*(raw!$E$2:$E$1473='2018-19_working'!$K$6)*(raw!$F$2:$F$1473='2018-19_working'!P$7)*(raw!$G$2:$G$1473))</f>
        <v>0</v>
      </c>
      <c r="Q35" s="8">
        <f>SUMPRODUCT((raw!$B$2:$B$1473='2018-19_working'!$A35)*(raw!$E$2:$E$1473='2018-19_working'!$K$6)*(raw!$F$2:$F$1473='2018-19_working'!Q$7)*(raw!$G$2:$G$1473))</f>
        <v>0</v>
      </c>
      <c r="R35" s="8">
        <f>SUMPRODUCT((raw!$B$2:$B$1473='2018-19_working'!$A35)*(raw!$E$2:$E$1473='2018-19_working'!$K$6)*(raw!$F$2:$F$1473='2018-19_working'!R$7)*(raw!$G$2:$G$1473))</f>
        <v>6</v>
      </c>
      <c r="T35" s="8">
        <f>SUMPRODUCT((raw!$B$2:$B$1473='2018-19_working'!$A35)*(raw!$E$2:$E$1473='2018-19_working'!$T$6)*(raw!$F$2:$F$1473='2018-19_working'!T$7)*(raw!$G$2:$G$1473))</f>
        <v>2</v>
      </c>
      <c r="U35" s="8">
        <f>SUMPRODUCT((raw!$B$2:$B$1473='2018-19_working'!$A35)*(raw!$E$2:$E$1473='2018-19_working'!$T$6)*(raw!$F$2:$F$1473='2018-19_working'!U$7)*(raw!$G$2:$G$1473))</f>
        <v>0</v>
      </c>
      <c r="V35" s="8">
        <f>SUMPRODUCT((raw!$B$2:$B$1473='2018-19_working'!$A35)*(raw!$E$2:$E$1473='2018-19_working'!$T$6)*(raw!$F$2:$F$1473='2018-19_working'!V$7)*(raw!$G$2:$G$1473))</f>
        <v>0</v>
      </c>
      <c r="W35" s="8">
        <f>SUMPRODUCT((raw!$B$2:$B$1473='2018-19_working'!$A35)*(raw!$E$2:$E$1473='2018-19_working'!$T$6)*(raw!$F$2:$F$1473='2018-19_working'!W$7)*(raw!$G$2:$G$1473))</f>
        <v>0</v>
      </c>
      <c r="X35" s="8">
        <f>SUMPRODUCT((raw!$B$2:$B$1473='2018-19_working'!$A35)*(raw!$E$2:$E$1473='2018-19_working'!$T$6)*(raw!$F$2:$F$1473='2018-19_working'!X$7)*(raw!$G$2:$G$1473))</f>
        <v>0</v>
      </c>
      <c r="Y35" s="8">
        <f>SUMPRODUCT((raw!$B$2:$B$1473='2018-19_working'!$A35)*(raw!$E$2:$E$1473='2018-19_working'!$T$6)*(raw!$F$2:$F$1473='2018-19_working'!Y$7)*(raw!$G$2:$G$1473))</f>
        <v>0</v>
      </c>
      <c r="Z35" s="8">
        <f>SUMPRODUCT((raw!$B$2:$B$1473='2018-19_working'!$A35)*(raw!$E$2:$E$1473='2018-19_working'!$T$6)*(raw!$F$2:$F$1473='2018-19_working'!Z$7)*(raw!$G$2:$G$1473))</f>
        <v>0</v>
      </c>
      <c r="AA35" s="8">
        <f>SUMPRODUCT((raw!$B$2:$B$1473='2018-19_working'!$A35)*(raw!$E$2:$E$1473='2018-19_working'!$T$6)*(raw!$F$2:$F$1473='2018-19_working'!AA$7)*(raw!$G$2:$G$1473))</f>
        <v>0</v>
      </c>
      <c r="AC35" s="8">
        <f>SUMPRODUCT((raw!$B$2:$B$1473='2018-19_working'!$A35)*(raw!$E$2:$E$1473='2018-19_working'!$AC$6)*(raw!$F$2:$F$1473='2018-19_working'!AC$7)*(raw!$G$2:$G$1473))</f>
        <v>6</v>
      </c>
      <c r="AD35" s="8">
        <f>SUMPRODUCT((raw!$B$2:$B$1473='2018-19_working'!$A35)*(raw!$E$2:$E$1473='2018-19_working'!$AC$6)*(raw!$F$2:$F$1473='2018-19_working'!AD$7)*(raw!$G$2:$G$1473))</f>
        <v>0</v>
      </c>
      <c r="AE35" s="8">
        <f>SUMPRODUCT((raw!$B$2:$B$1473='2018-19_working'!$A35)*(raw!$E$2:$E$1473='2018-19_working'!$AC$6)*(raw!$F$2:$F$1473='2018-19_working'!AE$7)*(raw!$G$2:$G$1473))</f>
        <v>0</v>
      </c>
      <c r="AF35" s="8">
        <f>SUMPRODUCT((raw!$B$2:$B$1473='2018-19_working'!$A35)*(raw!$E$2:$E$1473='2018-19_working'!$AC$6)*(raw!$F$2:$F$1473='2018-19_working'!AF$7)*(raw!$G$2:$G$1473))</f>
        <v>0</v>
      </c>
      <c r="AG35" s="8">
        <f>SUMPRODUCT((raw!$B$2:$B$1473='2018-19_working'!$A35)*(raw!$E$2:$E$1473='2018-19_working'!$AC$6)*(raw!$F$2:$F$1473='2018-19_working'!AG$7)*(raw!$G$2:$G$1473))</f>
        <v>0</v>
      </c>
      <c r="AH35" s="8">
        <f>SUMPRODUCT((raw!$B$2:$B$1473='2018-19_working'!$A35)*(raw!$E$2:$E$1473='2018-19_working'!$AC$6)*(raw!$F$2:$F$1473='2018-19_working'!AH$7)*(raw!$G$2:$G$1473))</f>
        <v>0</v>
      </c>
      <c r="AI35" s="8">
        <f>SUMPRODUCT((raw!$B$2:$B$1473='2018-19_working'!$A35)*(raw!$E$2:$E$1473='2018-19_working'!$AC$6)*(raw!$F$2:$F$1473='2018-19_working'!AI$7)*(raw!$G$2:$G$1473))</f>
        <v>0</v>
      </c>
      <c r="AJ35" s="8">
        <f>SUMPRODUCT((raw!$B$2:$B$1473='2018-19_working'!$A35)*(raw!$E$2:$E$1473='2018-19_working'!$AC$6)*(raw!$F$2:$F$1473='2018-19_working'!AJ$7)*(raw!$G$2:$G$1473))</f>
        <v>4</v>
      </c>
    </row>
    <row r="36" spans="1:36" x14ac:dyDescent="0.35">
      <c r="A36" s="8" t="s">
        <v>43</v>
      </c>
      <c r="B36" s="8">
        <f>SUMPRODUCT((raw!$B$2:$B$1473='2018-19_working'!$A36)*(raw!$E$2:$E$1473='2018-19_working'!$B$6:$I$6)*(raw!$F$2:$F$1473='2018-19_working'!B$7)*(raw!$G$2:$G$1473))</f>
        <v>0</v>
      </c>
      <c r="C36" s="8">
        <f>SUMPRODUCT((raw!$B$2:$B$1473='2018-19_working'!$A36)*(raw!$E$2:$E$1473='2018-19_working'!$B$6:$I$6)*(raw!$F$2:$F$1473='2018-19_working'!C$7)*(raw!$G$2:$G$1473))</f>
        <v>0</v>
      </c>
      <c r="D36" s="8">
        <f>SUMPRODUCT((raw!$B$2:$B$1473='2018-19_working'!$A36)*(raw!$E$2:$E$1473='2018-19_working'!$B$6:$I$6)*(raw!$F$2:$F$1473='2018-19_working'!D$7)*(raw!$G$2:$G$1473))</f>
        <v>0</v>
      </c>
      <c r="E36" s="8">
        <f>SUMPRODUCT((raw!$B$2:$B$1473='2018-19_working'!$A36)*(raw!$E$2:$E$1473='2018-19_working'!$B$6:$I$6)*(raw!$F$2:$F$1473='2018-19_working'!E$7)*(raw!$G$2:$G$1473))</f>
        <v>0</v>
      </c>
      <c r="F36" s="8">
        <f>SUMPRODUCT((raw!$B$2:$B$1473='2018-19_working'!$A36)*(raw!$E$2:$E$1473='2018-19_working'!$B$6:$I$6)*(raw!$F$2:$F$1473='2018-19_working'!F$7)*(raw!$G$2:$G$1473))</f>
        <v>0</v>
      </c>
      <c r="G36" s="8">
        <f>SUMPRODUCT((raw!$B$2:$B$1473='2018-19_working'!$A36)*(raw!$E$2:$E$1473='2018-19_working'!$B$6:$I$6)*(raw!$F$2:$F$1473='2018-19_working'!G$7)*(raw!$G$2:$G$1473))</f>
        <v>0</v>
      </c>
      <c r="H36" s="8">
        <f>SUMPRODUCT((raw!$B$2:$B$1473='2018-19_working'!$A36)*(raw!$E$2:$E$1473='2018-19_working'!$B$6:$I$6)*(raw!$F$2:$F$1473='2018-19_working'!H$7)*(raw!$G$2:$G$1473))</f>
        <v>0</v>
      </c>
      <c r="I36" s="8">
        <f>SUMPRODUCT((raw!$B$2:$B$1473='2018-19_working'!$A36)*(raw!$E$2:$E$1473='2018-19_working'!$B$6:$I$6)*(raw!$F$2:$F$1473='2018-19_working'!I$7)*(raw!$G$2:$G$1473))</f>
        <v>0</v>
      </c>
      <c r="K36" s="8">
        <f>SUMPRODUCT((raw!$B$2:$B$1473='2018-19_working'!$A36)*(raw!$E$2:$E$1473='2018-19_working'!$K$6)*(raw!$F$2:$F$1473='2018-19_working'!K$7)*(raw!$G$2:$G$1473))</f>
        <v>0</v>
      </c>
      <c r="L36" s="8">
        <f>SUMPRODUCT((raw!$B$2:$B$1473='2018-19_working'!$A36)*(raw!$E$2:$E$1473='2018-19_working'!$K$6)*(raw!$F$2:$F$1473='2018-19_working'!L$7)*(raw!$G$2:$G$1473))</f>
        <v>0</v>
      </c>
      <c r="M36" s="8">
        <f>SUMPRODUCT((raw!$B$2:$B$1473='2018-19_working'!$A36)*(raw!$E$2:$E$1473='2018-19_working'!$K$6)*(raw!$F$2:$F$1473='2018-19_working'!M$7)*(raw!$G$2:$G$1473))</f>
        <v>0</v>
      </c>
      <c r="N36" s="8">
        <f>SUMPRODUCT((raw!$B$2:$B$1473='2018-19_working'!$A36)*(raw!$E$2:$E$1473='2018-19_working'!$K$6)*(raw!$F$2:$F$1473='2018-19_working'!N$7)*(raw!$G$2:$G$1473))</f>
        <v>0</v>
      </c>
      <c r="O36" s="8">
        <f>SUMPRODUCT((raw!$B$2:$B$1473='2018-19_working'!$A36)*(raw!$E$2:$E$1473='2018-19_working'!$K$6)*(raw!$F$2:$F$1473='2018-19_working'!O$7)*(raw!$G$2:$G$1473))</f>
        <v>0</v>
      </c>
      <c r="P36" s="8">
        <f>SUMPRODUCT((raw!$B$2:$B$1473='2018-19_working'!$A36)*(raw!$E$2:$E$1473='2018-19_working'!$K$6)*(raw!$F$2:$F$1473='2018-19_working'!P$7)*(raw!$G$2:$G$1473))</f>
        <v>0</v>
      </c>
      <c r="Q36" s="8">
        <f>SUMPRODUCT((raw!$B$2:$B$1473='2018-19_working'!$A36)*(raw!$E$2:$E$1473='2018-19_working'!$K$6)*(raw!$F$2:$F$1473='2018-19_working'!Q$7)*(raw!$G$2:$G$1473))</f>
        <v>0</v>
      </c>
      <c r="R36" s="8">
        <f>SUMPRODUCT((raw!$B$2:$B$1473='2018-19_working'!$A36)*(raw!$E$2:$E$1473='2018-19_working'!$K$6)*(raw!$F$2:$F$1473='2018-19_working'!R$7)*(raw!$G$2:$G$1473))</f>
        <v>0</v>
      </c>
      <c r="T36" s="8">
        <f>SUMPRODUCT((raw!$B$2:$B$1473='2018-19_working'!$A36)*(raw!$E$2:$E$1473='2018-19_working'!$T$6)*(raw!$F$2:$F$1473='2018-19_working'!T$7)*(raw!$G$2:$G$1473))</f>
        <v>5</v>
      </c>
      <c r="U36" s="8">
        <f>SUMPRODUCT((raw!$B$2:$B$1473='2018-19_working'!$A36)*(raw!$E$2:$E$1473='2018-19_working'!$T$6)*(raw!$F$2:$F$1473='2018-19_working'!U$7)*(raw!$G$2:$G$1473))</f>
        <v>0</v>
      </c>
      <c r="V36" s="8">
        <f>SUMPRODUCT((raw!$B$2:$B$1473='2018-19_working'!$A36)*(raw!$E$2:$E$1473='2018-19_working'!$T$6)*(raw!$F$2:$F$1473='2018-19_working'!V$7)*(raw!$G$2:$G$1473))</f>
        <v>0</v>
      </c>
      <c r="W36" s="8">
        <f>SUMPRODUCT((raw!$B$2:$B$1473='2018-19_working'!$A36)*(raw!$E$2:$E$1473='2018-19_working'!$T$6)*(raw!$F$2:$F$1473='2018-19_working'!W$7)*(raw!$G$2:$G$1473))</f>
        <v>0</v>
      </c>
      <c r="X36" s="8">
        <f>SUMPRODUCT((raw!$B$2:$B$1473='2018-19_working'!$A36)*(raw!$E$2:$E$1473='2018-19_working'!$T$6)*(raw!$F$2:$F$1473='2018-19_working'!X$7)*(raw!$G$2:$G$1473))</f>
        <v>0</v>
      </c>
      <c r="Y36" s="8">
        <f>SUMPRODUCT((raw!$B$2:$B$1473='2018-19_working'!$A36)*(raw!$E$2:$E$1473='2018-19_working'!$T$6)*(raw!$F$2:$F$1473='2018-19_working'!Y$7)*(raw!$G$2:$G$1473))</f>
        <v>1</v>
      </c>
      <c r="Z36" s="8">
        <f>SUMPRODUCT((raw!$B$2:$B$1473='2018-19_working'!$A36)*(raw!$E$2:$E$1473='2018-19_working'!$T$6)*(raw!$F$2:$F$1473='2018-19_working'!Z$7)*(raw!$G$2:$G$1473))</f>
        <v>1</v>
      </c>
      <c r="AA36" s="8">
        <f>SUMPRODUCT((raw!$B$2:$B$1473='2018-19_working'!$A36)*(raw!$E$2:$E$1473='2018-19_working'!$T$6)*(raw!$F$2:$F$1473='2018-19_working'!AA$7)*(raw!$G$2:$G$1473))</f>
        <v>0</v>
      </c>
      <c r="AC36" s="8">
        <f>SUMPRODUCT((raw!$B$2:$B$1473='2018-19_working'!$A36)*(raw!$E$2:$E$1473='2018-19_working'!$AC$6)*(raw!$F$2:$F$1473='2018-19_working'!AC$7)*(raw!$G$2:$G$1473))</f>
        <v>1</v>
      </c>
      <c r="AD36" s="8">
        <f>SUMPRODUCT((raw!$B$2:$B$1473='2018-19_working'!$A36)*(raw!$E$2:$E$1473='2018-19_working'!$AC$6)*(raw!$F$2:$F$1473='2018-19_working'!AD$7)*(raw!$G$2:$G$1473))</f>
        <v>0</v>
      </c>
      <c r="AE36" s="8">
        <f>SUMPRODUCT((raw!$B$2:$B$1473='2018-19_working'!$A36)*(raw!$E$2:$E$1473='2018-19_working'!$AC$6)*(raw!$F$2:$F$1473='2018-19_working'!AE$7)*(raw!$G$2:$G$1473))</f>
        <v>0</v>
      </c>
      <c r="AF36" s="8">
        <f>SUMPRODUCT((raw!$B$2:$B$1473='2018-19_working'!$A36)*(raw!$E$2:$E$1473='2018-19_working'!$AC$6)*(raw!$F$2:$F$1473='2018-19_working'!AF$7)*(raw!$G$2:$G$1473))</f>
        <v>0</v>
      </c>
      <c r="AG36" s="8">
        <f>SUMPRODUCT((raw!$B$2:$B$1473='2018-19_working'!$A36)*(raw!$E$2:$E$1473='2018-19_working'!$AC$6)*(raw!$F$2:$F$1473='2018-19_working'!AG$7)*(raw!$G$2:$G$1473))</f>
        <v>0</v>
      </c>
      <c r="AH36" s="8">
        <f>SUMPRODUCT((raw!$B$2:$B$1473='2018-19_working'!$A36)*(raw!$E$2:$E$1473='2018-19_working'!$AC$6)*(raw!$F$2:$F$1473='2018-19_working'!AH$7)*(raw!$G$2:$G$1473))</f>
        <v>0</v>
      </c>
      <c r="AI36" s="8">
        <f>SUMPRODUCT((raw!$B$2:$B$1473='2018-19_working'!$A36)*(raw!$E$2:$E$1473='2018-19_working'!$AC$6)*(raw!$F$2:$F$1473='2018-19_working'!AI$7)*(raw!$G$2:$G$1473))</f>
        <v>0</v>
      </c>
      <c r="AJ36" s="8">
        <f>SUMPRODUCT((raw!$B$2:$B$1473='2018-19_working'!$A36)*(raw!$E$2:$E$1473='2018-19_working'!$AC$6)*(raw!$F$2:$F$1473='2018-19_working'!AJ$7)*(raw!$G$2:$G$1473))</f>
        <v>0</v>
      </c>
    </row>
    <row r="37" spans="1:36" x14ac:dyDescent="0.35">
      <c r="A37" s="8" t="s">
        <v>44</v>
      </c>
      <c r="B37" s="8">
        <f>SUMPRODUCT((raw!$B$2:$B$1473='2018-19_working'!$A37)*(raw!$E$2:$E$1473='2018-19_working'!$B$6:$I$6)*(raw!$F$2:$F$1473='2018-19_working'!B$7)*(raw!$G$2:$G$1473))</f>
        <v>24</v>
      </c>
      <c r="C37" s="8">
        <f>SUMPRODUCT((raw!$B$2:$B$1473='2018-19_working'!$A37)*(raw!$E$2:$E$1473='2018-19_working'!$B$6:$I$6)*(raw!$F$2:$F$1473='2018-19_working'!C$7)*(raw!$G$2:$G$1473))</f>
        <v>1</v>
      </c>
      <c r="D37" s="8">
        <f>SUMPRODUCT((raw!$B$2:$B$1473='2018-19_working'!$A37)*(raw!$E$2:$E$1473='2018-19_working'!$B$6:$I$6)*(raw!$F$2:$F$1473='2018-19_working'!D$7)*(raw!$G$2:$G$1473))</f>
        <v>0</v>
      </c>
      <c r="E37" s="8">
        <f>SUMPRODUCT((raw!$B$2:$B$1473='2018-19_working'!$A37)*(raw!$E$2:$E$1473='2018-19_working'!$B$6:$I$6)*(raw!$F$2:$F$1473='2018-19_working'!E$7)*(raw!$G$2:$G$1473))</f>
        <v>0</v>
      </c>
      <c r="F37" s="8">
        <f>SUMPRODUCT((raw!$B$2:$B$1473='2018-19_working'!$A37)*(raw!$E$2:$E$1473='2018-19_working'!$B$6:$I$6)*(raw!$F$2:$F$1473='2018-19_working'!F$7)*(raw!$G$2:$G$1473))</f>
        <v>0</v>
      </c>
      <c r="G37" s="8">
        <f>SUMPRODUCT((raw!$B$2:$B$1473='2018-19_working'!$A37)*(raw!$E$2:$E$1473='2018-19_working'!$B$6:$I$6)*(raw!$F$2:$F$1473='2018-19_working'!G$7)*(raw!$G$2:$G$1473))</f>
        <v>0</v>
      </c>
      <c r="H37" s="8">
        <f>SUMPRODUCT((raw!$B$2:$B$1473='2018-19_working'!$A37)*(raw!$E$2:$E$1473='2018-19_working'!$B$6:$I$6)*(raw!$F$2:$F$1473='2018-19_working'!H$7)*(raw!$G$2:$G$1473))</f>
        <v>0</v>
      </c>
      <c r="I37" s="8">
        <f>SUMPRODUCT((raw!$B$2:$B$1473='2018-19_working'!$A37)*(raw!$E$2:$E$1473='2018-19_working'!$B$6:$I$6)*(raw!$F$2:$F$1473='2018-19_working'!I$7)*(raw!$G$2:$G$1473))</f>
        <v>5</v>
      </c>
      <c r="K37" s="8">
        <f>SUMPRODUCT((raw!$B$2:$B$1473='2018-19_working'!$A37)*(raw!$E$2:$E$1473='2018-19_working'!$K$6)*(raw!$F$2:$F$1473='2018-19_working'!K$7)*(raw!$G$2:$G$1473))</f>
        <v>41</v>
      </c>
      <c r="L37" s="8">
        <f>SUMPRODUCT((raw!$B$2:$B$1473='2018-19_working'!$A37)*(raw!$E$2:$E$1473='2018-19_working'!$K$6)*(raw!$F$2:$F$1473='2018-19_working'!L$7)*(raw!$G$2:$G$1473))</f>
        <v>0</v>
      </c>
      <c r="M37" s="8">
        <f>SUMPRODUCT((raw!$B$2:$B$1473='2018-19_working'!$A37)*(raw!$E$2:$E$1473='2018-19_working'!$K$6)*(raw!$F$2:$F$1473='2018-19_working'!M$7)*(raw!$G$2:$G$1473))</f>
        <v>0</v>
      </c>
      <c r="N37" s="8">
        <f>SUMPRODUCT((raw!$B$2:$B$1473='2018-19_working'!$A37)*(raw!$E$2:$E$1473='2018-19_working'!$K$6)*(raw!$F$2:$F$1473='2018-19_working'!N$7)*(raw!$G$2:$G$1473))</f>
        <v>0</v>
      </c>
      <c r="O37" s="8">
        <f>SUMPRODUCT((raw!$B$2:$B$1473='2018-19_working'!$A37)*(raw!$E$2:$E$1473='2018-19_working'!$K$6)*(raw!$F$2:$F$1473='2018-19_working'!O$7)*(raw!$G$2:$G$1473))</f>
        <v>0</v>
      </c>
      <c r="P37" s="8">
        <f>SUMPRODUCT((raw!$B$2:$B$1473='2018-19_working'!$A37)*(raw!$E$2:$E$1473='2018-19_working'!$K$6)*(raw!$F$2:$F$1473='2018-19_working'!P$7)*(raw!$G$2:$G$1473))</f>
        <v>0</v>
      </c>
      <c r="Q37" s="8">
        <f>SUMPRODUCT((raw!$B$2:$B$1473='2018-19_working'!$A37)*(raw!$E$2:$E$1473='2018-19_working'!$K$6)*(raw!$F$2:$F$1473='2018-19_working'!Q$7)*(raw!$G$2:$G$1473))</f>
        <v>0</v>
      </c>
      <c r="R37" s="8">
        <f>SUMPRODUCT((raw!$B$2:$B$1473='2018-19_working'!$A37)*(raw!$E$2:$E$1473='2018-19_working'!$K$6)*(raw!$F$2:$F$1473='2018-19_working'!R$7)*(raw!$G$2:$G$1473))</f>
        <v>0</v>
      </c>
      <c r="T37" s="8">
        <f>SUMPRODUCT((raw!$B$2:$B$1473='2018-19_working'!$A37)*(raw!$E$2:$E$1473='2018-19_working'!$T$6)*(raw!$F$2:$F$1473='2018-19_working'!T$7)*(raw!$G$2:$G$1473))</f>
        <v>4</v>
      </c>
      <c r="U37" s="8">
        <f>SUMPRODUCT((raw!$B$2:$B$1473='2018-19_working'!$A37)*(raw!$E$2:$E$1473='2018-19_working'!$T$6)*(raw!$F$2:$F$1473='2018-19_working'!U$7)*(raw!$G$2:$G$1473))</f>
        <v>0</v>
      </c>
      <c r="V37" s="8">
        <f>SUMPRODUCT((raw!$B$2:$B$1473='2018-19_working'!$A37)*(raw!$E$2:$E$1473='2018-19_working'!$T$6)*(raw!$F$2:$F$1473='2018-19_working'!V$7)*(raw!$G$2:$G$1473))</f>
        <v>0</v>
      </c>
      <c r="W37" s="8">
        <f>SUMPRODUCT((raw!$B$2:$B$1473='2018-19_working'!$A37)*(raw!$E$2:$E$1473='2018-19_working'!$T$6)*(raw!$F$2:$F$1473='2018-19_working'!W$7)*(raw!$G$2:$G$1473))</f>
        <v>0</v>
      </c>
      <c r="X37" s="8">
        <f>SUMPRODUCT((raw!$B$2:$B$1473='2018-19_working'!$A37)*(raw!$E$2:$E$1473='2018-19_working'!$T$6)*(raw!$F$2:$F$1473='2018-19_working'!X$7)*(raw!$G$2:$G$1473))</f>
        <v>0</v>
      </c>
      <c r="Y37" s="8">
        <f>SUMPRODUCT((raw!$B$2:$B$1473='2018-19_working'!$A37)*(raw!$E$2:$E$1473='2018-19_working'!$T$6)*(raw!$F$2:$F$1473='2018-19_working'!Y$7)*(raw!$G$2:$G$1473))</f>
        <v>0</v>
      </c>
      <c r="Z37" s="8">
        <f>SUMPRODUCT((raw!$B$2:$B$1473='2018-19_working'!$A37)*(raw!$E$2:$E$1473='2018-19_working'!$T$6)*(raw!$F$2:$F$1473='2018-19_working'!Z$7)*(raw!$G$2:$G$1473))</f>
        <v>0</v>
      </c>
      <c r="AA37" s="8">
        <f>SUMPRODUCT((raw!$B$2:$B$1473='2018-19_working'!$A37)*(raw!$E$2:$E$1473='2018-19_working'!$T$6)*(raw!$F$2:$F$1473='2018-19_working'!AA$7)*(raw!$G$2:$G$1473))</f>
        <v>0</v>
      </c>
      <c r="AC37" s="8">
        <f>SUMPRODUCT((raw!$B$2:$B$1473='2018-19_working'!$A37)*(raw!$E$2:$E$1473='2018-19_working'!$AC$6)*(raw!$F$2:$F$1473='2018-19_working'!AC$7)*(raw!$G$2:$G$1473))</f>
        <v>18</v>
      </c>
      <c r="AD37" s="8">
        <f>SUMPRODUCT((raw!$B$2:$B$1473='2018-19_working'!$A37)*(raw!$E$2:$E$1473='2018-19_working'!$AC$6)*(raw!$F$2:$F$1473='2018-19_working'!AD$7)*(raw!$G$2:$G$1473))</f>
        <v>0</v>
      </c>
      <c r="AE37" s="8">
        <f>SUMPRODUCT((raw!$B$2:$B$1473='2018-19_working'!$A37)*(raw!$E$2:$E$1473='2018-19_working'!$AC$6)*(raw!$F$2:$F$1473='2018-19_working'!AE$7)*(raw!$G$2:$G$1473))</f>
        <v>0</v>
      </c>
      <c r="AF37" s="8">
        <f>SUMPRODUCT((raw!$B$2:$B$1473='2018-19_working'!$A37)*(raw!$E$2:$E$1473='2018-19_working'!$AC$6)*(raw!$F$2:$F$1473='2018-19_working'!AF$7)*(raw!$G$2:$G$1473))</f>
        <v>0</v>
      </c>
      <c r="AG37" s="8">
        <f>SUMPRODUCT((raw!$B$2:$B$1473='2018-19_working'!$A37)*(raw!$E$2:$E$1473='2018-19_working'!$AC$6)*(raw!$F$2:$F$1473='2018-19_working'!AG$7)*(raw!$G$2:$G$1473))</f>
        <v>0</v>
      </c>
      <c r="AH37" s="8">
        <f>SUMPRODUCT((raw!$B$2:$B$1473='2018-19_working'!$A37)*(raw!$E$2:$E$1473='2018-19_working'!$AC$6)*(raw!$F$2:$F$1473='2018-19_working'!AH$7)*(raw!$G$2:$G$1473))</f>
        <v>0</v>
      </c>
      <c r="AI37" s="8">
        <f>SUMPRODUCT((raw!$B$2:$B$1473='2018-19_working'!$A37)*(raw!$E$2:$E$1473='2018-19_working'!$AC$6)*(raw!$F$2:$F$1473='2018-19_working'!AI$7)*(raw!$G$2:$G$1473))</f>
        <v>0</v>
      </c>
      <c r="AJ37" s="8">
        <f>SUMPRODUCT((raw!$B$2:$B$1473='2018-19_working'!$A37)*(raw!$E$2:$E$1473='2018-19_working'!$AC$6)*(raw!$F$2:$F$1473='2018-19_working'!AJ$7)*(raw!$G$2:$G$1473))</f>
        <v>0</v>
      </c>
    </row>
    <row r="38" spans="1:36" x14ac:dyDescent="0.35">
      <c r="A38" s="8" t="s">
        <v>45</v>
      </c>
      <c r="B38" s="8">
        <f>SUMPRODUCT((raw!$B$2:$B$1473='2018-19_working'!$A38)*(raw!$E$2:$E$1473='2018-19_working'!$B$6:$I$6)*(raw!$F$2:$F$1473='2018-19_working'!B$7)*(raw!$G$2:$G$1473))</f>
        <v>1</v>
      </c>
      <c r="C38" s="8">
        <f>SUMPRODUCT((raw!$B$2:$B$1473='2018-19_working'!$A38)*(raw!$E$2:$E$1473='2018-19_working'!$B$6:$I$6)*(raw!$F$2:$F$1473='2018-19_working'!C$7)*(raw!$G$2:$G$1473))</f>
        <v>0</v>
      </c>
      <c r="D38" s="8">
        <f>SUMPRODUCT((raw!$B$2:$B$1473='2018-19_working'!$A38)*(raw!$E$2:$E$1473='2018-19_working'!$B$6:$I$6)*(raw!$F$2:$F$1473='2018-19_working'!D$7)*(raw!$G$2:$G$1473))</f>
        <v>0</v>
      </c>
      <c r="E38" s="8">
        <f>SUMPRODUCT((raw!$B$2:$B$1473='2018-19_working'!$A38)*(raw!$E$2:$E$1473='2018-19_working'!$B$6:$I$6)*(raw!$F$2:$F$1473='2018-19_working'!E$7)*(raw!$G$2:$G$1473))</f>
        <v>0</v>
      </c>
      <c r="F38" s="8">
        <f>SUMPRODUCT((raw!$B$2:$B$1473='2018-19_working'!$A38)*(raw!$E$2:$E$1473='2018-19_working'!$B$6:$I$6)*(raw!$F$2:$F$1473='2018-19_working'!F$7)*(raw!$G$2:$G$1473))</f>
        <v>0</v>
      </c>
      <c r="G38" s="8">
        <f>SUMPRODUCT((raw!$B$2:$B$1473='2018-19_working'!$A38)*(raw!$E$2:$E$1473='2018-19_working'!$B$6:$I$6)*(raw!$F$2:$F$1473='2018-19_working'!G$7)*(raw!$G$2:$G$1473))</f>
        <v>0</v>
      </c>
      <c r="H38" s="8">
        <f>SUMPRODUCT((raw!$B$2:$B$1473='2018-19_working'!$A38)*(raw!$E$2:$E$1473='2018-19_working'!$B$6:$I$6)*(raw!$F$2:$F$1473='2018-19_working'!H$7)*(raw!$G$2:$G$1473))</f>
        <v>0</v>
      </c>
      <c r="I38" s="8">
        <f>SUMPRODUCT((raw!$B$2:$B$1473='2018-19_working'!$A38)*(raw!$E$2:$E$1473='2018-19_working'!$B$6:$I$6)*(raw!$F$2:$F$1473='2018-19_working'!I$7)*(raw!$G$2:$G$1473))</f>
        <v>8</v>
      </c>
      <c r="K38" s="8">
        <f>SUMPRODUCT((raw!$B$2:$B$1473='2018-19_working'!$A38)*(raw!$E$2:$E$1473='2018-19_working'!$K$6)*(raw!$F$2:$F$1473='2018-19_working'!K$7)*(raw!$G$2:$G$1473))</f>
        <v>0</v>
      </c>
      <c r="L38" s="8">
        <f>SUMPRODUCT((raw!$B$2:$B$1473='2018-19_working'!$A38)*(raw!$E$2:$E$1473='2018-19_working'!$K$6)*(raw!$F$2:$F$1473='2018-19_working'!L$7)*(raw!$G$2:$G$1473))</f>
        <v>0</v>
      </c>
      <c r="M38" s="8">
        <f>SUMPRODUCT((raw!$B$2:$B$1473='2018-19_working'!$A38)*(raw!$E$2:$E$1473='2018-19_working'!$K$6)*(raw!$F$2:$F$1473='2018-19_working'!M$7)*(raw!$G$2:$G$1473))</f>
        <v>0</v>
      </c>
      <c r="N38" s="8">
        <f>SUMPRODUCT((raw!$B$2:$B$1473='2018-19_working'!$A38)*(raw!$E$2:$E$1473='2018-19_working'!$K$6)*(raw!$F$2:$F$1473='2018-19_working'!N$7)*(raw!$G$2:$G$1473))</f>
        <v>0</v>
      </c>
      <c r="O38" s="8">
        <f>SUMPRODUCT((raw!$B$2:$B$1473='2018-19_working'!$A38)*(raw!$E$2:$E$1473='2018-19_working'!$K$6)*(raw!$F$2:$F$1473='2018-19_working'!O$7)*(raw!$G$2:$G$1473))</f>
        <v>0</v>
      </c>
      <c r="P38" s="8">
        <f>SUMPRODUCT((raw!$B$2:$B$1473='2018-19_working'!$A38)*(raw!$E$2:$E$1473='2018-19_working'!$K$6)*(raw!$F$2:$F$1473='2018-19_working'!P$7)*(raw!$G$2:$G$1473))</f>
        <v>0</v>
      </c>
      <c r="Q38" s="8">
        <f>SUMPRODUCT((raw!$B$2:$B$1473='2018-19_working'!$A38)*(raw!$E$2:$E$1473='2018-19_working'!$K$6)*(raw!$F$2:$F$1473='2018-19_working'!Q$7)*(raw!$G$2:$G$1473))</f>
        <v>0</v>
      </c>
      <c r="R38" s="8">
        <f>SUMPRODUCT((raw!$B$2:$B$1473='2018-19_working'!$A38)*(raw!$E$2:$E$1473='2018-19_working'!$K$6)*(raw!$F$2:$F$1473='2018-19_working'!R$7)*(raw!$G$2:$G$1473))</f>
        <v>48</v>
      </c>
      <c r="T38" s="8">
        <f>SUMPRODUCT((raw!$B$2:$B$1473='2018-19_working'!$A38)*(raw!$E$2:$E$1473='2018-19_working'!$T$6)*(raw!$F$2:$F$1473='2018-19_working'!T$7)*(raw!$G$2:$G$1473))</f>
        <v>3</v>
      </c>
      <c r="U38" s="8">
        <f>SUMPRODUCT((raw!$B$2:$B$1473='2018-19_working'!$A38)*(raw!$E$2:$E$1473='2018-19_working'!$T$6)*(raw!$F$2:$F$1473='2018-19_working'!U$7)*(raw!$G$2:$G$1473))</f>
        <v>0</v>
      </c>
      <c r="V38" s="8">
        <f>SUMPRODUCT((raw!$B$2:$B$1473='2018-19_working'!$A38)*(raw!$E$2:$E$1473='2018-19_working'!$T$6)*(raw!$F$2:$F$1473='2018-19_working'!V$7)*(raw!$G$2:$G$1473))</f>
        <v>0</v>
      </c>
      <c r="W38" s="8">
        <f>SUMPRODUCT((raw!$B$2:$B$1473='2018-19_working'!$A38)*(raw!$E$2:$E$1473='2018-19_working'!$T$6)*(raw!$F$2:$F$1473='2018-19_working'!W$7)*(raw!$G$2:$G$1473))</f>
        <v>0</v>
      </c>
      <c r="X38" s="8">
        <f>SUMPRODUCT((raw!$B$2:$B$1473='2018-19_working'!$A38)*(raw!$E$2:$E$1473='2018-19_working'!$T$6)*(raw!$F$2:$F$1473='2018-19_working'!X$7)*(raw!$G$2:$G$1473))</f>
        <v>0</v>
      </c>
      <c r="Y38" s="8">
        <f>SUMPRODUCT((raw!$B$2:$B$1473='2018-19_working'!$A38)*(raw!$E$2:$E$1473='2018-19_working'!$T$6)*(raw!$F$2:$F$1473='2018-19_working'!Y$7)*(raw!$G$2:$G$1473))</f>
        <v>0</v>
      </c>
      <c r="Z38" s="8">
        <f>SUMPRODUCT((raw!$B$2:$B$1473='2018-19_working'!$A38)*(raw!$E$2:$E$1473='2018-19_working'!$T$6)*(raw!$F$2:$F$1473='2018-19_working'!Z$7)*(raw!$G$2:$G$1473))</f>
        <v>0</v>
      </c>
      <c r="AA38" s="8">
        <f>SUMPRODUCT((raw!$B$2:$B$1473='2018-19_working'!$A38)*(raw!$E$2:$E$1473='2018-19_working'!$T$6)*(raw!$F$2:$F$1473='2018-19_working'!AA$7)*(raw!$G$2:$G$1473))</f>
        <v>1</v>
      </c>
      <c r="AC38" s="8">
        <f>SUMPRODUCT((raw!$B$2:$B$1473='2018-19_working'!$A38)*(raw!$E$2:$E$1473='2018-19_working'!$AC$6)*(raw!$F$2:$F$1473='2018-19_working'!AC$7)*(raw!$G$2:$G$1473))</f>
        <v>3</v>
      </c>
      <c r="AD38" s="8">
        <f>SUMPRODUCT((raw!$B$2:$B$1473='2018-19_working'!$A38)*(raw!$E$2:$E$1473='2018-19_working'!$AC$6)*(raw!$F$2:$F$1473='2018-19_working'!AD$7)*(raw!$G$2:$G$1473))</f>
        <v>0</v>
      </c>
      <c r="AE38" s="8">
        <f>SUMPRODUCT((raw!$B$2:$B$1473='2018-19_working'!$A38)*(raw!$E$2:$E$1473='2018-19_working'!$AC$6)*(raw!$F$2:$F$1473='2018-19_working'!AE$7)*(raw!$G$2:$G$1473))</f>
        <v>0</v>
      </c>
      <c r="AF38" s="8">
        <f>SUMPRODUCT((raw!$B$2:$B$1473='2018-19_working'!$A38)*(raw!$E$2:$E$1473='2018-19_working'!$AC$6)*(raw!$F$2:$F$1473='2018-19_working'!AF$7)*(raw!$G$2:$G$1473))</f>
        <v>0</v>
      </c>
      <c r="AG38" s="8">
        <f>SUMPRODUCT((raw!$B$2:$B$1473='2018-19_working'!$A38)*(raw!$E$2:$E$1473='2018-19_working'!$AC$6)*(raw!$F$2:$F$1473='2018-19_working'!AG$7)*(raw!$G$2:$G$1473))</f>
        <v>0</v>
      </c>
      <c r="AH38" s="8">
        <f>SUMPRODUCT((raw!$B$2:$B$1473='2018-19_working'!$A38)*(raw!$E$2:$E$1473='2018-19_working'!$AC$6)*(raw!$F$2:$F$1473='2018-19_working'!AH$7)*(raw!$G$2:$G$1473))</f>
        <v>0</v>
      </c>
      <c r="AI38" s="8">
        <f>SUMPRODUCT((raw!$B$2:$B$1473='2018-19_working'!$A38)*(raw!$E$2:$E$1473='2018-19_working'!$AC$6)*(raw!$F$2:$F$1473='2018-19_working'!AI$7)*(raw!$G$2:$G$1473))</f>
        <v>0</v>
      </c>
      <c r="AJ38" s="8">
        <f>SUMPRODUCT((raw!$B$2:$B$1473='2018-19_working'!$A38)*(raw!$E$2:$E$1473='2018-19_working'!$AC$6)*(raw!$F$2:$F$1473='2018-19_working'!AJ$7)*(raw!$G$2:$G$1473))</f>
        <v>6</v>
      </c>
    </row>
    <row r="39" spans="1:36" x14ac:dyDescent="0.35">
      <c r="A39" s="8" t="s">
        <v>46</v>
      </c>
      <c r="B39" s="8">
        <f>SUMPRODUCT((raw!$B$2:$B$1473='2018-19_working'!$A39)*(raw!$E$2:$E$1473='2018-19_working'!$B$6:$I$6)*(raw!$F$2:$F$1473='2018-19_working'!B$7)*(raw!$G$2:$G$1473))</f>
        <v>9</v>
      </c>
      <c r="C39" s="8">
        <f>SUMPRODUCT((raw!$B$2:$B$1473='2018-19_working'!$A39)*(raw!$E$2:$E$1473='2018-19_working'!$B$6:$I$6)*(raw!$F$2:$F$1473='2018-19_working'!C$7)*(raw!$G$2:$G$1473))</f>
        <v>0</v>
      </c>
      <c r="D39" s="8">
        <f>SUMPRODUCT((raw!$B$2:$B$1473='2018-19_working'!$A39)*(raw!$E$2:$E$1473='2018-19_working'!$B$6:$I$6)*(raw!$F$2:$F$1473='2018-19_working'!D$7)*(raw!$G$2:$G$1473))</f>
        <v>0</v>
      </c>
      <c r="E39" s="8">
        <f>SUMPRODUCT((raw!$B$2:$B$1473='2018-19_working'!$A39)*(raw!$E$2:$E$1473='2018-19_working'!$B$6:$I$6)*(raw!$F$2:$F$1473='2018-19_working'!E$7)*(raw!$G$2:$G$1473))</f>
        <v>0</v>
      </c>
      <c r="F39" s="8">
        <f>SUMPRODUCT((raw!$B$2:$B$1473='2018-19_working'!$A39)*(raw!$E$2:$E$1473='2018-19_working'!$B$6:$I$6)*(raw!$F$2:$F$1473='2018-19_working'!F$7)*(raw!$G$2:$G$1473))</f>
        <v>0</v>
      </c>
      <c r="G39" s="8">
        <f>SUMPRODUCT((raw!$B$2:$B$1473='2018-19_working'!$A39)*(raw!$E$2:$E$1473='2018-19_working'!$B$6:$I$6)*(raw!$F$2:$F$1473='2018-19_working'!G$7)*(raw!$G$2:$G$1473))</f>
        <v>0</v>
      </c>
      <c r="H39" s="8">
        <f>SUMPRODUCT((raw!$B$2:$B$1473='2018-19_working'!$A39)*(raw!$E$2:$E$1473='2018-19_working'!$B$6:$I$6)*(raw!$F$2:$F$1473='2018-19_working'!H$7)*(raw!$G$2:$G$1473))</f>
        <v>0</v>
      </c>
      <c r="I39" s="8">
        <f>SUMPRODUCT((raw!$B$2:$B$1473='2018-19_working'!$A39)*(raw!$E$2:$E$1473='2018-19_working'!$B$6:$I$6)*(raw!$F$2:$F$1473='2018-19_working'!I$7)*(raw!$G$2:$G$1473))</f>
        <v>0</v>
      </c>
      <c r="K39" s="8">
        <f>SUMPRODUCT((raw!$B$2:$B$1473='2018-19_working'!$A39)*(raw!$E$2:$E$1473='2018-19_working'!$K$6)*(raw!$F$2:$F$1473='2018-19_working'!K$7)*(raw!$G$2:$G$1473))</f>
        <v>16</v>
      </c>
      <c r="L39" s="8">
        <f>SUMPRODUCT((raw!$B$2:$B$1473='2018-19_working'!$A39)*(raw!$E$2:$E$1473='2018-19_working'!$K$6)*(raw!$F$2:$F$1473='2018-19_working'!L$7)*(raw!$G$2:$G$1473))</f>
        <v>1</v>
      </c>
      <c r="M39" s="8">
        <f>SUMPRODUCT((raw!$B$2:$B$1473='2018-19_working'!$A39)*(raw!$E$2:$E$1473='2018-19_working'!$K$6)*(raw!$F$2:$F$1473='2018-19_working'!M$7)*(raw!$G$2:$G$1473))</f>
        <v>0</v>
      </c>
      <c r="N39" s="8">
        <f>SUMPRODUCT((raw!$B$2:$B$1473='2018-19_working'!$A39)*(raw!$E$2:$E$1473='2018-19_working'!$K$6)*(raw!$F$2:$F$1473='2018-19_working'!N$7)*(raw!$G$2:$G$1473))</f>
        <v>0</v>
      </c>
      <c r="O39" s="8">
        <f>SUMPRODUCT((raw!$B$2:$B$1473='2018-19_working'!$A39)*(raw!$E$2:$E$1473='2018-19_working'!$K$6)*(raw!$F$2:$F$1473='2018-19_working'!O$7)*(raw!$G$2:$G$1473))</f>
        <v>0</v>
      </c>
      <c r="P39" s="8">
        <f>SUMPRODUCT((raw!$B$2:$B$1473='2018-19_working'!$A39)*(raw!$E$2:$E$1473='2018-19_working'!$K$6)*(raw!$F$2:$F$1473='2018-19_working'!P$7)*(raw!$G$2:$G$1473))</f>
        <v>0</v>
      </c>
      <c r="Q39" s="8">
        <f>SUMPRODUCT((raw!$B$2:$B$1473='2018-19_working'!$A39)*(raw!$E$2:$E$1473='2018-19_working'!$K$6)*(raw!$F$2:$F$1473='2018-19_working'!Q$7)*(raw!$G$2:$G$1473))</f>
        <v>0</v>
      </c>
      <c r="R39" s="8">
        <f>SUMPRODUCT((raw!$B$2:$B$1473='2018-19_working'!$A39)*(raw!$E$2:$E$1473='2018-19_working'!$K$6)*(raw!$F$2:$F$1473='2018-19_working'!R$7)*(raw!$G$2:$G$1473))</f>
        <v>2</v>
      </c>
      <c r="T39" s="8">
        <f>SUMPRODUCT((raw!$B$2:$B$1473='2018-19_working'!$A39)*(raw!$E$2:$E$1473='2018-19_working'!$T$6)*(raw!$F$2:$F$1473='2018-19_working'!T$7)*(raw!$G$2:$G$1473))</f>
        <v>0</v>
      </c>
      <c r="U39" s="8">
        <f>SUMPRODUCT((raw!$B$2:$B$1473='2018-19_working'!$A39)*(raw!$E$2:$E$1473='2018-19_working'!$T$6)*(raw!$F$2:$F$1473='2018-19_working'!U$7)*(raw!$G$2:$G$1473))</f>
        <v>0</v>
      </c>
      <c r="V39" s="8">
        <f>SUMPRODUCT((raw!$B$2:$B$1473='2018-19_working'!$A39)*(raw!$E$2:$E$1473='2018-19_working'!$T$6)*(raw!$F$2:$F$1473='2018-19_working'!V$7)*(raw!$G$2:$G$1473))</f>
        <v>0</v>
      </c>
      <c r="W39" s="8">
        <f>SUMPRODUCT((raw!$B$2:$B$1473='2018-19_working'!$A39)*(raw!$E$2:$E$1473='2018-19_working'!$T$6)*(raw!$F$2:$F$1473='2018-19_working'!W$7)*(raw!$G$2:$G$1473))</f>
        <v>0</v>
      </c>
      <c r="X39" s="8">
        <f>SUMPRODUCT((raw!$B$2:$B$1473='2018-19_working'!$A39)*(raw!$E$2:$E$1473='2018-19_working'!$T$6)*(raw!$F$2:$F$1473='2018-19_working'!X$7)*(raw!$G$2:$G$1473))</f>
        <v>0</v>
      </c>
      <c r="Y39" s="8">
        <f>SUMPRODUCT((raw!$B$2:$B$1473='2018-19_working'!$A39)*(raw!$E$2:$E$1473='2018-19_working'!$T$6)*(raw!$F$2:$F$1473='2018-19_working'!Y$7)*(raw!$G$2:$G$1473))</f>
        <v>0</v>
      </c>
      <c r="Z39" s="8">
        <f>SUMPRODUCT((raw!$B$2:$B$1473='2018-19_working'!$A39)*(raw!$E$2:$E$1473='2018-19_working'!$T$6)*(raw!$F$2:$F$1473='2018-19_working'!Z$7)*(raw!$G$2:$G$1473))</f>
        <v>0</v>
      </c>
      <c r="AA39" s="8">
        <f>SUMPRODUCT((raw!$B$2:$B$1473='2018-19_working'!$A39)*(raw!$E$2:$E$1473='2018-19_working'!$T$6)*(raw!$F$2:$F$1473='2018-19_working'!AA$7)*(raw!$G$2:$G$1473))</f>
        <v>0</v>
      </c>
      <c r="AC39" s="8">
        <f>SUMPRODUCT((raw!$B$2:$B$1473='2018-19_working'!$A39)*(raw!$E$2:$E$1473='2018-19_working'!$AC$6)*(raw!$F$2:$F$1473='2018-19_working'!AC$7)*(raw!$G$2:$G$1473))</f>
        <v>1</v>
      </c>
      <c r="AD39" s="8">
        <f>SUMPRODUCT((raw!$B$2:$B$1473='2018-19_working'!$A39)*(raw!$E$2:$E$1473='2018-19_working'!$AC$6)*(raw!$F$2:$F$1473='2018-19_working'!AD$7)*(raw!$G$2:$G$1473))</f>
        <v>0</v>
      </c>
      <c r="AE39" s="8">
        <f>SUMPRODUCT((raw!$B$2:$B$1473='2018-19_working'!$A39)*(raw!$E$2:$E$1473='2018-19_working'!$AC$6)*(raw!$F$2:$F$1473='2018-19_working'!AE$7)*(raw!$G$2:$G$1473))</f>
        <v>0</v>
      </c>
      <c r="AF39" s="8">
        <f>SUMPRODUCT((raw!$B$2:$B$1473='2018-19_working'!$A39)*(raw!$E$2:$E$1473='2018-19_working'!$AC$6)*(raw!$F$2:$F$1473='2018-19_working'!AF$7)*(raw!$G$2:$G$1473))</f>
        <v>0</v>
      </c>
      <c r="AG39" s="8">
        <f>SUMPRODUCT((raw!$B$2:$B$1473='2018-19_working'!$A39)*(raw!$E$2:$E$1473='2018-19_working'!$AC$6)*(raw!$F$2:$F$1473='2018-19_working'!AG$7)*(raw!$G$2:$G$1473))</f>
        <v>0</v>
      </c>
      <c r="AH39" s="8">
        <f>SUMPRODUCT((raw!$B$2:$B$1473='2018-19_working'!$A39)*(raw!$E$2:$E$1473='2018-19_working'!$AC$6)*(raw!$F$2:$F$1473='2018-19_working'!AH$7)*(raw!$G$2:$G$1473))</f>
        <v>0</v>
      </c>
      <c r="AI39" s="8">
        <f>SUMPRODUCT((raw!$B$2:$B$1473='2018-19_working'!$A39)*(raw!$E$2:$E$1473='2018-19_working'!$AC$6)*(raw!$F$2:$F$1473='2018-19_working'!AI$7)*(raw!$G$2:$G$1473))</f>
        <v>0</v>
      </c>
      <c r="AJ39" s="8">
        <f>SUMPRODUCT((raw!$B$2:$B$1473='2018-19_working'!$A39)*(raw!$E$2:$E$1473='2018-19_working'!$AC$6)*(raw!$F$2:$F$1473='2018-19_working'!AJ$7)*(raw!$G$2:$G$1473))</f>
        <v>0</v>
      </c>
    </row>
    <row r="40" spans="1:36" x14ac:dyDescent="0.35">
      <c r="A40" s="8" t="s">
        <v>47</v>
      </c>
      <c r="B40" s="8">
        <f>SUMPRODUCT((raw!$B$2:$B$1473='2018-19_working'!$A40)*(raw!$E$2:$E$1473='2018-19_working'!$B$6:$I$6)*(raw!$F$2:$F$1473='2018-19_working'!B$7)*(raw!$G$2:$G$1473))</f>
        <v>24</v>
      </c>
      <c r="C40" s="8">
        <f>SUMPRODUCT((raw!$B$2:$B$1473='2018-19_working'!$A40)*(raw!$E$2:$E$1473='2018-19_working'!$B$6:$I$6)*(raw!$F$2:$F$1473='2018-19_working'!C$7)*(raw!$G$2:$G$1473))</f>
        <v>0</v>
      </c>
      <c r="D40" s="8">
        <f>SUMPRODUCT((raw!$B$2:$B$1473='2018-19_working'!$A40)*(raw!$E$2:$E$1473='2018-19_working'!$B$6:$I$6)*(raw!$F$2:$F$1473='2018-19_working'!D$7)*(raw!$G$2:$G$1473))</f>
        <v>5</v>
      </c>
      <c r="E40" s="8">
        <f>SUMPRODUCT((raw!$B$2:$B$1473='2018-19_working'!$A40)*(raw!$E$2:$E$1473='2018-19_working'!$B$6:$I$6)*(raw!$F$2:$F$1473='2018-19_working'!E$7)*(raw!$G$2:$G$1473))</f>
        <v>1</v>
      </c>
      <c r="F40" s="8">
        <f>SUMPRODUCT((raw!$B$2:$B$1473='2018-19_working'!$A40)*(raw!$E$2:$E$1473='2018-19_working'!$B$6:$I$6)*(raw!$F$2:$F$1473='2018-19_working'!F$7)*(raw!$G$2:$G$1473))</f>
        <v>0</v>
      </c>
      <c r="G40" s="8">
        <f>SUMPRODUCT((raw!$B$2:$B$1473='2018-19_working'!$A40)*(raw!$E$2:$E$1473='2018-19_working'!$B$6:$I$6)*(raw!$F$2:$F$1473='2018-19_working'!G$7)*(raw!$G$2:$G$1473))</f>
        <v>0</v>
      </c>
      <c r="H40" s="8">
        <f>SUMPRODUCT((raw!$B$2:$B$1473='2018-19_working'!$A40)*(raw!$E$2:$E$1473='2018-19_working'!$B$6:$I$6)*(raw!$F$2:$F$1473='2018-19_working'!H$7)*(raw!$G$2:$G$1473))</f>
        <v>0</v>
      </c>
      <c r="I40" s="8">
        <f>SUMPRODUCT((raw!$B$2:$B$1473='2018-19_working'!$A40)*(raw!$E$2:$E$1473='2018-19_working'!$B$6:$I$6)*(raw!$F$2:$F$1473='2018-19_working'!I$7)*(raw!$G$2:$G$1473))</f>
        <v>0</v>
      </c>
      <c r="K40" s="8">
        <f>SUMPRODUCT((raw!$B$2:$B$1473='2018-19_working'!$A40)*(raw!$E$2:$E$1473='2018-19_working'!$K$6)*(raw!$F$2:$F$1473='2018-19_working'!K$7)*(raw!$G$2:$G$1473))</f>
        <v>25</v>
      </c>
      <c r="L40" s="8">
        <f>SUMPRODUCT((raw!$B$2:$B$1473='2018-19_working'!$A40)*(raw!$E$2:$E$1473='2018-19_working'!$K$6)*(raw!$F$2:$F$1473='2018-19_working'!L$7)*(raw!$G$2:$G$1473))</f>
        <v>0</v>
      </c>
      <c r="M40" s="8">
        <f>SUMPRODUCT((raw!$B$2:$B$1473='2018-19_working'!$A40)*(raw!$E$2:$E$1473='2018-19_working'!$K$6)*(raw!$F$2:$F$1473='2018-19_working'!M$7)*(raw!$G$2:$G$1473))</f>
        <v>0</v>
      </c>
      <c r="N40" s="8">
        <f>SUMPRODUCT((raw!$B$2:$B$1473='2018-19_working'!$A40)*(raw!$E$2:$E$1473='2018-19_working'!$K$6)*(raw!$F$2:$F$1473='2018-19_working'!N$7)*(raw!$G$2:$G$1473))</f>
        <v>0</v>
      </c>
      <c r="O40" s="8">
        <f>SUMPRODUCT((raw!$B$2:$B$1473='2018-19_working'!$A40)*(raw!$E$2:$E$1473='2018-19_working'!$K$6)*(raw!$F$2:$F$1473='2018-19_working'!O$7)*(raw!$G$2:$G$1473))</f>
        <v>0</v>
      </c>
      <c r="P40" s="8">
        <f>SUMPRODUCT((raw!$B$2:$B$1473='2018-19_working'!$A40)*(raw!$E$2:$E$1473='2018-19_working'!$K$6)*(raw!$F$2:$F$1473='2018-19_working'!P$7)*(raw!$G$2:$G$1473))</f>
        <v>0</v>
      </c>
      <c r="Q40" s="8">
        <f>SUMPRODUCT((raw!$B$2:$B$1473='2018-19_working'!$A40)*(raw!$E$2:$E$1473='2018-19_working'!$K$6)*(raw!$F$2:$F$1473='2018-19_working'!Q$7)*(raw!$G$2:$G$1473))</f>
        <v>0</v>
      </c>
      <c r="R40" s="8">
        <f>SUMPRODUCT((raw!$B$2:$B$1473='2018-19_working'!$A40)*(raw!$E$2:$E$1473='2018-19_working'!$K$6)*(raw!$F$2:$F$1473='2018-19_working'!R$7)*(raw!$G$2:$G$1473))</f>
        <v>0</v>
      </c>
      <c r="T40" s="8">
        <f>SUMPRODUCT((raw!$B$2:$B$1473='2018-19_working'!$A40)*(raw!$E$2:$E$1473='2018-19_working'!$T$6)*(raw!$F$2:$F$1473='2018-19_working'!T$7)*(raw!$G$2:$G$1473))</f>
        <v>0</v>
      </c>
      <c r="U40" s="8">
        <f>SUMPRODUCT((raw!$B$2:$B$1473='2018-19_working'!$A40)*(raw!$E$2:$E$1473='2018-19_working'!$T$6)*(raw!$F$2:$F$1473='2018-19_working'!U$7)*(raw!$G$2:$G$1473))</f>
        <v>0</v>
      </c>
      <c r="V40" s="8">
        <f>SUMPRODUCT((raw!$B$2:$B$1473='2018-19_working'!$A40)*(raw!$E$2:$E$1473='2018-19_working'!$T$6)*(raw!$F$2:$F$1473='2018-19_working'!V$7)*(raw!$G$2:$G$1473))</f>
        <v>0</v>
      </c>
      <c r="W40" s="8">
        <f>SUMPRODUCT((raw!$B$2:$B$1473='2018-19_working'!$A40)*(raw!$E$2:$E$1473='2018-19_working'!$T$6)*(raw!$F$2:$F$1473='2018-19_working'!W$7)*(raw!$G$2:$G$1473))</f>
        <v>0</v>
      </c>
      <c r="X40" s="8">
        <f>SUMPRODUCT((raw!$B$2:$B$1473='2018-19_working'!$A40)*(raw!$E$2:$E$1473='2018-19_working'!$T$6)*(raw!$F$2:$F$1473='2018-19_working'!X$7)*(raw!$G$2:$G$1473))</f>
        <v>0</v>
      </c>
      <c r="Y40" s="8">
        <f>SUMPRODUCT((raw!$B$2:$B$1473='2018-19_working'!$A40)*(raw!$E$2:$E$1473='2018-19_working'!$T$6)*(raw!$F$2:$F$1473='2018-19_working'!Y$7)*(raw!$G$2:$G$1473))</f>
        <v>0</v>
      </c>
      <c r="Z40" s="8">
        <f>SUMPRODUCT((raw!$B$2:$B$1473='2018-19_working'!$A40)*(raw!$E$2:$E$1473='2018-19_working'!$T$6)*(raw!$F$2:$F$1473='2018-19_working'!Z$7)*(raw!$G$2:$G$1473))</f>
        <v>0</v>
      </c>
      <c r="AA40" s="8">
        <f>SUMPRODUCT((raw!$B$2:$B$1473='2018-19_working'!$A40)*(raw!$E$2:$E$1473='2018-19_working'!$T$6)*(raw!$F$2:$F$1473='2018-19_working'!AA$7)*(raw!$G$2:$G$1473))</f>
        <v>0</v>
      </c>
      <c r="AC40" s="8">
        <f>SUMPRODUCT((raw!$B$2:$B$1473='2018-19_working'!$A40)*(raw!$E$2:$E$1473='2018-19_working'!$AC$6)*(raw!$F$2:$F$1473='2018-19_working'!AC$7)*(raw!$G$2:$G$1473))</f>
        <v>3</v>
      </c>
      <c r="AD40" s="8">
        <f>SUMPRODUCT((raw!$B$2:$B$1473='2018-19_working'!$A40)*(raw!$E$2:$E$1473='2018-19_working'!$AC$6)*(raw!$F$2:$F$1473='2018-19_working'!AD$7)*(raw!$G$2:$G$1473))</f>
        <v>0</v>
      </c>
      <c r="AE40" s="8">
        <f>SUMPRODUCT((raw!$B$2:$B$1473='2018-19_working'!$A40)*(raw!$E$2:$E$1473='2018-19_working'!$AC$6)*(raw!$F$2:$F$1473='2018-19_working'!AE$7)*(raw!$G$2:$G$1473))</f>
        <v>0</v>
      </c>
      <c r="AF40" s="8">
        <f>SUMPRODUCT((raw!$B$2:$B$1473='2018-19_working'!$A40)*(raw!$E$2:$E$1473='2018-19_working'!$AC$6)*(raw!$F$2:$F$1473='2018-19_working'!AF$7)*(raw!$G$2:$G$1473))</f>
        <v>0</v>
      </c>
      <c r="AG40" s="8">
        <f>SUMPRODUCT((raw!$B$2:$B$1473='2018-19_working'!$A40)*(raw!$E$2:$E$1473='2018-19_working'!$AC$6)*(raw!$F$2:$F$1473='2018-19_working'!AG$7)*(raw!$G$2:$G$1473))</f>
        <v>1</v>
      </c>
      <c r="AH40" s="8">
        <f>SUMPRODUCT((raw!$B$2:$B$1473='2018-19_working'!$A40)*(raw!$E$2:$E$1473='2018-19_working'!$AC$6)*(raw!$F$2:$F$1473='2018-19_working'!AH$7)*(raw!$G$2:$G$1473))</f>
        <v>0</v>
      </c>
      <c r="AI40" s="8">
        <f>SUMPRODUCT((raw!$B$2:$B$1473='2018-19_working'!$A40)*(raw!$E$2:$E$1473='2018-19_working'!$AC$6)*(raw!$F$2:$F$1473='2018-19_working'!AI$7)*(raw!$G$2:$G$1473))</f>
        <v>0</v>
      </c>
      <c r="AJ40" s="8">
        <f>SUMPRODUCT((raw!$B$2:$B$1473='2018-19_working'!$A40)*(raw!$E$2:$E$1473='2018-19_working'!$AC$6)*(raw!$F$2:$F$1473='2018-19_working'!AJ$7)*(raw!$G$2:$G$1473))</f>
        <v>5</v>
      </c>
    </row>
    <row r="41" spans="1:36" x14ac:dyDescent="0.35">
      <c r="A41" s="8" t="s">
        <v>48</v>
      </c>
      <c r="B41" s="8">
        <f>SUMPRODUCT((raw!$B$2:$B$1473='2018-19_working'!$A41)*(raw!$E$2:$E$1473='2018-19_working'!$B$6:$I$6)*(raw!$F$2:$F$1473='2018-19_working'!B$7)*(raw!$G$2:$G$1473))</f>
        <v>2</v>
      </c>
      <c r="C41" s="8">
        <f>SUMPRODUCT((raw!$B$2:$B$1473='2018-19_working'!$A41)*(raw!$E$2:$E$1473='2018-19_working'!$B$6:$I$6)*(raw!$F$2:$F$1473='2018-19_working'!C$7)*(raw!$G$2:$G$1473))</f>
        <v>0</v>
      </c>
      <c r="D41" s="8">
        <f>SUMPRODUCT((raw!$B$2:$B$1473='2018-19_working'!$A41)*(raw!$E$2:$E$1473='2018-19_working'!$B$6:$I$6)*(raw!$F$2:$F$1473='2018-19_working'!D$7)*(raw!$G$2:$G$1473))</f>
        <v>0</v>
      </c>
      <c r="E41" s="8">
        <f>SUMPRODUCT((raw!$B$2:$B$1473='2018-19_working'!$A41)*(raw!$E$2:$E$1473='2018-19_working'!$B$6:$I$6)*(raw!$F$2:$F$1473='2018-19_working'!E$7)*(raw!$G$2:$G$1473))</f>
        <v>0</v>
      </c>
      <c r="F41" s="8">
        <f>SUMPRODUCT((raw!$B$2:$B$1473='2018-19_working'!$A41)*(raw!$E$2:$E$1473='2018-19_working'!$B$6:$I$6)*(raw!$F$2:$F$1473='2018-19_working'!F$7)*(raw!$G$2:$G$1473))</f>
        <v>0</v>
      </c>
      <c r="G41" s="8">
        <f>SUMPRODUCT((raw!$B$2:$B$1473='2018-19_working'!$A41)*(raw!$E$2:$E$1473='2018-19_working'!$B$6:$I$6)*(raw!$F$2:$F$1473='2018-19_working'!G$7)*(raw!$G$2:$G$1473))</f>
        <v>0</v>
      </c>
      <c r="H41" s="8">
        <f>SUMPRODUCT((raw!$B$2:$B$1473='2018-19_working'!$A41)*(raw!$E$2:$E$1473='2018-19_working'!$B$6:$I$6)*(raw!$F$2:$F$1473='2018-19_working'!H$7)*(raw!$G$2:$G$1473))</f>
        <v>0</v>
      </c>
      <c r="I41" s="8">
        <f>SUMPRODUCT((raw!$B$2:$B$1473='2018-19_working'!$A41)*(raw!$E$2:$E$1473='2018-19_working'!$B$6:$I$6)*(raw!$F$2:$F$1473='2018-19_working'!I$7)*(raw!$G$2:$G$1473))</f>
        <v>6</v>
      </c>
      <c r="K41" s="8">
        <f>SUMPRODUCT((raw!$B$2:$B$1473='2018-19_working'!$A41)*(raw!$E$2:$E$1473='2018-19_working'!$K$6)*(raw!$F$2:$F$1473='2018-19_working'!K$7)*(raw!$G$2:$G$1473))</f>
        <v>31</v>
      </c>
      <c r="L41" s="8">
        <f>SUMPRODUCT((raw!$B$2:$B$1473='2018-19_working'!$A41)*(raw!$E$2:$E$1473='2018-19_working'!$K$6)*(raw!$F$2:$F$1473='2018-19_working'!L$7)*(raw!$G$2:$G$1473))</f>
        <v>4</v>
      </c>
      <c r="M41" s="8">
        <f>SUMPRODUCT((raw!$B$2:$B$1473='2018-19_working'!$A41)*(raw!$E$2:$E$1473='2018-19_working'!$K$6)*(raw!$F$2:$F$1473='2018-19_working'!M$7)*(raw!$G$2:$G$1473))</f>
        <v>1</v>
      </c>
      <c r="N41" s="8">
        <f>SUMPRODUCT((raw!$B$2:$B$1473='2018-19_working'!$A41)*(raw!$E$2:$E$1473='2018-19_working'!$K$6)*(raw!$F$2:$F$1473='2018-19_working'!N$7)*(raw!$G$2:$G$1473))</f>
        <v>0</v>
      </c>
      <c r="O41" s="8">
        <f>SUMPRODUCT((raw!$B$2:$B$1473='2018-19_working'!$A41)*(raw!$E$2:$E$1473='2018-19_working'!$K$6)*(raw!$F$2:$F$1473='2018-19_working'!O$7)*(raw!$G$2:$G$1473))</f>
        <v>1</v>
      </c>
      <c r="P41" s="8">
        <f>SUMPRODUCT((raw!$B$2:$B$1473='2018-19_working'!$A41)*(raw!$E$2:$E$1473='2018-19_working'!$K$6)*(raw!$F$2:$F$1473='2018-19_working'!P$7)*(raw!$G$2:$G$1473))</f>
        <v>0</v>
      </c>
      <c r="Q41" s="8">
        <f>SUMPRODUCT((raw!$B$2:$B$1473='2018-19_working'!$A41)*(raw!$E$2:$E$1473='2018-19_working'!$K$6)*(raw!$F$2:$F$1473='2018-19_working'!Q$7)*(raw!$G$2:$G$1473))</f>
        <v>0</v>
      </c>
      <c r="R41" s="8">
        <f>SUMPRODUCT((raw!$B$2:$B$1473='2018-19_working'!$A41)*(raw!$E$2:$E$1473='2018-19_working'!$K$6)*(raw!$F$2:$F$1473='2018-19_working'!R$7)*(raw!$G$2:$G$1473))</f>
        <v>19</v>
      </c>
      <c r="T41" s="8">
        <f>SUMPRODUCT((raw!$B$2:$B$1473='2018-19_working'!$A41)*(raw!$E$2:$E$1473='2018-19_working'!$T$6)*(raw!$F$2:$F$1473='2018-19_working'!T$7)*(raw!$G$2:$G$1473))</f>
        <v>0</v>
      </c>
      <c r="U41" s="8">
        <f>SUMPRODUCT((raw!$B$2:$B$1473='2018-19_working'!$A41)*(raw!$E$2:$E$1473='2018-19_working'!$T$6)*(raw!$F$2:$F$1473='2018-19_working'!U$7)*(raw!$G$2:$G$1473))</f>
        <v>0</v>
      </c>
      <c r="V41" s="8">
        <f>SUMPRODUCT((raw!$B$2:$B$1473='2018-19_working'!$A41)*(raw!$E$2:$E$1473='2018-19_working'!$T$6)*(raw!$F$2:$F$1473='2018-19_working'!V$7)*(raw!$G$2:$G$1473))</f>
        <v>0</v>
      </c>
      <c r="W41" s="8">
        <f>SUMPRODUCT((raw!$B$2:$B$1473='2018-19_working'!$A41)*(raw!$E$2:$E$1473='2018-19_working'!$T$6)*(raw!$F$2:$F$1473='2018-19_working'!W$7)*(raw!$G$2:$G$1473))</f>
        <v>0</v>
      </c>
      <c r="X41" s="8">
        <f>SUMPRODUCT((raw!$B$2:$B$1473='2018-19_working'!$A41)*(raw!$E$2:$E$1473='2018-19_working'!$T$6)*(raw!$F$2:$F$1473='2018-19_working'!X$7)*(raw!$G$2:$G$1473))</f>
        <v>0</v>
      </c>
      <c r="Y41" s="8">
        <f>SUMPRODUCT((raw!$B$2:$B$1473='2018-19_working'!$A41)*(raw!$E$2:$E$1473='2018-19_working'!$T$6)*(raw!$F$2:$F$1473='2018-19_working'!Y$7)*(raw!$G$2:$G$1473))</f>
        <v>0</v>
      </c>
      <c r="Z41" s="8">
        <f>SUMPRODUCT((raw!$B$2:$B$1473='2018-19_working'!$A41)*(raw!$E$2:$E$1473='2018-19_working'!$T$6)*(raw!$F$2:$F$1473='2018-19_working'!Z$7)*(raw!$G$2:$G$1473))</f>
        <v>0</v>
      </c>
      <c r="AA41" s="8">
        <f>SUMPRODUCT((raw!$B$2:$B$1473='2018-19_working'!$A41)*(raw!$E$2:$E$1473='2018-19_working'!$T$6)*(raw!$F$2:$F$1473='2018-19_working'!AA$7)*(raw!$G$2:$G$1473))</f>
        <v>0</v>
      </c>
      <c r="AC41" s="8">
        <f>SUMPRODUCT((raw!$B$2:$B$1473='2018-19_working'!$A41)*(raw!$E$2:$E$1473='2018-19_working'!$AC$6)*(raw!$F$2:$F$1473='2018-19_working'!AC$7)*(raw!$G$2:$G$1473))</f>
        <v>6</v>
      </c>
      <c r="AD41" s="8">
        <f>SUMPRODUCT((raw!$B$2:$B$1473='2018-19_working'!$A41)*(raw!$E$2:$E$1473='2018-19_working'!$AC$6)*(raw!$F$2:$F$1473='2018-19_working'!AD$7)*(raw!$G$2:$G$1473))</f>
        <v>2</v>
      </c>
      <c r="AE41" s="8">
        <f>SUMPRODUCT((raw!$B$2:$B$1473='2018-19_working'!$A41)*(raw!$E$2:$E$1473='2018-19_working'!$AC$6)*(raw!$F$2:$F$1473='2018-19_working'!AE$7)*(raw!$G$2:$G$1473))</f>
        <v>0</v>
      </c>
      <c r="AF41" s="8">
        <f>SUMPRODUCT((raw!$B$2:$B$1473='2018-19_working'!$A41)*(raw!$E$2:$E$1473='2018-19_working'!$AC$6)*(raw!$F$2:$F$1473='2018-19_working'!AF$7)*(raw!$G$2:$G$1473))</f>
        <v>0</v>
      </c>
      <c r="AG41" s="8">
        <f>SUMPRODUCT((raw!$B$2:$B$1473='2018-19_working'!$A41)*(raw!$E$2:$E$1473='2018-19_working'!$AC$6)*(raw!$F$2:$F$1473='2018-19_working'!AG$7)*(raw!$G$2:$G$1473))</f>
        <v>0</v>
      </c>
      <c r="AH41" s="8">
        <f>SUMPRODUCT((raw!$B$2:$B$1473='2018-19_working'!$A41)*(raw!$E$2:$E$1473='2018-19_working'!$AC$6)*(raw!$F$2:$F$1473='2018-19_working'!AH$7)*(raw!$G$2:$G$1473))</f>
        <v>0</v>
      </c>
      <c r="AI41" s="8">
        <f>SUMPRODUCT((raw!$B$2:$B$1473='2018-19_working'!$A41)*(raw!$E$2:$E$1473='2018-19_working'!$AC$6)*(raw!$F$2:$F$1473='2018-19_working'!AI$7)*(raw!$G$2:$G$1473))</f>
        <v>0</v>
      </c>
      <c r="AJ41" s="8">
        <f>SUMPRODUCT((raw!$B$2:$B$1473='2018-19_working'!$A41)*(raw!$E$2:$E$1473='2018-19_working'!$AC$6)*(raw!$F$2:$F$1473='2018-19_working'!AJ$7)*(raw!$G$2:$G$1473))</f>
        <v>1</v>
      </c>
    </row>
    <row r="42" spans="1:36" x14ac:dyDescent="0.35">
      <c r="A42" s="8" t="s">
        <v>49</v>
      </c>
      <c r="B42" s="8">
        <f>SUMPRODUCT((raw!$B$2:$B$1473='2018-19_working'!$A42)*(raw!$E$2:$E$1473='2018-19_working'!$B$6:$I$6)*(raw!$F$2:$F$1473='2018-19_working'!B$7)*(raw!$G$2:$G$1473))</f>
        <v>11</v>
      </c>
      <c r="C42" s="8">
        <f>SUMPRODUCT((raw!$B$2:$B$1473='2018-19_working'!$A42)*(raw!$E$2:$E$1473='2018-19_working'!$B$6:$I$6)*(raw!$F$2:$F$1473='2018-19_working'!C$7)*(raw!$G$2:$G$1473))</f>
        <v>0</v>
      </c>
      <c r="D42" s="8">
        <f>SUMPRODUCT((raw!$B$2:$B$1473='2018-19_working'!$A42)*(raw!$E$2:$E$1473='2018-19_working'!$B$6:$I$6)*(raw!$F$2:$F$1473='2018-19_working'!D$7)*(raw!$G$2:$G$1473))</f>
        <v>0</v>
      </c>
      <c r="E42" s="8">
        <f>SUMPRODUCT((raw!$B$2:$B$1473='2018-19_working'!$A42)*(raw!$E$2:$E$1473='2018-19_working'!$B$6:$I$6)*(raw!$F$2:$F$1473='2018-19_working'!E$7)*(raw!$G$2:$G$1473))</f>
        <v>0</v>
      </c>
      <c r="F42" s="8">
        <f>SUMPRODUCT((raw!$B$2:$B$1473='2018-19_working'!$A42)*(raw!$E$2:$E$1473='2018-19_working'!$B$6:$I$6)*(raw!$F$2:$F$1473='2018-19_working'!F$7)*(raw!$G$2:$G$1473))</f>
        <v>0</v>
      </c>
      <c r="G42" s="8">
        <f>SUMPRODUCT((raw!$B$2:$B$1473='2018-19_working'!$A42)*(raw!$E$2:$E$1473='2018-19_working'!$B$6:$I$6)*(raw!$F$2:$F$1473='2018-19_working'!G$7)*(raw!$G$2:$G$1473))</f>
        <v>0</v>
      </c>
      <c r="H42" s="8">
        <f>SUMPRODUCT((raw!$B$2:$B$1473='2018-19_working'!$A42)*(raw!$E$2:$E$1473='2018-19_working'!$B$6:$I$6)*(raw!$F$2:$F$1473='2018-19_working'!H$7)*(raw!$G$2:$G$1473))</f>
        <v>1</v>
      </c>
      <c r="I42" s="8">
        <f>SUMPRODUCT((raw!$B$2:$B$1473='2018-19_working'!$A42)*(raw!$E$2:$E$1473='2018-19_working'!$B$6:$I$6)*(raw!$F$2:$F$1473='2018-19_working'!I$7)*(raw!$G$2:$G$1473))</f>
        <v>0</v>
      </c>
      <c r="K42" s="8">
        <f>SUMPRODUCT((raw!$B$2:$B$1473='2018-19_working'!$A42)*(raw!$E$2:$E$1473='2018-19_working'!$K$6)*(raw!$F$2:$F$1473='2018-19_working'!K$7)*(raw!$G$2:$G$1473))</f>
        <v>21</v>
      </c>
      <c r="L42" s="8">
        <f>SUMPRODUCT((raw!$B$2:$B$1473='2018-19_working'!$A42)*(raw!$E$2:$E$1473='2018-19_working'!$K$6)*(raw!$F$2:$F$1473='2018-19_working'!L$7)*(raw!$G$2:$G$1473))</f>
        <v>0</v>
      </c>
      <c r="M42" s="8">
        <f>SUMPRODUCT((raw!$B$2:$B$1473='2018-19_working'!$A42)*(raw!$E$2:$E$1473='2018-19_working'!$K$6)*(raw!$F$2:$F$1473='2018-19_working'!M$7)*(raw!$G$2:$G$1473))</f>
        <v>0</v>
      </c>
      <c r="N42" s="8">
        <f>SUMPRODUCT((raw!$B$2:$B$1473='2018-19_working'!$A42)*(raw!$E$2:$E$1473='2018-19_working'!$K$6)*(raw!$F$2:$F$1473='2018-19_working'!N$7)*(raw!$G$2:$G$1473))</f>
        <v>0</v>
      </c>
      <c r="O42" s="8">
        <f>SUMPRODUCT((raw!$B$2:$B$1473='2018-19_working'!$A42)*(raw!$E$2:$E$1473='2018-19_working'!$K$6)*(raw!$F$2:$F$1473='2018-19_working'!O$7)*(raw!$G$2:$G$1473))</f>
        <v>0</v>
      </c>
      <c r="P42" s="8">
        <f>SUMPRODUCT((raw!$B$2:$B$1473='2018-19_working'!$A42)*(raw!$E$2:$E$1473='2018-19_working'!$K$6)*(raw!$F$2:$F$1473='2018-19_working'!P$7)*(raw!$G$2:$G$1473))</f>
        <v>0</v>
      </c>
      <c r="Q42" s="8">
        <f>SUMPRODUCT((raw!$B$2:$B$1473='2018-19_working'!$A42)*(raw!$E$2:$E$1473='2018-19_working'!$K$6)*(raw!$F$2:$F$1473='2018-19_working'!Q$7)*(raw!$G$2:$G$1473))</f>
        <v>1</v>
      </c>
      <c r="R42" s="8">
        <f>SUMPRODUCT((raw!$B$2:$B$1473='2018-19_working'!$A42)*(raw!$E$2:$E$1473='2018-19_working'!$K$6)*(raw!$F$2:$F$1473='2018-19_working'!R$7)*(raw!$G$2:$G$1473))</f>
        <v>6</v>
      </c>
      <c r="T42" s="8">
        <f>SUMPRODUCT((raw!$B$2:$B$1473='2018-19_working'!$A42)*(raw!$E$2:$E$1473='2018-19_working'!$T$6)*(raw!$F$2:$F$1473='2018-19_working'!T$7)*(raw!$G$2:$G$1473))</f>
        <v>1</v>
      </c>
      <c r="U42" s="8">
        <f>SUMPRODUCT((raw!$B$2:$B$1473='2018-19_working'!$A42)*(raw!$E$2:$E$1473='2018-19_working'!$T$6)*(raw!$F$2:$F$1473='2018-19_working'!U$7)*(raw!$G$2:$G$1473))</f>
        <v>0</v>
      </c>
      <c r="V42" s="8">
        <f>SUMPRODUCT((raw!$B$2:$B$1473='2018-19_working'!$A42)*(raw!$E$2:$E$1473='2018-19_working'!$T$6)*(raw!$F$2:$F$1473='2018-19_working'!V$7)*(raw!$G$2:$G$1473))</f>
        <v>0</v>
      </c>
      <c r="W42" s="8">
        <f>SUMPRODUCT((raw!$B$2:$B$1473='2018-19_working'!$A42)*(raw!$E$2:$E$1473='2018-19_working'!$T$6)*(raw!$F$2:$F$1473='2018-19_working'!W$7)*(raw!$G$2:$G$1473))</f>
        <v>0</v>
      </c>
      <c r="X42" s="8">
        <f>SUMPRODUCT((raw!$B$2:$B$1473='2018-19_working'!$A42)*(raw!$E$2:$E$1473='2018-19_working'!$T$6)*(raw!$F$2:$F$1473='2018-19_working'!X$7)*(raw!$G$2:$G$1473))</f>
        <v>0</v>
      </c>
      <c r="Y42" s="8">
        <f>SUMPRODUCT((raw!$B$2:$B$1473='2018-19_working'!$A42)*(raw!$E$2:$E$1473='2018-19_working'!$T$6)*(raw!$F$2:$F$1473='2018-19_working'!Y$7)*(raw!$G$2:$G$1473))</f>
        <v>0</v>
      </c>
      <c r="Z42" s="8">
        <f>SUMPRODUCT((raw!$B$2:$B$1473='2018-19_working'!$A42)*(raw!$E$2:$E$1473='2018-19_working'!$T$6)*(raw!$F$2:$F$1473='2018-19_working'!Z$7)*(raw!$G$2:$G$1473))</f>
        <v>0</v>
      </c>
      <c r="AA42" s="8">
        <f>SUMPRODUCT((raw!$B$2:$B$1473='2018-19_working'!$A42)*(raw!$E$2:$E$1473='2018-19_working'!$T$6)*(raw!$F$2:$F$1473='2018-19_working'!AA$7)*(raw!$G$2:$G$1473))</f>
        <v>1</v>
      </c>
      <c r="AC42" s="8">
        <f>SUMPRODUCT((raw!$B$2:$B$1473='2018-19_working'!$A42)*(raw!$E$2:$E$1473='2018-19_working'!$AC$6)*(raw!$F$2:$F$1473='2018-19_working'!AC$7)*(raw!$G$2:$G$1473))</f>
        <v>6</v>
      </c>
      <c r="AD42" s="8">
        <f>SUMPRODUCT((raw!$B$2:$B$1473='2018-19_working'!$A42)*(raw!$E$2:$E$1473='2018-19_working'!$AC$6)*(raw!$F$2:$F$1473='2018-19_working'!AD$7)*(raw!$G$2:$G$1473))</f>
        <v>0</v>
      </c>
      <c r="AE42" s="8">
        <f>SUMPRODUCT((raw!$B$2:$B$1473='2018-19_working'!$A42)*(raw!$E$2:$E$1473='2018-19_working'!$AC$6)*(raw!$F$2:$F$1473='2018-19_working'!AE$7)*(raw!$G$2:$G$1473))</f>
        <v>0</v>
      </c>
      <c r="AF42" s="8">
        <f>SUMPRODUCT((raw!$B$2:$B$1473='2018-19_working'!$A42)*(raw!$E$2:$E$1473='2018-19_working'!$AC$6)*(raw!$F$2:$F$1473='2018-19_working'!AF$7)*(raw!$G$2:$G$1473))</f>
        <v>0</v>
      </c>
      <c r="AG42" s="8">
        <f>SUMPRODUCT((raw!$B$2:$B$1473='2018-19_working'!$A42)*(raw!$E$2:$E$1473='2018-19_working'!$AC$6)*(raw!$F$2:$F$1473='2018-19_working'!AG$7)*(raw!$G$2:$G$1473))</f>
        <v>0</v>
      </c>
      <c r="AH42" s="8">
        <f>SUMPRODUCT((raw!$B$2:$B$1473='2018-19_working'!$A42)*(raw!$E$2:$E$1473='2018-19_working'!$AC$6)*(raw!$F$2:$F$1473='2018-19_working'!AH$7)*(raw!$G$2:$G$1473))</f>
        <v>0</v>
      </c>
      <c r="AI42" s="8">
        <f>SUMPRODUCT((raw!$B$2:$B$1473='2018-19_working'!$A42)*(raw!$E$2:$E$1473='2018-19_working'!$AC$6)*(raw!$F$2:$F$1473='2018-19_working'!AI$7)*(raw!$G$2:$G$1473))</f>
        <v>1</v>
      </c>
      <c r="AJ42" s="8">
        <f>SUMPRODUCT((raw!$B$2:$B$1473='2018-19_working'!$A42)*(raw!$E$2:$E$1473='2018-19_working'!$AC$6)*(raw!$F$2:$F$1473='2018-19_working'!AJ$7)*(raw!$G$2:$G$1473))</f>
        <v>1</v>
      </c>
    </row>
    <row r="43" spans="1:36" x14ac:dyDescent="0.35">
      <c r="A43" s="8" t="s">
        <v>50</v>
      </c>
      <c r="B43" s="8">
        <f>SUMPRODUCT((raw!$B$2:$B$1473='2018-19_working'!$A43)*(raw!$E$2:$E$1473='2018-19_working'!$B$6:$I$6)*(raw!$F$2:$F$1473='2018-19_working'!B$7)*(raw!$G$2:$G$1473))</f>
        <v>12</v>
      </c>
      <c r="C43" s="8">
        <f>SUMPRODUCT((raw!$B$2:$B$1473='2018-19_working'!$A43)*(raw!$E$2:$E$1473='2018-19_working'!$B$6:$I$6)*(raw!$F$2:$F$1473='2018-19_working'!C$7)*(raw!$G$2:$G$1473))</f>
        <v>0</v>
      </c>
      <c r="D43" s="8">
        <f>SUMPRODUCT((raw!$B$2:$B$1473='2018-19_working'!$A43)*(raw!$E$2:$E$1473='2018-19_working'!$B$6:$I$6)*(raw!$F$2:$F$1473='2018-19_working'!D$7)*(raw!$G$2:$G$1473))</f>
        <v>0</v>
      </c>
      <c r="E43" s="8">
        <f>SUMPRODUCT((raw!$B$2:$B$1473='2018-19_working'!$A43)*(raw!$E$2:$E$1473='2018-19_working'!$B$6:$I$6)*(raw!$F$2:$F$1473='2018-19_working'!E$7)*(raw!$G$2:$G$1473))</f>
        <v>0</v>
      </c>
      <c r="F43" s="8">
        <f>SUMPRODUCT((raw!$B$2:$B$1473='2018-19_working'!$A43)*(raw!$E$2:$E$1473='2018-19_working'!$B$6:$I$6)*(raw!$F$2:$F$1473='2018-19_working'!F$7)*(raw!$G$2:$G$1473))</f>
        <v>1</v>
      </c>
      <c r="G43" s="8">
        <f>SUMPRODUCT((raw!$B$2:$B$1473='2018-19_working'!$A43)*(raw!$E$2:$E$1473='2018-19_working'!$B$6:$I$6)*(raw!$F$2:$F$1473='2018-19_working'!G$7)*(raw!$G$2:$G$1473))</f>
        <v>0</v>
      </c>
      <c r="H43" s="8">
        <f>SUMPRODUCT((raw!$B$2:$B$1473='2018-19_working'!$A43)*(raw!$E$2:$E$1473='2018-19_working'!$B$6:$I$6)*(raw!$F$2:$F$1473='2018-19_working'!H$7)*(raw!$G$2:$G$1473))</f>
        <v>0</v>
      </c>
      <c r="I43" s="8">
        <f>SUMPRODUCT((raw!$B$2:$B$1473='2018-19_working'!$A43)*(raw!$E$2:$E$1473='2018-19_working'!$B$6:$I$6)*(raw!$F$2:$F$1473='2018-19_working'!I$7)*(raw!$G$2:$G$1473))</f>
        <v>0</v>
      </c>
      <c r="K43" s="8">
        <f>SUMPRODUCT((raw!$B$2:$B$1473='2018-19_working'!$A43)*(raw!$E$2:$E$1473='2018-19_working'!$K$6)*(raw!$F$2:$F$1473='2018-19_working'!K$7)*(raw!$G$2:$G$1473))</f>
        <v>42</v>
      </c>
      <c r="L43" s="8">
        <f>SUMPRODUCT((raw!$B$2:$B$1473='2018-19_working'!$A43)*(raw!$E$2:$E$1473='2018-19_working'!$K$6)*(raw!$F$2:$F$1473='2018-19_working'!L$7)*(raw!$G$2:$G$1473))</f>
        <v>0</v>
      </c>
      <c r="M43" s="8">
        <f>SUMPRODUCT((raw!$B$2:$B$1473='2018-19_working'!$A43)*(raw!$E$2:$E$1473='2018-19_working'!$K$6)*(raw!$F$2:$F$1473='2018-19_working'!M$7)*(raw!$G$2:$G$1473))</f>
        <v>0</v>
      </c>
      <c r="N43" s="8">
        <f>SUMPRODUCT((raw!$B$2:$B$1473='2018-19_working'!$A43)*(raw!$E$2:$E$1473='2018-19_working'!$K$6)*(raw!$F$2:$F$1473='2018-19_working'!N$7)*(raw!$G$2:$G$1473))</f>
        <v>0</v>
      </c>
      <c r="O43" s="8">
        <f>SUMPRODUCT((raw!$B$2:$B$1473='2018-19_working'!$A43)*(raw!$E$2:$E$1473='2018-19_working'!$K$6)*(raw!$F$2:$F$1473='2018-19_working'!O$7)*(raw!$G$2:$G$1473))</f>
        <v>2</v>
      </c>
      <c r="P43" s="8">
        <f>SUMPRODUCT((raw!$B$2:$B$1473='2018-19_working'!$A43)*(raw!$E$2:$E$1473='2018-19_working'!$K$6)*(raw!$F$2:$F$1473='2018-19_working'!P$7)*(raw!$G$2:$G$1473))</f>
        <v>0</v>
      </c>
      <c r="Q43" s="8">
        <f>SUMPRODUCT((raw!$B$2:$B$1473='2018-19_working'!$A43)*(raw!$E$2:$E$1473='2018-19_working'!$K$6)*(raw!$F$2:$F$1473='2018-19_working'!Q$7)*(raw!$G$2:$G$1473))</f>
        <v>0</v>
      </c>
      <c r="R43" s="8">
        <f>SUMPRODUCT((raw!$B$2:$B$1473='2018-19_working'!$A43)*(raw!$E$2:$E$1473='2018-19_working'!$K$6)*(raw!$F$2:$F$1473='2018-19_working'!R$7)*(raw!$G$2:$G$1473))</f>
        <v>0</v>
      </c>
      <c r="T43" s="8">
        <f>SUMPRODUCT((raw!$B$2:$B$1473='2018-19_working'!$A43)*(raw!$E$2:$E$1473='2018-19_working'!$T$6)*(raw!$F$2:$F$1473='2018-19_working'!T$7)*(raw!$G$2:$G$1473))</f>
        <v>0</v>
      </c>
      <c r="U43" s="8">
        <f>SUMPRODUCT((raw!$B$2:$B$1473='2018-19_working'!$A43)*(raw!$E$2:$E$1473='2018-19_working'!$T$6)*(raw!$F$2:$F$1473='2018-19_working'!U$7)*(raw!$G$2:$G$1473))</f>
        <v>0</v>
      </c>
      <c r="V43" s="8">
        <f>SUMPRODUCT((raw!$B$2:$B$1473='2018-19_working'!$A43)*(raw!$E$2:$E$1473='2018-19_working'!$T$6)*(raw!$F$2:$F$1473='2018-19_working'!V$7)*(raw!$G$2:$G$1473))</f>
        <v>0</v>
      </c>
      <c r="W43" s="8">
        <f>SUMPRODUCT((raw!$B$2:$B$1473='2018-19_working'!$A43)*(raw!$E$2:$E$1473='2018-19_working'!$T$6)*(raw!$F$2:$F$1473='2018-19_working'!W$7)*(raw!$G$2:$G$1473))</f>
        <v>0</v>
      </c>
      <c r="X43" s="8">
        <f>SUMPRODUCT((raw!$B$2:$B$1473='2018-19_working'!$A43)*(raw!$E$2:$E$1473='2018-19_working'!$T$6)*(raw!$F$2:$F$1473='2018-19_working'!X$7)*(raw!$G$2:$G$1473))</f>
        <v>0</v>
      </c>
      <c r="Y43" s="8">
        <f>SUMPRODUCT((raw!$B$2:$B$1473='2018-19_working'!$A43)*(raw!$E$2:$E$1473='2018-19_working'!$T$6)*(raw!$F$2:$F$1473='2018-19_working'!Y$7)*(raw!$G$2:$G$1473))</f>
        <v>0</v>
      </c>
      <c r="Z43" s="8">
        <f>SUMPRODUCT((raw!$B$2:$B$1473='2018-19_working'!$A43)*(raw!$E$2:$E$1473='2018-19_working'!$T$6)*(raw!$F$2:$F$1473='2018-19_working'!Z$7)*(raw!$G$2:$G$1473))</f>
        <v>0</v>
      </c>
      <c r="AA43" s="8">
        <f>SUMPRODUCT((raw!$B$2:$B$1473='2018-19_working'!$A43)*(raw!$E$2:$E$1473='2018-19_working'!$T$6)*(raw!$F$2:$F$1473='2018-19_working'!AA$7)*(raw!$G$2:$G$1473))</f>
        <v>0</v>
      </c>
      <c r="AC43" s="8">
        <f>SUMPRODUCT((raw!$B$2:$B$1473='2018-19_working'!$A43)*(raw!$E$2:$E$1473='2018-19_working'!$AC$6)*(raw!$F$2:$F$1473='2018-19_working'!AC$7)*(raw!$G$2:$G$1473))</f>
        <v>24</v>
      </c>
      <c r="AD43" s="8">
        <f>SUMPRODUCT((raw!$B$2:$B$1473='2018-19_working'!$A43)*(raw!$E$2:$E$1473='2018-19_working'!$AC$6)*(raw!$F$2:$F$1473='2018-19_working'!AD$7)*(raw!$G$2:$G$1473))</f>
        <v>0</v>
      </c>
      <c r="AE43" s="8">
        <f>SUMPRODUCT((raw!$B$2:$B$1473='2018-19_working'!$A43)*(raw!$E$2:$E$1473='2018-19_working'!$AC$6)*(raw!$F$2:$F$1473='2018-19_working'!AE$7)*(raw!$G$2:$G$1473))</f>
        <v>0</v>
      </c>
      <c r="AF43" s="8">
        <f>SUMPRODUCT((raw!$B$2:$B$1473='2018-19_working'!$A43)*(raw!$E$2:$E$1473='2018-19_working'!$AC$6)*(raw!$F$2:$F$1473='2018-19_working'!AF$7)*(raw!$G$2:$G$1473))</f>
        <v>0</v>
      </c>
      <c r="AG43" s="8">
        <f>SUMPRODUCT((raw!$B$2:$B$1473='2018-19_working'!$A43)*(raw!$E$2:$E$1473='2018-19_working'!$AC$6)*(raw!$F$2:$F$1473='2018-19_working'!AG$7)*(raw!$G$2:$G$1473))</f>
        <v>0</v>
      </c>
      <c r="AH43" s="8">
        <f>SUMPRODUCT((raw!$B$2:$B$1473='2018-19_working'!$A43)*(raw!$E$2:$E$1473='2018-19_working'!$AC$6)*(raw!$F$2:$F$1473='2018-19_working'!AH$7)*(raw!$G$2:$G$1473))</f>
        <v>0</v>
      </c>
      <c r="AI43" s="8">
        <f>SUMPRODUCT((raw!$B$2:$B$1473='2018-19_working'!$A43)*(raw!$E$2:$E$1473='2018-19_working'!$AC$6)*(raw!$F$2:$F$1473='2018-19_working'!AI$7)*(raw!$G$2:$G$1473))</f>
        <v>0</v>
      </c>
      <c r="AJ43" s="8">
        <f>SUMPRODUCT((raw!$B$2:$B$1473='2018-19_working'!$A43)*(raw!$E$2:$E$1473='2018-19_working'!$AC$6)*(raw!$F$2:$F$1473='2018-19_working'!AJ$7)*(raw!$G$2:$G$1473))</f>
        <v>0</v>
      </c>
    </row>
    <row r="44" spans="1:36" x14ac:dyDescent="0.35">
      <c r="A44" s="8" t="s">
        <v>51</v>
      </c>
      <c r="B44" s="8">
        <f>SUMPRODUCT((raw!$B$2:$B$1473='2018-19_working'!$A44)*(raw!$E$2:$E$1473='2018-19_working'!$B$6:$I$6)*(raw!$F$2:$F$1473='2018-19_working'!B$7)*(raw!$G$2:$G$1473))</f>
        <v>2</v>
      </c>
      <c r="C44" s="8">
        <f>SUMPRODUCT((raw!$B$2:$B$1473='2018-19_working'!$A44)*(raw!$E$2:$E$1473='2018-19_working'!$B$6:$I$6)*(raw!$F$2:$F$1473='2018-19_working'!C$7)*(raw!$G$2:$G$1473))</f>
        <v>0</v>
      </c>
      <c r="D44" s="8">
        <f>SUMPRODUCT((raw!$B$2:$B$1473='2018-19_working'!$A44)*(raw!$E$2:$E$1473='2018-19_working'!$B$6:$I$6)*(raw!$F$2:$F$1473='2018-19_working'!D$7)*(raw!$G$2:$G$1473))</f>
        <v>1</v>
      </c>
      <c r="E44" s="8">
        <f>SUMPRODUCT((raw!$B$2:$B$1473='2018-19_working'!$A44)*(raw!$E$2:$E$1473='2018-19_working'!$B$6:$I$6)*(raw!$F$2:$F$1473='2018-19_working'!E$7)*(raw!$G$2:$G$1473))</f>
        <v>0</v>
      </c>
      <c r="F44" s="8">
        <f>SUMPRODUCT((raw!$B$2:$B$1473='2018-19_working'!$A44)*(raw!$E$2:$E$1473='2018-19_working'!$B$6:$I$6)*(raw!$F$2:$F$1473='2018-19_working'!F$7)*(raw!$G$2:$G$1473))</f>
        <v>0</v>
      </c>
      <c r="G44" s="8">
        <f>SUMPRODUCT((raw!$B$2:$B$1473='2018-19_working'!$A44)*(raw!$E$2:$E$1473='2018-19_working'!$B$6:$I$6)*(raw!$F$2:$F$1473='2018-19_working'!G$7)*(raw!$G$2:$G$1473))</f>
        <v>0</v>
      </c>
      <c r="H44" s="8">
        <f>SUMPRODUCT((raw!$B$2:$B$1473='2018-19_working'!$A44)*(raw!$E$2:$E$1473='2018-19_working'!$B$6:$I$6)*(raw!$F$2:$F$1473='2018-19_working'!H$7)*(raw!$G$2:$G$1473))</f>
        <v>0</v>
      </c>
      <c r="I44" s="8">
        <f>SUMPRODUCT((raw!$B$2:$B$1473='2018-19_working'!$A44)*(raw!$E$2:$E$1473='2018-19_working'!$B$6:$I$6)*(raw!$F$2:$F$1473='2018-19_working'!I$7)*(raw!$G$2:$G$1473))</f>
        <v>5</v>
      </c>
      <c r="K44" s="8">
        <f>SUMPRODUCT((raw!$B$2:$B$1473='2018-19_working'!$A44)*(raw!$E$2:$E$1473='2018-19_working'!$K$6)*(raw!$F$2:$F$1473='2018-19_working'!K$7)*(raw!$G$2:$G$1473))</f>
        <v>15</v>
      </c>
      <c r="L44" s="8">
        <f>SUMPRODUCT((raw!$B$2:$B$1473='2018-19_working'!$A44)*(raw!$E$2:$E$1473='2018-19_working'!$K$6)*(raw!$F$2:$F$1473='2018-19_working'!L$7)*(raw!$G$2:$G$1473))</f>
        <v>0</v>
      </c>
      <c r="M44" s="8">
        <f>SUMPRODUCT((raw!$B$2:$B$1473='2018-19_working'!$A44)*(raw!$E$2:$E$1473='2018-19_working'!$K$6)*(raw!$F$2:$F$1473='2018-19_working'!M$7)*(raw!$G$2:$G$1473))</f>
        <v>0</v>
      </c>
      <c r="N44" s="8">
        <f>SUMPRODUCT((raw!$B$2:$B$1473='2018-19_working'!$A44)*(raw!$E$2:$E$1473='2018-19_working'!$K$6)*(raw!$F$2:$F$1473='2018-19_working'!N$7)*(raw!$G$2:$G$1473))</f>
        <v>0</v>
      </c>
      <c r="O44" s="8">
        <f>SUMPRODUCT((raw!$B$2:$B$1473='2018-19_working'!$A44)*(raw!$E$2:$E$1473='2018-19_working'!$K$6)*(raw!$F$2:$F$1473='2018-19_working'!O$7)*(raw!$G$2:$G$1473))</f>
        <v>0</v>
      </c>
      <c r="P44" s="8">
        <f>SUMPRODUCT((raw!$B$2:$B$1473='2018-19_working'!$A44)*(raw!$E$2:$E$1473='2018-19_working'!$K$6)*(raw!$F$2:$F$1473='2018-19_working'!P$7)*(raw!$G$2:$G$1473))</f>
        <v>0</v>
      </c>
      <c r="Q44" s="8">
        <f>SUMPRODUCT((raw!$B$2:$B$1473='2018-19_working'!$A44)*(raw!$E$2:$E$1473='2018-19_working'!$K$6)*(raw!$F$2:$F$1473='2018-19_working'!Q$7)*(raw!$G$2:$G$1473))</f>
        <v>0</v>
      </c>
      <c r="R44" s="8">
        <f>SUMPRODUCT((raw!$B$2:$B$1473='2018-19_working'!$A44)*(raw!$E$2:$E$1473='2018-19_working'!$K$6)*(raw!$F$2:$F$1473='2018-19_working'!R$7)*(raw!$G$2:$G$1473))</f>
        <v>31</v>
      </c>
      <c r="T44" s="8">
        <f>SUMPRODUCT((raw!$B$2:$B$1473='2018-19_working'!$A44)*(raw!$E$2:$E$1473='2018-19_working'!$T$6)*(raw!$F$2:$F$1473='2018-19_working'!T$7)*(raw!$G$2:$G$1473))</f>
        <v>0</v>
      </c>
      <c r="U44" s="8">
        <f>SUMPRODUCT((raw!$B$2:$B$1473='2018-19_working'!$A44)*(raw!$E$2:$E$1473='2018-19_working'!$T$6)*(raw!$F$2:$F$1473='2018-19_working'!U$7)*(raw!$G$2:$G$1473))</f>
        <v>0</v>
      </c>
      <c r="V44" s="8">
        <f>SUMPRODUCT((raw!$B$2:$B$1473='2018-19_working'!$A44)*(raw!$E$2:$E$1473='2018-19_working'!$T$6)*(raw!$F$2:$F$1473='2018-19_working'!V$7)*(raw!$G$2:$G$1473))</f>
        <v>0</v>
      </c>
      <c r="W44" s="8">
        <f>SUMPRODUCT((raw!$B$2:$B$1473='2018-19_working'!$A44)*(raw!$E$2:$E$1473='2018-19_working'!$T$6)*(raw!$F$2:$F$1473='2018-19_working'!W$7)*(raw!$G$2:$G$1473))</f>
        <v>0</v>
      </c>
      <c r="X44" s="8">
        <f>SUMPRODUCT((raw!$B$2:$B$1473='2018-19_working'!$A44)*(raw!$E$2:$E$1473='2018-19_working'!$T$6)*(raw!$F$2:$F$1473='2018-19_working'!X$7)*(raw!$G$2:$G$1473))</f>
        <v>0</v>
      </c>
      <c r="Y44" s="8">
        <f>SUMPRODUCT((raw!$B$2:$B$1473='2018-19_working'!$A44)*(raw!$E$2:$E$1473='2018-19_working'!$T$6)*(raw!$F$2:$F$1473='2018-19_working'!Y$7)*(raw!$G$2:$G$1473))</f>
        <v>0</v>
      </c>
      <c r="Z44" s="8">
        <f>SUMPRODUCT((raw!$B$2:$B$1473='2018-19_working'!$A44)*(raw!$E$2:$E$1473='2018-19_working'!$T$6)*(raw!$F$2:$F$1473='2018-19_working'!Z$7)*(raw!$G$2:$G$1473))</f>
        <v>0</v>
      </c>
      <c r="AA44" s="8">
        <f>SUMPRODUCT((raw!$B$2:$B$1473='2018-19_working'!$A44)*(raw!$E$2:$E$1473='2018-19_working'!$T$6)*(raw!$F$2:$F$1473='2018-19_working'!AA$7)*(raw!$G$2:$G$1473))</f>
        <v>0</v>
      </c>
      <c r="AC44" s="8">
        <f>SUMPRODUCT((raw!$B$2:$B$1473='2018-19_working'!$A44)*(raw!$E$2:$E$1473='2018-19_working'!$AC$6)*(raw!$F$2:$F$1473='2018-19_working'!AC$7)*(raw!$G$2:$G$1473))</f>
        <v>4</v>
      </c>
      <c r="AD44" s="8">
        <f>SUMPRODUCT((raw!$B$2:$B$1473='2018-19_working'!$A44)*(raw!$E$2:$E$1473='2018-19_working'!$AC$6)*(raw!$F$2:$F$1473='2018-19_working'!AD$7)*(raw!$G$2:$G$1473))</f>
        <v>0</v>
      </c>
      <c r="AE44" s="8">
        <f>SUMPRODUCT((raw!$B$2:$B$1473='2018-19_working'!$A44)*(raw!$E$2:$E$1473='2018-19_working'!$AC$6)*(raw!$F$2:$F$1473='2018-19_working'!AE$7)*(raw!$G$2:$G$1473))</f>
        <v>0</v>
      </c>
      <c r="AF44" s="8">
        <f>SUMPRODUCT((raw!$B$2:$B$1473='2018-19_working'!$A44)*(raw!$E$2:$E$1473='2018-19_working'!$AC$6)*(raw!$F$2:$F$1473='2018-19_working'!AF$7)*(raw!$G$2:$G$1473))</f>
        <v>0</v>
      </c>
      <c r="AG44" s="8">
        <f>SUMPRODUCT((raw!$B$2:$B$1473='2018-19_working'!$A44)*(raw!$E$2:$E$1473='2018-19_working'!$AC$6)*(raw!$F$2:$F$1473='2018-19_working'!AG$7)*(raw!$G$2:$G$1473))</f>
        <v>0</v>
      </c>
      <c r="AH44" s="8">
        <f>SUMPRODUCT((raw!$B$2:$B$1473='2018-19_working'!$A44)*(raw!$E$2:$E$1473='2018-19_working'!$AC$6)*(raw!$F$2:$F$1473='2018-19_working'!AH$7)*(raw!$G$2:$G$1473))</f>
        <v>0</v>
      </c>
      <c r="AI44" s="8">
        <f>SUMPRODUCT((raw!$B$2:$B$1473='2018-19_working'!$A44)*(raw!$E$2:$E$1473='2018-19_working'!$AC$6)*(raw!$F$2:$F$1473='2018-19_working'!AI$7)*(raw!$G$2:$G$1473))</f>
        <v>0</v>
      </c>
      <c r="AJ44" s="8">
        <f>SUMPRODUCT((raw!$B$2:$B$1473='2018-19_working'!$A44)*(raw!$E$2:$E$1473='2018-19_working'!$AC$6)*(raw!$F$2:$F$1473='2018-19_working'!AJ$7)*(raw!$G$2:$G$1473))</f>
        <v>2</v>
      </c>
    </row>
    <row r="45" spans="1:36" x14ac:dyDescent="0.35">
      <c r="A45" s="8" t="s">
        <v>52</v>
      </c>
      <c r="B45" s="8">
        <f>SUMPRODUCT((raw!$B$2:$B$1473='2018-19_working'!$A45)*(raw!$E$2:$E$1473='2018-19_working'!$B$6:$I$6)*(raw!$F$2:$F$1473='2018-19_working'!B$7)*(raw!$G$2:$G$1473))</f>
        <v>30</v>
      </c>
      <c r="C45" s="8">
        <f>SUMPRODUCT((raw!$B$2:$B$1473='2018-19_working'!$A45)*(raw!$E$2:$E$1473='2018-19_working'!$B$6:$I$6)*(raw!$F$2:$F$1473='2018-19_working'!C$7)*(raw!$G$2:$G$1473))</f>
        <v>0</v>
      </c>
      <c r="D45" s="8">
        <f>SUMPRODUCT((raw!$B$2:$B$1473='2018-19_working'!$A45)*(raw!$E$2:$E$1473='2018-19_working'!$B$6:$I$6)*(raw!$F$2:$F$1473='2018-19_working'!D$7)*(raw!$G$2:$G$1473))</f>
        <v>0</v>
      </c>
      <c r="E45" s="8">
        <f>SUMPRODUCT((raw!$B$2:$B$1473='2018-19_working'!$A45)*(raw!$E$2:$E$1473='2018-19_working'!$B$6:$I$6)*(raw!$F$2:$F$1473='2018-19_working'!E$7)*(raw!$G$2:$G$1473))</f>
        <v>0</v>
      </c>
      <c r="F45" s="8">
        <f>SUMPRODUCT((raw!$B$2:$B$1473='2018-19_working'!$A45)*(raw!$E$2:$E$1473='2018-19_working'!$B$6:$I$6)*(raw!$F$2:$F$1473='2018-19_working'!F$7)*(raw!$G$2:$G$1473))</f>
        <v>0</v>
      </c>
      <c r="G45" s="8">
        <f>SUMPRODUCT((raw!$B$2:$B$1473='2018-19_working'!$A45)*(raw!$E$2:$E$1473='2018-19_working'!$B$6:$I$6)*(raw!$F$2:$F$1473='2018-19_working'!G$7)*(raw!$G$2:$G$1473))</f>
        <v>0</v>
      </c>
      <c r="H45" s="8">
        <f>SUMPRODUCT((raw!$B$2:$B$1473='2018-19_working'!$A45)*(raw!$E$2:$E$1473='2018-19_working'!$B$6:$I$6)*(raw!$F$2:$F$1473='2018-19_working'!H$7)*(raw!$G$2:$G$1473))</f>
        <v>0</v>
      </c>
      <c r="I45" s="8">
        <f>SUMPRODUCT((raw!$B$2:$B$1473='2018-19_working'!$A45)*(raw!$E$2:$E$1473='2018-19_working'!$B$6:$I$6)*(raw!$F$2:$F$1473='2018-19_working'!I$7)*(raw!$G$2:$G$1473))</f>
        <v>0</v>
      </c>
      <c r="K45" s="8">
        <f>SUMPRODUCT((raw!$B$2:$B$1473='2018-19_working'!$A45)*(raw!$E$2:$E$1473='2018-19_working'!$K$6)*(raw!$F$2:$F$1473='2018-19_working'!K$7)*(raw!$G$2:$G$1473))</f>
        <v>7</v>
      </c>
      <c r="L45" s="8">
        <f>SUMPRODUCT((raw!$B$2:$B$1473='2018-19_working'!$A45)*(raw!$E$2:$E$1473='2018-19_working'!$K$6)*(raw!$F$2:$F$1473='2018-19_working'!L$7)*(raw!$G$2:$G$1473))</f>
        <v>0</v>
      </c>
      <c r="M45" s="8">
        <f>SUMPRODUCT((raw!$B$2:$B$1473='2018-19_working'!$A45)*(raw!$E$2:$E$1473='2018-19_working'!$K$6)*(raw!$F$2:$F$1473='2018-19_working'!M$7)*(raw!$G$2:$G$1473))</f>
        <v>0</v>
      </c>
      <c r="N45" s="8">
        <f>SUMPRODUCT((raw!$B$2:$B$1473='2018-19_working'!$A45)*(raw!$E$2:$E$1473='2018-19_working'!$K$6)*(raw!$F$2:$F$1473='2018-19_working'!N$7)*(raw!$G$2:$G$1473))</f>
        <v>0</v>
      </c>
      <c r="O45" s="8">
        <f>SUMPRODUCT((raw!$B$2:$B$1473='2018-19_working'!$A45)*(raw!$E$2:$E$1473='2018-19_working'!$K$6)*(raw!$F$2:$F$1473='2018-19_working'!O$7)*(raw!$G$2:$G$1473))</f>
        <v>0</v>
      </c>
      <c r="P45" s="8">
        <f>SUMPRODUCT((raw!$B$2:$B$1473='2018-19_working'!$A45)*(raw!$E$2:$E$1473='2018-19_working'!$K$6)*(raw!$F$2:$F$1473='2018-19_working'!P$7)*(raw!$G$2:$G$1473))</f>
        <v>0</v>
      </c>
      <c r="Q45" s="8">
        <f>SUMPRODUCT((raw!$B$2:$B$1473='2018-19_working'!$A45)*(raw!$E$2:$E$1473='2018-19_working'!$K$6)*(raw!$F$2:$F$1473='2018-19_working'!Q$7)*(raw!$G$2:$G$1473))</f>
        <v>0</v>
      </c>
      <c r="R45" s="8">
        <f>SUMPRODUCT((raw!$B$2:$B$1473='2018-19_working'!$A45)*(raw!$E$2:$E$1473='2018-19_working'!$K$6)*(raw!$F$2:$F$1473='2018-19_working'!R$7)*(raw!$G$2:$G$1473))</f>
        <v>0</v>
      </c>
      <c r="T45" s="8">
        <f>SUMPRODUCT((raw!$B$2:$B$1473='2018-19_working'!$A45)*(raw!$E$2:$E$1473='2018-19_working'!$T$6)*(raw!$F$2:$F$1473='2018-19_working'!T$7)*(raw!$G$2:$G$1473))</f>
        <v>4</v>
      </c>
      <c r="U45" s="8">
        <f>SUMPRODUCT((raw!$B$2:$B$1473='2018-19_working'!$A45)*(raw!$E$2:$E$1473='2018-19_working'!$T$6)*(raw!$F$2:$F$1473='2018-19_working'!U$7)*(raw!$G$2:$G$1473))</f>
        <v>0</v>
      </c>
      <c r="V45" s="8">
        <f>SUMPRODUCT((raw!$B$2:$B$1473='2018-19_working'!$A45)*(raw!$E$2:$E$1473='2018-19_working'!$T$6)*(raw!$F$2:$F$1473='2018-19_working'!V$7)*(raw!$G$2:$G$1473))</f>
        <v>0</v>
      </c>
      <c r="W45" s="8">
        <f>SUMPRODUCT((raw!$B$2:$B$1473='2018-19_working'!$A45)*(raw!$E$2:$E$1473='2018-19_working'!$T$6)*(raw!$F$2:$F$1473='2018-19_working'!W$7)*(raw!$G$2:$G$1473))</f>
        <v>0</v>
      </c>
      <c r="X45" s="8">
        <f>SUMPRODUCT((raw!$B$2:$B$1473='2018-19_working'!$A45)*(raw!$E$2:$E$1473='2018-19_working'!$T$6)*(raw!$F$2:$F$1473='2018-19_working'!X$7)*(raw!$G$2:$G$1473))</f>
        <v>0</v>
      </c>
      <c r="Y45" s="8">
        <f>SUMPRODUCT((raw!$B$2:$B$1473='2018-19_working'!$A45)*(raw!$E$2:$E$1473='2018-19_working'!$T$6)*(raw!$F$2:$F$1473='2018-19_working'!Y$7)*(raw!$G$2:$G$1473))</f>
        <v>0</v>
      </c>
      <c r="Z45" s="8">
        <f>SUMPRODUCT((raw!$B$2:$B$1473='2018-19_working'!$A45)*(raw!$E$2:$E$1473='2018-19_working'!$T$6)*(raw!$F$2:$F$1473='2018-19_working'!Z$7)*(raw!$G$2:$G$1473))</f>
        <v>0</v>
      </c>
      <c r="AA45" s="8">
        <f>SUMPRODUCT((raw!$B$2:$B$1473='2018-19_working'!$A45)*(raw!$E$2:$E$1473='2018-19_working'!$T$6)*(raw!$F$2:$F$1473='2018-19_working'!AA$7)*(raw!$G$2:$G$1473))</f>
        <v>0</v>
      </c>
      <c r="AC45" s="8">
        <f>SUMPRODUCT((raw!$B$2:$B$1473='2018-19_working'!$A45)*(raw!$E$2:$E$1473='2018-19_working'!$AC$6)*(raw!$F$2:$F$1473='2018-19_working'!AC$7)*(raw!$G$2:$G$1473))</f>
        <v>16</v>
      </c>
      <c r="AD45" s="8">
        <f>SUMPRODUCT((raw!$B$2:$B$1473='2018-19_working'!$A45)*(raw!$E$2:$E$1473='2018-19_working'!$AC$6)*(raw!$F$2:$F$1473='2018-19_working'!AD$7)*(raw!$G$2:$G$1473))</f>
        <v>0</v>
      </c>
      <c r="AE45" s="8">
        <f>SUMPRODUCT((raw!$B$2:$B$1473='2018-19_working'!$A45)*(raw!$E$2:$E$1473='2018-19_working'!$AC$6)*(raw!$F$2:$F$1473='2018-19_working'!AE$7)*(raw!$G$2:$G$1473))</f>
        <v>0</v>
      </c>
      <c r="AF45" s="8">
        <f>SUMPRODUCT((raw!$B$2:$B$1473='2018-19_working'!$A45)*(raw!$E$2:$E$1473='2018-19_working'!$AC$6)*(raw!$F$2:$F$1473='2018-19_working'!AF$7)*(raw!$G$2:$G$1473))</f>
        <v>0</v>
      </c>
      <c r="AG45" s="8">
        <f>SUMPRODUCT((raw!$B$2:$B$1473='2018-19_working'!$A45)*(raw!$E$2:$E$1473='2018-19_working'!$AC$6)*(raw!$F$2:$F$1473='2018-19_working'!AG$7)*(raw!$G$2:$G$1473))</f>
        <v>0</v>
      </c>
      <c r="AH45" s="8">
        <f>SUMPRODUCT((raw!$B$2:$B$1473='2018-19_working'!$A45)*(raw!$E$2:$E$1473='2018-19_working'!$AC$6)*(raw!$F$2:$F$1473='2018-19_working'!AH$7)*(raw!$G$2:$G$1473))</f>
        <v>0</v>
      </c>
      <c r="AI45" s="8">
        <f>SUMPRODUCT((raw!$B$2:$B$1473='2018-19_working'!$A45)*(raw!$E$2:$E$1473='2018-19_working'!$AC$6)*(raw!$F$2:$F$1473='2018-19_working'!AI$7)*(raw!$G$2:$G$1473))</f>
        <v>0</v>
      </c>
      <c r="AJ45" s="8">
        <f>SUMPRODUCT((raw!$B$2:$B$1473='2018-19_working'!$A45)*(raw!$E$2:$E$1473='2018-19_working'!$AC$6)*(raw!$F$2:$F$1473='2018-19_working'!AJ$7)*(raw!$G$2:$G$1473))</f>
        <v>0</v>
      </c>
    </row>
    <row r="46" spans="1:36" x14ac:dyDescent="0.35">
      <c r="A46" s="8" t="s">
        <v>53</v>
      </c>
      <c r="B46" s="8">
        <f>SUMPRODUCT((raw!$B$2:$B$1473='2018-19_working'!$A46)*(raw!$E$2:$E$1473='2018-19_working'!$B$6:$I$6)*(raw!$F$2:$F$1473='2018-19_working'!B$7)*(raw!$G$2:$G$1473))</f>
        <v>9</v>
      </c>
      <c r="C46" s="8">
        <f>SUMPRODUCT((raw!$B$2:$B$1473='2018-19_working'!$A46)*(raw!$E$2:$E$1473='2018-19_working'!$B$6:$I$6)*(raw!$F$2:$F$1473='2018-19_working'!C$7)*(raw!$G$2:$G$1473))</f>
        <v>0</v>
      </c>
      <c r="D46" s="8">
        <f>SUMPRODUCT((raw!$B$2:$B$1473='2018-19_working'!$A46)*(raw!$E$2:$E$1473='2018-19_working'!$B$6:$I$6)*(raw!$F$2:$F$1473='2018-19_working'!D$7)*(raw!$G$2:$G$1473))</f>
        <v>0</v>
      </c>
      <c r="E46" s="8">
        <f>SUMPRODUCT((raw!$B$2:$B$1473='2018-19_working'!$A46)*(raw!$E$2:$E$1473='2018-19_working'!$B$6:$I$6)*(raw!$F$2:$F$1473='2018-19_working'!E$7)*(raw!$G$2:$G$1473))</f>
        <v>0</v>
      </c>
      <c r="F46" s="8">
        <f>SUMPRODUCT((raw!$B$2:$B$1473='2018-19_working'!$A46)*(raw!$E$2:$E$1473='2018-19_working'!$B$6:$I$6)*(raw!$F$2:$F$1473='2018-19_working'!F$7)*(raw!$G$2:$G$1473))</f>
        <v>0</v>
      </c>
      <c r="G46" s="8">
        <f>SUMPRODUCT((raw!$B$2:$B$1473='2018-19_working'!$A46)*(raw!$E$2:$E$1473='2018-19_working'!$B$6:$I$6)*(raw!$F$2:$F$1473='2018-19_working'!G$7)*(raw!$G$2:$G$1473))</f>
        <v>0</v>
      </c>
      <c r="H46" s="8">
        <f>SUMPRODUCT((raw!$B$2:$B$1473='2018-19_working'!$A46)*(raw!$E$2:$E$1473='2018-19_working'!$B$6:$I$6)*(raw!$F$2:$F$1473='2018-19_working'!H$7)*(raw!$G$2:$G$1473))</f>
        <v>0</v>
      </c>
      <c r="I46" s="8">
        <f>SUMPRODUCT((raw!$B$2:$B$1473='2018-19_working'!$A46)*(raw!$E$2:$E$1473='2018-19_working'!$B$6:$I$6)*(raw!$F$2:$F$1473='2018-19_working'!I$7)*(raw!$G$2:$G$1473))</f>
        <v>4</v>
      </c>
      <c r="K46" s="8">
        <f>SUMPRODUCT((raw!$B$2:$B$1473='2018-19_working'!$A46)*(raw!$E$2:$E$1473='2018-19_working'!$K$6)*(raw!$F$2:$F$1473='2018-19_working'!K$7)*(raw!$G$2:$G$1473))</f>
        <v>15</v>
      </c>
      <c r="L46" s="8">
        <f>SUMPRODUCT((raw!$B$2:$B$1473='2018-19_working'!$A46)*(raw!$E$2:$E$1473='2018-19_working'!$K$6)*(raw!$F$2:$F$1473='2018-19_working'!L$7)*(raw!$G$2:$G$1473))</f>
        <v>0</v>
      </c>
      <c r="M46" s="8">
        <f>SUMPRODUCT((raw!$B$2:$B$1473='2018-19_working'!$A46)*(raw!$E$2:$E$1473='2018-19_working'!$K$6)*(raw!$F$2:$F$1473='2018-19_working'!M$7)*(raw!$G$2:$G$1473))</f>
        <v>0</v>
      </c>
      <c r="N46" s="8">
        <f>SUMPRODUCT((raw!$B$2:$B$1473='2018-19_working'!$A46)*(raw!$E$2:$E$1473='2018-19_working'!$K$6)*(raw!$F$2:$F$1473='2018-19_working'!N$7)*(raw!$G$2:$G$1473))</f>
        <v>0</v>
      </c>
      <c r="O46" s="8">
        <f>SUMPRODUCT((raw!$B$2:$B$1473='2018-19_working'!$A46)*(raw!$E$2:$E$1473='2018-19_working'!$K$6)*(raw!$F$2:$F$1473='2018-19_working'!O$7)*(raw!$G$2:$G$1473))</f>
        <v>0</v>
      </c>
      <c r="P46" s="8">
        <f>SUMPRODUCT((raw!$B$2:$B$1473='2018-19_working'!$A46)*(raw!$E$2:$E$1473='2018-19_working'!$K$6)*(raw!$F$2:$F$1473='2018-19_working'!P$7)*(raw!$G$2:$G$1473))</f>
        <v>0</v>
      </c>
      <c r="Q46" s="8">
        <f>SUMPRODUCT((raw!$B$2:$B$1473='2018-19_working'!$A46)*(raw!$E$2:$E$1473='2018-19_working'!$K$6)*(raw!$F$2:$F$1473='2018-19_working'!Q$7)*(raw!$G$2:$G$1473))</f>
        <v>0</v>
      </c>
      <c r="R46" s="8">
        <f>SUMPRODUCT((raw!$B$2:$B$1473='2018-19_working'!$A46)*(raw!$E$2:$E$1473='2018-19_working'!$K$6)*(raw!$F$2:$F$1473='2018-19_working'!R$7)*(raw!$G$2:$G$1473))</f>
        <v>4</v>
      </c>
      <c r="T46" s="8">
        <f>SUMPRODUCT((raw!$B$2:$B$1473='2018-19_working'!$A46)*(raw!$E$2:$E$1473='2018-19_working'!$T$6)*(raw!$F$2:$F$1473='2018-19_working'!T$7)*(raw!$G$2:$G$1473))</f>
        <v>1</v>
      </c>
      <c r="U46" s="8">
        <f>SUMPRODUCT((raw!$B$2:$B$1473='2018-19_working'!$A46)*(raw!$E$2:$E$1473='2018-19_working'!$T$6)*(raw!$F$2:$F$1473='2018-19_working'!U$7)*(raw!$G$2:$G$1473))</f>
        <v>0</v>
      </c>
      <c r="V46" s="8">
        <f>SUMPRODUCT((raw!$B$2:$B$1473='2018-19_working'!$A46)*(raw!$E$2:$E$1473='2018-19_working'!$T$6)*(raw!$F$2:$F$1473='2018-19_working'!V$7)*(raw!$G$2:$G$1473))</f>
        <v>0</v>
      </c>
      <c r="W46" s="8">
        <f>SUMPRODUCT((raw!$B$2:$B$1473='2018-19_working'!$A46)*(raw!$E$2:$E$1473='2018-19_working'!$T$6)*(raw!$F$2:$F$1473='2018-19_working'!W$7)*(raw!$G$2:$G$1473))</f>
        <v>0</v>
      </c>
      <c r="X46" s="8">
        <f>SUMPRODUCT((raw!$B$2:$B$1473='2018-19_working'!$A46)*(raw!$E$2:$E$1473='2018-19_working'!$T$6)*(raw!$F$2:$F$1473='2018-19_working'!X$7)*(raw!$G$2:$G$1473))</f>
        <v>0</v>
      </c>
      <c r="Y46" s="8">
        <f>SUMPRODUCT((raw!$B$2:$B$1473='2018-19_working'!$A46)*(raw!$E$2:$E$1473='2018-19_working'!$T$6)*(raw!$F$2:$F$1473='2018-19_working'!Y$7)*(raw!$G$2:$G$1473))</f>
        <v>0</v>
      </c>
      <c r="Z46" s="8">
        <f>SUMPRODUCT((raw!$B$2:$B$1473='2018-19_working'!$A46)*(raw!$E$2:$E$1473='2018-19_working'!$T$6)*(raw!$F$2:$F$1473='2018-19_working'!Z$7)*(raw!$G$2:$G$1473))</f>
        <v>0</v>
      </c>
      <c r="AA46" s="8">
        <f>SUMPRODUCT((raw!$B$2:$B$1473='2018-19_working'!$A46)*(raw!$E$2:$E$1473='2018-19_working'!$T$6)*(raw!$F$2:$F$1473='2018-19_working'!AA$7)*(raw!$G$2:$G$1473))</f>
        <v>0</v>
      </c>
      <c r="AC46" s="8">
        <f>SUMPRODUCT((raw!$B$2:$B$1473='2018-19_working'!$A46)*(raw!$E$2:$E$1473='2018-19_working'!$AC$6)*(raw!$F$2:$F$1473='2018-19_working'!AC$7)*(raw!$G$2:$G$1473))</f>
        <v>10</v>
      </c>
      <c r="AD46" s="8">
        <f>SUMPRODUCT((raw!$B$2:$B$1473='2018-19_working'!$A46)*(raw!$E$2:$E$1473='2018-19_working'!$AC$6)*(raw!$F$2:$F$1473='2018-19_working'!AD$7)*(raw!$G$2:$G$1473))</f>
        <v>0</v>
      </c>
      <c r="AE46" s="8">
        <f>SUMPRODUCT((raw!$B$2:$B$1473='2018-19_working'!$A46)*(raw!$E$2:$E$1473='2018-19_working'!$AC$6)*(raw!$F$2:$F$1473='2018-19_working'!AE$7)*(raw!$G$2:$G$1473))</f>
        <v>0</v>
      </c>
      <c r="AF46" s="8">
        <f>SUMPRODUCT((raw!$B$2:$B$1473='2018-19_working'!$A46)*(raw!$E$2:$E$1473='2018-19_working'!$AC$6)*(raw!$F$2:$F$1473='2018-19_working'!AF$7)*(raw!$G$2:$G$1473))</f>
        <v>1</v>
      </c>
      <c r="AG46" s="8">
        <f>SUMPRODUCT((raw!$B$2:$B$1473='2018-19_working'!$A46)*(raw!$E$2:$E$1473='2018-19_working'!$AC$6)*(raw!$F$2:$F$1473='2018-19_working'!AG$7)*(raw!$G$2:$G$1473))</f>
        <v>0</v>
      </c>
      <c r="AH46" s="8">
        <f>SUMPRODUCT((raw!$B$2:$B$1473='2018-19_working'!$A46)*(raw!$E$2:$E$1473='2018-19_working'!$AC$6)*(raw!$F$2:$F$1473='2018-19_working'!AH$7)*(raw!$G$2:$G$1473))</f>
        <v>0</v>
      </c>
      <c r="AI46" s="8">
        <f>SUMPRODUCT((raw!$B$2:$B$1473='2018-19_working'!$A46)*(raw!$E$2:$E$1473='2018-19_working'!$AC$6)*(raw!$F$2:$F$1473='2018-19_working'!AI$7)*(raw!$G$2:$G$1473))</f>
        <v>0</v>
      </c>
      <c r="AJ46" s="8">
        <f>SUMPRODUCT((raw!$B$2:$B$1473='2018-19_working'!$A46)*(raw!$E$2:$E$1473='2018-19_working'!$AC$6)*(raw!$F$2:$F$1473='2018-19_working'!AJ$7)*(raw!$G$2:$G$1473))</f>
        <v>2</v>
      </c>
    </row>
    <row r="47" spans="1:36" x14ac:dyDescent="0.35">
      <c r="A47" s="8" t="s">
        <v>54</v>
      </c>
      <c r="B47" s="8">
        <f>SUMPRODUCT((raw!$B$2:$B$1473='2018-19_working'!$A47)*(raw!$E$2:$E$1473='2018-19_working'!$B$6:$I$6)*(raw!$F$2:$F$1473='2018-19_working'!B$7)*(raw!$G$2:$G$1473))</f>
        <v>13</v>
      </c>
      <c r="C47" s="8">
        <f>SUMPRODUCT((raw!$B$2:$B$1473='2018-19_working'!$A47)*(raw!$E$2:$E$1473='2018-19_working'!$B$6:$I$6)*(raw!$F$2:$F$1473='2018-19_working'!C$7)*(raw!$G$2:$G$1473))</f>
        <v>0</v>
      </c>
      <c r="D47" s="8">
        <f>SUMPRODUCT((raw!$B$2:$B$1473='2018-19_working'!$A47)*(raw!$E$2:$E$1473='2018-19_working'!$B$6:$I$6)*(raw!$F$2:$F$1473='2018-19_working'!D$7)*(raw!$G$2:$G$1473))</f>
        <v>0</v>
      </c>
      <c r="E47" s="8">
        <f>SUMPRODUCT((raw!$B$2:$B$1473='2018-19_working'!$A47)*(raw!$E$2:$E$1473='2018-19_working'!$B$6:$I$6)*(raw!$F$2:$F$1473='2018-19_working'!E$7)*(raw!$G$2:$G$1473))</f>
        <v>0</v>
      </c>
      <c r="F47" s="8">
        <f>SUMPRODUCT((raw!$B$2:$B$1473='2018-19_working'!$A47)*(raw!$E$2:$E$1473='2018-19_working'!$B$6:$I$6)*(raw!$F$2:$F$1473='2018-19_working'!F$7)*(raw!$G$2:$G$1473))</f>
        <v>0</v>
      </c>
      <c r="G47" s="8">
        <f>SUMPRODUCT((raw!$B$2:$B$1473='2018-19_working'!$A47)*(raw!$E$2:$E$1473='2018-19_working'!$B$6:$I$6)*(raw!$F$2:$F$1473='2018-19_working'!G$7)*(raw!$G$2:$G$1473))</f>
        <v>0</v>
      </c>
      <c r="H47" s="8">
        <f>SUMPRODUCT((raw!$B$2:$B$1473='2018-19_working'!$A47)*(raw!$E$2:$E$1473='2018-19_working'!$B$6:$I$6)*(raw!$F$2:$F$1473='2018-19_working'!H$7)*(raw!$G$2:$G$1473))</f>
        <v>0</v>
      </c>
      <c r="I47" s="8">
        <f>SUMPRODUCT((raw!$B$2:$B$1473='2018-19_working'!$A47)*(raw!$E$2:$E$1473='2018-19_working'!$B$6:$I$6)*(raw!$F$2:$F$1473='2018-19_working'!I$7)*(raw!$G$2:$G$1473))</f>
        <v>4</v>
      </c>
      <c r="K47" s="8">
        <f>SUMPRODUCT((raw!$B$2:$B$1473='2018-19_working'!$A47)*(raw!$E$2:$E$1473='2018-19_working'!$K$6)*(raw!$F$2:$F$1473='2018-19_working'!K$7)*(raw!$G$2:$G$1473))</f>
        <v>27</v>
      </c>
      <c r="L47" s="8">
        <f>SUMPRODUCT((raw!$B$2:$B$1473='2018-19_working'!$A47)*(raw!$E$2:$E$1473='2018-19_working'!$K$6)*(raw!$F$2:$F$1473='2018-19_working'!L$7)*(raw!$G$2:$G$1473))</f>
        <v>1</v>
      </c>
      <c r="M47" s="8">
        <f>SUMPRODUCT((raw!$B$2:$B$1473='2018-19_working'!$A47)*(raw!$E$2:$E$1473='2018-19_working'!$K$6)*(raw!$F$2:$F$1473='2018-19_working'!M$7)*(raw!$G$2:$G$1473))</f>
        <v>0</v>
      </c>
      <c r="N47" s="8">
        <f>SUMPRODUCT((raw!$B$2:$B$1473='2018-19_working'!$A47)*(raw!$E$2:$E$1473='2018-19_working'!$K$6)*(raw!$F$2:$F$1473='2018-19_working'!N$7)*(raw!$G$2:$G$1473))</f>
        <v>0</v>
      </c>
      <c r="O47" s="8">
        <f>SUMPRODUCT((raw!$B$2:$B$1473='2018-19_working'!$A47)*(raw!$E$2:$E$1473='2018-19_working'!$K$6)*(raw!$F$2:$F$1473='2018-19_working'!O$7)*(raw!$G$2:$G$1473))</f>
        <v>0</v>
      </c>
      <c r="P47" s="8">
        <f>SUMPRODUCT((raw!$B$2:$B$1473='2018-19_working'!$A47)*(raw!$E$2:$E$1473='2018-19_working'!$K$6)*(raw!$F$2:$F$1473='2018-19_working'!P$7)*(raw!$G$2:$G$1473))</f>
        <v>0</v>
      </c>
      <c r="Q47" s="8">
        <f>SUMPRODUCT((raw!$B$2:$B$1473='2018-19_working'!$A47)*(raw!$E$2:$E$1473='2018-19_working'!$K$6)*(raw!$F$2:$F$1473='2018-19_working'!Q$7)*(raw!$G$2:$G$1473))</f>
        <v>0</v>
      </c>
      <c r="R47" s="8">
        <f>SUMPRODUCT((raw!$B$2:$B$1473='2018-19_working'!$A47)*(raw!$E$2:$E$1473='2018-19_working'!$K$6)*(raw!$F$2:$F$1473='2018-19_working'!R$7)*(raw!$G$2:$G$1473))</f>
        <v>14</v>
      </c>
      <c r="T47" s="8">
        <f>SUMPRODUCT((raw!$B$2:$B$1473='2018-19_working'!$A47)*(raw!$E$2:$E$1473='2018-19_working'!$T$6)*(raw!$F$2:$F$1473='2018-19_working'!T$7)*(raw!$G$2:$G$1473))</f>
        <v>0</v>
      </c>
      <c r="U47" s="8">
        <f>SUMPRODUCT((raw!$B$2:$B$1473='2018-19_working'!$A47)*(raw!$E$2:$E$1473='2018-19_working'!$T$6)*(raw!$F$2:$F$1473='2018-19_working'!U$7)*(raw!$G$2:$G$1473))</f>
        <v>0</v>
      </c>
      <c r="V47" s="8">
        <f>SUMPRODUCT((raw!$B$2:$B$1473='2018-19_working'!$A47)*(raw!$E$2:$E$1473='2018-19_working'!$T$6)*(raw!$F$2:$F$1473='2018-19_working'!V$7)*(raw!$G$2:$G$1473))</f>
        <v>0</v>
      </c>
      <c r="W47" s="8">
        <f>SUMPRODUCT((raw!$B$2:$B$1473='2018-19_working'!$A47)*(raw!$E$2:$E$1473='2018-19_working'!$T$6)*(raw!$F$2:$F$1473='2018-19_working'!W$7)*(raw!$G$2:$G$1473))</f>
        <v>0</v>
      </c>
      <c r="X47" s="8">
        <f>SUMPRODUCT((raw!$B$2:$B$1473='2018-19_working'!$A47)*(raw!$E$2:$E$1473='2018-19_working'!$T$6)*(raw!$F$2:$F$1473='2018-19_working'!X$7)*(raw!$G$2:$G$1473))</f>
        <v>0</v>
      </c>
      <c r="Y47" s="8">
        <f>SUMPRODUCT((raw!$B$2:$B$1473='2018-19_working'!$A47)*(raw!$E$2:$E$1473='2018-19_working'!$T$6)*(raw!$F$2:$F$1473='2018-19_working'!Y$7)*(raw!$G$2:$G$1473))</f>
        <v>0</v>
      </c>
      <c r="Z47" s="8">
        <f>SUMPRODUCT((raw!$B$2:$B$1473='2018-19_working'!$A47)*(raw!$E$2:$E$1473='2018-19_working'!$T$6)*(raw!$F$2:$F$1473='2018-19_working'!Z$7)*(raw!$G$2:$G$1473))</f>
        <v>0</v>
      </c>
      <c r="AA47" s="8">
        <f>SUMPRODUCT((raw!$B$2:$B$1473='2018-19_working'!$A47)*(raw!$E$2:$E$1473='2018-19_working'!$T$6)*(raw!$F$2:$F$1473='2018-19_working'!AA$7)*(raw!$G$2:$G$1473))</f>
        <v>0</v>
      </c>
      <c r="AC47" s="8">
        <f>SUMPRODUCT((raw!$B$2:$B$1473='2018-19_working'!$A47)*(raw!$E$2:$E$1473='2018-19_working'!$AC$6)*(raw!$F$2:$F$1473='2018-19_working'!AC$7)*(raw!$G$2:$G$1473))</f>
        <v>1</v>
      </c>
      <c r="AD47" s="8">
        <f>SUMPRODUCT((raw!$B$2:$B$1473='2018-19_working'!$A47)*(raw!$E$2:$E$1473='2018-19_working'!$AC$6)*(raw!$F$2:$F$1473='2018-19_working'!AD$7)*(raw!$G$2:$G$1473))</f>
        <v>0</v>
      </c>
      <c r="AE47" s="8">
        <f>SUMPRODUCT((raw!$B$2:$B$1473='2018-19_working'!$A47)*(raw!$E$2:$E$1473='2018-19_working'!$AC$6)*(raw!$F$2:$F$1473='2018-19_working'!AE$7)*(raw!$G$2:$G$1473))</f>
        <v>0</v>
      </c>
      <c r="AF47" s="8">
        <f>SUMPRODUCT((raw!$B$2:$B$1473='2018-19_working'!$A47)*(raw!$E$2:$E$1473='2018-19_working'!$AC$6)*(raw!$F$2:$F$1473='2018-19_working'!AF$7)*(raw!$G$2:$G$1473))</f>
        <v>0</v>
      </c>
      <c r="AG47" s="8">
        <f>SUMPRODUCT((raw!$B$2:$B$1473='2018-19_working'!$A47)*(raw!$E$2:$E$1473='2018-19_working'!$AC$6)*(raw!$F$2:$F$1473='2018-19_working'!AG$7)*(raw!$G$2:$G$1473))</f>
        <v>0</v>
      </c>
      <c r="AH47" s="8">
        <f>SUMPRODUCT((raw!$B$2:$B$1473='2018-19_working'!$A47)*(raw!$E$2:$E$1473='2018-19_working'!$AC$6)*(raw!$F$2:$F$1473='2018-19_working'!AH$7)*(raw!$G$2:$G$1473))</f>
        <v>0</v>
      </c>
      <c r="AI47" s="8">
        <f>SUMPRODUCT((raw!$B$2:$B$1473='2018-19_working'!$A47)*(raw!$E$2:$E$1473='2018-19_working'!$AC$6)*(raw!$F$2:$F$1473='2018-19_working'!AI$7)*(raw!$G$2:$G$1473))</f>
        <v>0</v>
      </c>
      <c r="AJ47" s="8">
        <f>SUMPRODUCT((raw!$B$2:$B$1473='2018-19_working'!$A47)*(raw!$E$2:$E$1473='2018-19_working'!$AC$6)*(raw!$F$2:$F$1473='2018-19_working'!AJ$7)*(raw!$G$2:$G$1473))</f>
        <v>10</v>
      </c>
    </row>
    <row r="48" spans="1:36" x14ac:dyDescent="0.35">
      <c r="A48" s="8" t="s">
        <v>55</v>
      </c>
      <c r="B48" s="8">
        <f>SUMPRODUCT((raw!$B$2:$B$1473='2018-19_working'!$A48)*(raw!$E$2:$E$1473='2018-19_working'!$B$6:$I$6)*(raw!$F$2:$F$1473='2018-19_working'!B$7)*(raw!$G$2:$G$1473))</f>
        <v>0</v>
      </c>
      <c r="C48" s="8">
        <f>SUMPRODUCT((raw!$B$2:$B$1473='2018-19_working'!$A48)*(raw!$E$2:$E$1473='2018-19_working'!$B$6:$I$6)*(raw!$F$2:$F$1473='2018-19_working'!C$7)*(raw!$G$2:$G$1473))</f>
        <v>0</v>
      </c>
      <c r="D48" s="8">
        <f>SUMPRODUCT((raw!$B$2:$B$1473='2018-19_working'!$A48)*(raw!$E$2:$E$1473='2018-19_working'!$B$6:$I$6)*(raw!$F$2:$F$1473='2018-19_working'!D$7)*(raw!$G$2:$G$1473))</f>
        <v>0</v>
      </c>
      <c r="E48" s="8">
        <f>SUMPRODUCT((raw!$B$2:$B$1473='2018-19_working'!$A48)*(raw!$E$2:$E$1473='2018-19_working'!$B$6:$I$6)*(raw!$F$2:$F$1473='2018-19_working'!E$7)*(raw!$G$2:$G$1473))</f>
        <v>0</v>
      </c>
      <c r="F48" s="8">
        <f>SUMPRODUCT((raw!$B$2:$B$1473='2018-19_working'!$A48)*(raw!$E$2:$E$1473='2018-19_working'!$B$6:$I$6)*(raw!$F$2:$F$1473='2018-19_working'!F$7)*(raw!$G$2:$G$1473))</f>
        <v>0</v>
      </c>
      <c r="G48" s="8">
        <f>SUMPRODUCT((raw!$B$2:$B$1473='2018-19_working'!$A48)*(raw!$E$2:$E$1473='2018-19_working'!$B$6:$I$6)*(raw!$F$2:$F$1473='2018-19_working'!G$7)*(raw!$G$2:$G$1473))</f>
        <v>0</v>
      </c>
      <c r="H48" s="8">
        <f>SUMPRODUCT((raw!$B$2:$B$1473='2018-19_working'!$A48)*(raw!$E$2:$E$1473='2018-19_working'!$B$6:$I$6)*(raw!$F$2:$F$1473='2018-19_working'!H$7)*(raw!$G$2:$G$1473))</f>
        <v>0</v>
      </c>
      <c r="I48" s="8">
        <f>SUMPRODUCT((raw!$B$2:$B$1473='2018-19_working'!$A48)*(raw!$E$2:$E$1473='2018-19_working'!$B$6:$I$6)*(raw!$F$2:$F$1473='2018-19_working'!I$7)*(raw!$G$2:$G$1473))</f>
        <v>0</v>
      </c>
      <c r="K48" s="8">
        <f>SUMPRODUCT((raw!$B$2:$B$1473='2018-19_working'!$A48)*(raw!$E$2:$E$1473='2018-19_working'!$K$6)*(raw!$F$2:$F$1473='2018-19_working'!K$7)*(raw!$G$2:$G$1473))</f>
        <v>2</v>
      </c>
      <c r="L48" s="8">
        <f>SUMPRODUCT((raw!$B$2:$B$1473='2018-19_working'!$A48)*(raw!$E$2:$E$1473='2018-19_working'!$K$6)*(raw!$F$2:$F$1473='2018-19_working'!L$7)*(raw!$G$2:$G$1473))</f>
        <v>0</v>
      </c>
      <c r="M48" s="8">
        <f>SUMPRODUCT((raw!$B$2:$B$1473='2018-19_working'!$A48)*(raw!$E$2:$E$1473='2018-19_working'!$K$6)*(raw!$F$2:$F$1473='2018-19_working'!M$7)*(raw!$G$2:$G$1473))</f>
        <v>0</v>
      </c>
      <c r="N48" s="8">
        <f>SUMPRODUCT((raw!$B$2:$B$1473='2018-19_working'!$A48)*(raw!$E$2:$E$1473='2018-19_working'!$K$6)*(raw!$F$2:$F$1473='2018-19_working'!N$7)*(raw!$G$2:$G$1473))</f>
        <v>0</v>
      </c>
      <c r="O48" s="8">
        <f>SUMPRODUCT((raw!$B$2:$B$1473='2018-19_working'!$A48)*(raw!$E$2:$E$1473='2018-19_working'!$K$6)*(raw!$F$2:$F$1473='2018-19_working'!O$7)*(raw!$G$2:$G$1473))</f>
        <v>1</v>
      </c>
      <c r="P48" s="8">
        <f>SUMPRODUCT((raw!$B$2:$B$1473='2018-19_working'!$A48)*(raw!$E$2:$E$1473='2018-19_working'!$K$6)*(raw!$F$2:$F$1473='2018-19_working'!P$7)*(raw!$G$2:$G$1473))</f>
        <v>0</v>
      </c>
      <c r="Q48" s="8">
        <f>SUMPRODUCT((raw!$B$2:$B$1473='2018-19_working'!$A48)*(raw!$E$2:$E$1473='2018-19_working'!$K$6)*(raw!$F$2:$F$1473='2018-19_working'!Q$7)*(raw!$G$2:$G$1473))</f>
        <v>0</v>
      </c>
      <c r="R48" s="8">
        <f>SUMPRODUCT((raw!$B$2:$B$1473='2018-19_working'!$A48)*(raw!$E$2:$E$1473='2018-19_working'!$K$6)*(raw!$F$2:$F$1473='2018-19_working'!R$7)*(raw!$G$2:$G$1473))</f>
        <v>0</v>
      </c>
      <c r="T48" s="8">
        <f>SUMPRODUCT((raw!$B$2:$B$1473='2018-19_working'!$A48)*(raw!$E$2:$E$1473='2018-19_working'!$T$6)*(raw!$F$2:$F$1473='2018-19_working'!T$7)*(raw!$G$2:$G$1473))</f>
        <v>0</v>
      </c>
      <c r="U48" s="8">
        <f>SUMPRODUCT((raw!$B$2:$B$1473='2018-19_working'!$A48)*(raw!$E$2:$E$1473='2018-19_working'!$T$6)*(raw!$F$2:$F$1473='2018-19_working'!U$7)*(raw!$G$2:$G$1473))</f>
        <v>0</v>
      </c>
      <c r="V48" s="8">
        <f>SUMPRODUCT((raw!$B$2:$B$1473='2018-19_working'!$A48)*(raw!$E$2:$E$1473='2018-19_working'!$T$6)*(raw!$F$2:$F$1473='2018-19_working'!V$7)*(raw!$G$2:$G$1473))</f>
        <v>0</v>
      </c>
      <c r="W48" s="8">
        <f>SUMPRODUCT((raw!$B$2:$B$1473='2018-19_working'!$A48)*(raw!$E$2:$E$1473='2018-19_working'!$T$6)*(raw!$F$2:$F$1473='2018-19_working'!W$7)*(raw!$G$2:$G$1473))</f>
        <v>0</v>
      </c>
      <c r="X48" s="8">
        <f>SUMPRODUCT((raw!$B$2:$B$1473='2018-19_working'!$A48)*(raw!$E$2:$E$1473='2018-19_working'!$T$6)*(raw!$F$2:$F$1473='2018-19_working'!X$7)*(raw!$G$2:$G$1473))</f>
        <v>0</v>
      </c>
      <c r="Y48" s="8">
        <f>SUMPRODUCT((raw!$B$2:$B$1473='2018-19_working'!$A48)*(raw!$E$2:$E$1473='2018-19_working'!$T$6)*(raw!$F$2:$F$1473='2018-19_working'!Y$7)*(raw!$G$2:$G$1473))</f>
        <v>0</v>
      </c>
      <c r="Z48" s="8">
        <f>SUMPRODUCT((raw!$B$2:$B$1473='2018-19_working'!$A48)*(raw!$E$2:$E$1473='2018-19_working'!$T$6)*(raw!$F$2:$F$1473='2018-19_working'!Z$7)*(raw!$G$2:$G$1473))</f>
        <v>0</v>
      </c>
      <c r="AA48" s="8">
        <f>SUMPRODUCT((raw!$B$2:$B$1473='2018-19_working'!$A48)*(raw!$E$2:$E$1473='2018-19_working'!$T$6)*(raw!$F$2:$F$1473='2018-19_working'!AA$7)*(raw!$G$2:$G$1473))</f>
        <v>0</v>
      </c>
      <c r="AC48" s="8">
        <f>SUMPRODUCT((raw!$B$2:$B$1473='2018-19_working'!$A48)*(raw!$E$2:$E$1473='2018-19_working'!$AC$6)*(raw!$F$2:$F$1473='2018-19_working'!AC$7)*(raw!$G$2:$G$1473))</f>
        <v>1</v>
      </c>
      <c r="AD48" s="8">
        <f>SUMPRODUCT((raw!$B$2:$B$1473='2018-19_working'!$A48)*(raw!$E$2:$E$1473='2018-19_working'!$AC$6)*(raw!$F$2:$F$1473='2018-19_working'!AD$7)*(raw!$G$2:$G$1473))</f>
        <v>0</v>
      </c>
      <c r="AE48" s="8">
        <f>SUMPRODUCT((raw!$B$2:$B$1473='2018-19_working'!$A48)*(raw!$E$2:$E$1473='2018-19_working'!$AC$6)*(raw!$F$2:$F$1473='2018-19_working'!AE$7)*(raw!$G$2:$G$1473))</f>
        <v>0</v>
      </c>
      <c r="AF48" s="8">
        <f>SUMPRODUCT((raw!$B$2:$B$1473='2018-19_working'!$A48)*(raw!$E$2:$E$1473='2018-19_working'!$AC$6)*(raw!$F$2:$F$1473='2018-19_working'!AF$7)*(raw!$G$2:$G$1473))</f>
        <v>0</v>
      </c>
      <c r="AG48" s="8">
        <f>SUMPRODUCT((raw!$B$2:$B$1473='2018-19_working'!$A48)*(raw!$E$2:$E$1473='2018-19_working'!$AC$6)*(raw!$F$2:$F$1473='2018-19_working'!AG$7)*(raw!$G$2:$G$1473))</f>
        <v>0</v>
      </c>
      <c r="AH48" s="8">
        <f>SUMPRODUCT((raw!$B$2:$B$1473='2018-19_working'!$A48)*(raw!$E$2:$E$1473='2018-19_working'!$AC$6)*(raw!$F$2:$F$1473='2018-19_working'!AH$7)*(raw!$G$2:$G$1473))</f>
        <v>0</v>
      </c>
      <c r="AI48" s="8">
        <f>SUMPRODUCT((raw!$B$2:$B$1473='2018-19_working'!$A48)*(raw!$E$2:$E$1473='2018-19_working'!$AC$6)*(raw!$F$2:$F$1473='2018-19_working'!AI$7)*(raw!$G$2:$G$1473))</f>
        <v>0</v>
      </c>
      <c r="AJ48" s="8">
        <f>SUMPRODUCT((raw!$B$2:$B$1473='2018-19_working'!$A48)*(raw!$E$2:$E$1473='2018-19_working'!$AC$6)*(raw!$F$2:$F$1473='2018-19_working'!AJ$7)*(raw!$G$2:$G$1473))</f>
        <v>0</v>
      </c>
    </row>
    <row r="49" spans="1:36" x14ac:dyDescent="0.35">
      <c r="A49" s="8" t="s">
        <v>56</v>
      </c>
      <c r="B49" s="8">
        <f>SUM(B50:B56)</f>
        <v>620</v>
      </c>
      <c r="C49" s="8">
        <f t="shared" ref="C49:I49" si="44">SUM(C50:C56)</f>
        <v>24</v>
      </c>
      <c r="D49" s="8">
        <f t="shared" si="44"/>
        <v>38</v>
      </c>
      <c r="E49" s="8">
        <f t="shared" si="44"/>
        <v>11</v>
      </c>
      <c r="F49" s="8">
        <f t="shared" si="44"/>
        <v>22</v>
      </c>
      <c r="G49" s="8">
        <f t="shared" si="44"/>
        <v>1</v>
      </c>
      <c r="H49" s="8">
        <f t="shared" si="44"/>
        <v>9</v>
      </c>
      <c r="I49" s="8">
        <f t="shared" si="44"/>
        <v>84</v>
      </c>
      <c r="K49" s="8">
        <f>SUM(K50:K56)</f>
        <v>41</v>
      </c>
      <c r="L49" s="8">
        <f t="shared" ref="L49" si="45">SUM(L50:L56)</f>
        <v>1</v>
      </c>
      <c r="M49" s="8">
        <f t="shared" ref="M49" si="46">SUM(M50:M56)</f>
        <v>2</v>
      </c>
      <c r="N49" s="8">
        <f t="shared" ref="N49" si="47">SUM(N50:N56)</f>
        <v>0</v>
      </c>
      <c r="O49" s="8">
        <f t="shared" ref="O49" si="48">SUM(O50:O56)</f>
        <v>2</v>
      </c>
      <c r="P49" s="8">
        <f t="shared" ref="P49" si="49">SUM(P50:P56)</f>
        <v>0</v>
      </c>
      <c r="Q49" s="8">
        <f t="shared" ref="Q49" si="50">SUM(Q50:Q56)</f>
        <v>1</v>
      </c>
      <c r="R49" s="8">
        <f t="shared" ref="R49" si="51">SUM(R50:R56)</f>
        <v>1</v>
      </c>
      <c r="T49" s="8">
        <f>SUM(T50:T56)</f>
        <v>21</v>
      </c>
      <c r="U49" s="8">
        <f t="shared" ref="U49" si="52">SUM(U50:U56)</f>
        <v>0</v>
      </c>
      <c r="V49" s="8">
        <f t="shared" ref="V49" si="53">SUM(V50:V56)</f>
        <v>1</v>
      </c>
      <c r="W49" s="8">
        <f t="shared" ref="W49" si="54">SUM(W50:W56)</f>
        <v>0</v>
      </c>
      <c r="X49" s="8">
        <f t="shared" ref="X49" si="55">SUM(X50:X56)</f>
        <v>0</v>
      </c>
      <c r="Y49" s="8">
        <f t="shared" ref="Y49" si="56">SUM(Y50:Y56)</f>
        <v>0</v>
      </c>
      <c r="Z49" s="8">
        <f t="shared" ref="Z49" si="57">SUM(Z50:Z56)</f>
        <v>0</v>
      </c>
      <c r="AA49" s="8">
        <f t="shared" ref="AA49" si="58">SUM(AA50:AA56)</f>
        <v>0</v>
      </c>
      <c r="AC49" s="8">
        <f>SUM(AC50:AC56)</f>
        <v>247</v>
      </c>
      <c r="AD49" s="8">
        <f t="shared" ref="AD49" si="59">SUM(AD50:AD56)</f>
        <v>4</v>
      </c>
      <c r="AE49" s="8">
        <f t="shared" ref="AE49" si="60">SUM(AE50:AE56)</f>
        <v>6</v>
      </c>
      <c r="AF49" s="8">
        <f t="shared" ref="AF49" si="61">SUM(AF50:AF56)</f>
        <v>17</v>
      </c>
      <c r="AG49" s="8">
        <f t="shared" ref="AG49" si="62">SUM(AG50:AG56)</f>
        <v>19</v>
      </c>
      <c r="AH49" s="8">
        <f t="shared" ref="AH49" si="63">SUM(AH50:AH56)</f>
        <v>2</v>
      </c>
      <c r="AI49" s="8">
        <f t="shared" ref="AI49" si="64">SUM(AI50:AI56)</f>
        <v>9</v>
      </c>
      <c r="AJ49" s="8">
        <f t="shared" ref="AJ49" si="65">SUM(AJ50:AJ56)</f>
        <v>30</v>
      </c>
    </row>
    <row r="50" spans="1:36" x14ac:dyDescent="0.35">
      <c r="A50" s="8" t="s">
        <v>57</v>
      </c>
      <c r="B50" s="8">
        <f>SUMPRODUCT((raw!$B$2:$B$1473='2018-19_working'!$A50)*(raw!$E$2:$E$1473='2018-19_working'!$B$6:$I$6)*(raw!$F$2:$F$1473='2018-19_working'!B$7)*(raw!$G$2:$G$1473))</f>
        <v>50</v>
      </c>
      <c r="C50" s="8">
        <f>SUMPRODUCT((raw!$B$2:$B$1473='2018-19_working'!$A50)*(raw!$E$2:$E$1473='2018-19_working'!$B$6:$I$6)*(raw!$F$2:$F$1473='2018-19_working'!C$7)*(raw!$G$2:$G$1473))</f>
        <v>2</v>
      </c>
      <c r="D50" s="8">
        <f>SUMPRODUCT((raw!$B$2:$B$1473='2018-19_working'!$A50)*(raw!$E$2:$E$1473='2018-19_working'!$B$6:$I$6)*(raw!$F$2:$F$1473='2018-19_working'!D$7)*(raw!$G$2:$G$1473))</f>
        <v>4</v>
      </c>
      <c r="E50" s="8">
        <f>SUMPRODUCT((raw!$B$2:$B$1473='2018-19_working'!$A50)*(raw!$E$2:$E$1473='2018-19_working'!$B$6:$I$6)*(raw!$F$2:$F$1473='2018-19_working'!E$7)*(raw!$G$2:$G$1473))</f>
        <v>2</v>
      </c>
      <c r="F50" s="8">
        <f>SUMPRODUCT((raw!$B$2:$B$1473='2018-19_working'!$A50)*(raw!$E$2:$E$1473='2018-19_working'!$B$6:$I$6)*(raw!$F$2:$F$1473='2018-19_working'!F$7)*(raw!$G$2:$G$1473))</f>
        <v>0</v>
      </c>
      <c r="G50" s="8">
        <f>SUMPRODUCT((raw!$B$2:$B$1473='2018-19_working'!$A50)*(raw!$E$2:$E$1473='2018-19_working'!$B$6:$I$6)*(raw!$F$2:$F$1473='2018-19_working'!G$7)*(raw!$G$2:$G$1473))</f>
        <v>0</v>
      </c>
      <c r="H50" s="8">
        <f>SUMPRODUCT((raw!$B$2:$B$1473='2018-19_working'!$A50)*(raw!$E$2:$E$1473='2018-19_working'!$B$6:$I$6)*(raw!$F$2:$F$1473='2018-19_working'!H$7)*(raw!$G$2:$G$1473))</f>
        <v>0</v>
      </c>
      <c r="I50" s="8">
        <f>SUMPRODUCT((raw!$B$2:$B$1473='2018-19_working'!$A50)*(raw!$E$2:$E$1473='2018-19_working'!$B$6:$I$6)*(raw!$F$2:$F$1473='2018-19_working'!I$7)*(raw!$G$2:$G$1473))</f>
        <v>67</v>
      </c>
      <c r="K50" s="8">
        <f>SUMPRODUCT((raw!$B$2:$B$1473='2018-19_working'!$A50)*(raw!$E$2:$E$1473='2018-19_working'!$K$6)*(raw!$F$2:$F$1473='2018-19_working'!K$7)*(raw!$G$2:$G$1473))</f>
        <v>0</v>
      </c>
      <c r="L50" s="8">
        <f>SUMPRODUCT((raw!$B$2:$B$1473='2018-19_working'!$A50)*(raw!$E$2:$E$1473='2018-19_working'!$K$6)*(raw!$F$2:$F$1473='2018-19_working'!L$7)*(raw!$G$2:$G$1473))</f>
        <v>0</v>
      </c>
      <c r="M50" s="8">
        <f>SUMPRODUCT((raw!$B$2:$B$1473='2018-19_working'!$A50)*(raw!$E$2:$E$1473='2018-19_working'!$K$6)*(raw!$F$2:$F$1473='2018-19_working'!M$7)*(raw!$G$2:$G$1473))</f>
        <v>0</v>
      </c>
      <c r="N50" s="8">
        <f>SUMPRODUCT((raw!$B$2:$B$1473='2018-19_working'!$A50)*(raw!$E$2:$E$1473='2018-19_working'!$K$6)*(raw!$F$2:$F$1473='2018-19_working'!N$7)*(raw!$G$2:$G$1473))</f>
        <v>0</v>
      </c>
      <c r="O50" s="8">
        <f>SUMPRODUCT((raw!$B$2:$B$1473='2018-19_working'!$A50)*(raw!$E$2:$E$1473='2018-19_working'!$K$6)*(raw!$F$2:$F$1473='2018-19_working'!O$7)*(raw!$G$2:$G$1473))</f>
        <v>0</v>
      </c>
      <c r="P50" s="8">
        <f>SUMPRODUCT((raw!$B$2:$B$1473='2018-19_working'!$A50)*(raw!$E$2:$E$1473='2018-19_working'!$K$6)*(raw!$F$2:$F$1473='2018-19_working'!P$7)*(raw!$G$2:$G$1473))</f>
        <v>0</v>
      </c>
      <c r="Q50" s="8">
        <f>SUMPRODUCT((raw!$B$2:$B$1473='2018-19_working'!$A50)*(raw!$E$2:$E$1473='2018-19_working'!$K$6)*(raw!$F$2:$F$1473='2018-19_working'!Q$7)*(raw!$G$2:$G$1473))</f>
        <v>0</v>
      </c>
      <c r="R50" s="8">
        <f>SUMPRODUCT((raw!$B$2:$B$1473='2018-19_working'!$A50)*(raw!$E$2:$E$1473='2018-19_working'!$K$6)*(raw!$F$2:$F$1473='2018-19_working'!R$7)*(raw!$G$2:$G$1473))</f>
        <v>0</v>
      </c>
      <c r="T50" s="8">
        <f>SUMPRODUCT((raw!$B$2:$B$1473='2018-19_working'!$A50)*(raw!$E$2:$E$1473='2018-19_working'!$T$6)*(raw!$F$2:$F$1473='2018-19_working'!T$7)*(raw!$G$2:$G$1473))</f>
        <v>0</v>
      </c>
      <c r="U50" s="8">
        <f>SUMPRODUCT((raw!$B$2:$B$1473='2018-19_working'!$A50)*(raw!$E$2:$E$1473='2018-19_working'!$T$6)*(raw!$F$2:$F$1473='2018-19_working'!U$7)*(raw!$G$2:$G$1473))</f>
        <v>0</v>
      </c>
      <c r="V50" s="8">
        <f>SUMPRODUCT((raw!$B$2:$B$1473='2018-19_working'!$A50)*(raw!$E$2:$E$1473='2018-19_working'!$T$6)*(raw!$F$2:$F$1473='2018-19_working'!V$7)*(raw!$G$2:$G$1473))</f>
        <v>0</v>
      </c>
      <c r="W50" s="8">
        <f>SUMPRODUCT((raw!$B$2:$B$1473='2018-19_working'!$A50)*(raw!$E$2:$E$1473='2018-19_working'!$T$6)*(raw!$F$2:$F$1473='2018-19_working'!W$7)*(raw!$G$2:$G$1473))</f>
        <v>0</v>
      </c>
      <c r="X50" s="8">
        <f>SUMPRODUCT((raw!$B$2:$B$1473='2018-19_working'!$A50)*(raw!$E$2:$E$1473='2018-19_working'!$T$6)*(raw!$F$2:$F$1473='2018-19_working'!X$7)*(raw!$G$2:$G$1473))</f>
        <v>0</v>
      </c>
      <c r="Y50" s="8">
        <f>SUMPRODUCT((raw!$B$2:$B$1473='2018-19_working'!$A50)*(raw!$E$2:$E$1473='2018-19_working'!$T$6)*(raw!$F$2:$F$1473='2018-19_working'!Y$7)*(raw!$G$2:$G$1473))</f>
        <v>0</v>
      </c>
      <c r="Z50" s="8">
        <f>SUMPRODUCT((raw!$B$2:$B$1473='2018-19_working'!$A50)*(raw!$E$2:$E$1473='2018-19_working'!$T$6)*(raw!$F$2:$F$1473='2018-19_working'!Z$7)*(raw!$G$2:$G$1473))</f>
        <v>0</v>
      </c>
      <c r="AA50" s="8">
        <f>SUMPRODUCT((raw!$B$2:$B$1473='2018-19_working'!$A50)*(raw!$E$2:$E$1473='2018-19_working'!$T$6)*(raw!$F$2:$F$1473='2018-19_working'!AA$7)*(raw!$G$2:$G$1473))</f>
        <v>0</v>
      </c>
      <c r="AC50" s="8">
        <f>SUMPRODUCT((raw!$B$2:$B$1473='2018-19_working'!$A50)*(raw!$E$2:$E$1473='2018-19_working'!$AC$6)*(raw!$F$2:$F$1473='2018-19_working'!AC$7)*(raw!$G$2:$G$1473))</f>
        <v>41</v>
      </c>
      <c r="AD50" s="8">
        <f>SUMPRODUCT((raw!$B$2:$B$1473='2018-19_working'!$A50)*(raw!$E$2:$E$1473='2018-19_working'!$AC$6)*(raw!$F$2:$F$1473='2018-19_working'!AD$7)*(raw!$G$2:$G$1473))</f>
        <v>0</v>
      </c>
      <c r="AE50" s="8">
        <f>SUMPRODUCT((raw!$B$2:$B$1473='2018-19_working'!$A50)*(raw!$E$2:$E$1473='2018-19_working'!$AC$6)*(raw!$F$2:$F$1473='2018-19_working'!AE$7)*(raw!$G$2:$G$1473))</f>
        <v>0</v>
      </c>
      <c r="AF50" s="8">
        <f>SUMPRODUCT((raw!$B$2:$B$1473='2018-19_working'!$A50)*(raw!$E$2:$E$1473='2018-19_working'!$AC$6)*(raw!$F$2:$F$1473='2018-19_working'!AF$7)*(raw!$G$2:$G$1473))</f>
        <v>1</v>
      </c>
      <c r="AG50" s="8">
        <f>SUMPRODUCT((raw!$B$2:$B$1473='2018-19_working'!$A50)*(raw!$E$2:$E$1473='2018-19_working'!$AC$6)*(raw!$F$2:$F$1473='2018-19_working'!AG$7)*(raw!$G$2:$G$1473))</f>
        <v>0</v>
      </c>
      <c r="AH50" s="8">
        <f>SUMPRODUCT((raw!$B$2:$B$1473='2018-19_working'!$A50)*(raw!$E$2:$E$1473='2018-19_working'!$AC$6)*(raw!$F$2:$F$1473='2018-19_working'!AH$7)*(raw!$G$2:$G$1473))</f>
        <v>1</v>
      </c>
      <c r="AI50" s="8">
        <f>SUMPRODUCT((raw!$B$2:$B$1473='2018-19_working'!$A50)*(raw!$E$2:$E$1473='2018-19_working'!$AC$6)*(raw!$F$2:$F$1473='2018-19_working'!AI$7)*(raw!$G$2:$G$1473))</f>
        <v>0</v>
      </c>
      <c r="AJ50" s="8">
        <f>SUMPRODUCT((raw!$B$2:$B$1473='2018-19_working'!$A50)*(raw!$E$2:$E$1473='2018-19_working'!$AC$6)*(raw!$F$2:$F$1473='2018-19_working'!AJ$7)*(raw!$G$2:$G$1473))</f>
        <v>16</v>
      </c>
    </row>
    <row r="51" spans="1:36" x14ac:dyDescent="0.35">
      <c r="A51" s="8" t="s">
        <v>58</v>
      </c>
      <c r="B51" s="8">
        <f>SUMPRODUCT((raw!$B$2:$B$1473='2018-19_working'!$A51)*(raw!$E$2:$E$1473='2018-19_working'!$B$6:$I$6)*(raw!$F$2:$F$1473='2018-19_working'!B$7)*(raw!$G$2:$G$1473))</f>
        <v>45</v>
      </c>
      <c r="C51" s="8">
        <f>SUMPRODUCT((raw!$B$2:$B$1473='2018-19_working'!$A51)*(raw!$E$2:$E$1473='2018-19_working'!$B$6:$I$6)*(raw!$F$2:$F$1473='2018-19_working'!C$7)*(raw!$G$2:$G$1473))</f>
        <v>0</v>
      </c>
      <c r="D51" s="8">
        <f>SUMPRODUCT((raw!$B$2:$B$1473='2018-19_working'!$A51)*(raw!$E$2:$E$1473='2018-19_working'!$B$6:$I$6)*(raw!$F$2:$F$1473='2018-19_working'!D$7)*(raw!$G$2:$G$1473))</f>
        <v>3</v>
      </c>
      <c r="E51" s="8">
        <f>SUMPRODUCT((raw!$B$2:$B$1473='2018-19_working'!$A51)*(raw!$E$2:$E$1473='2018-19_working'!$B$6:$I$6)*(raw!$F$2:$F$1473='2018-19_working'!E$7)*(raw!$G$2:$G$1473))</f>
        <v>0</v>
      </c>
      <c r="F51" s="8">
        <f>SUMPRODUCT((raw!$B$2:$B$1473='2018-19_working'!$A51)*(raw!$E$2:$E$1473='2018-19_working'!$B$6:$I$6)*(raw!$F$2:$F$1473='2018-19_working'!F$7)*(raw!$G$2:$G$1473))</f>
        <v>0</v>
      </c>
      <c r="G51" s="8">
        <f>SUMPRODUCT((raw!$B$2:$B$1473='2018-19_working'!$A51)*(raw!$E$2:$E$1473='2018-19_working'!$B$6:$I$6)*(raw!$F$2:$F$1473='2018-19_working'!G$7)*(raw!$G$2:$G$1473))</f>
        <v>0</v>
      </c>
      <c r="H51" s="8">
        <f>SUMPRODUCT((raw!$B$2:$B$1473='2018-19_working'!$A51)*(raw!$E$2:$E$1473='2018-19_working'!$B$6:$I$6)*(raw!$F$2:$F$1473='2018-19_working'!H$7)*(raw!$G$2:$G$1473))</f>
        <v>1</v>
      </c>
      <c r="I51" s="8">
        <f>SUMPRODUCT((raw!$B$2:$B$1473='2018-19_working'!$A51)*(raw!$E$2:$E$1473='2018-19_working'!$B$6:$I$6)*(raw!$F$2:$F$1473='2018-19_working'!I$7)*(raw!$G$2:$G$1473))</f>
        <v>2</v>
      </c>
      <c r="K51" s="8">
        <f>SUMPRODUCT((raw!$B$2:$B$1473='2018-19_working'!$A51)*(raw!$E$2:$E$1473='2018-19_working'!$K$6)*(raw!$F$2:$F$1473='2018-19_working'!K$7)*(raw!$G$2:$G$1473))</f>
        <v>21</v>
      </c>
      <c r="L51" s="8">
        <f>SUMPRODUCT((raw!$B$2:$B$1473='2018-19_working'!$A51)*(raw!$E$2:$E$1473='2018-19_working'!$K$6)*(raw!$F$2:$F$1473='2018-19_working'!L$7)*(raw!$G$2:$G$1473))</f>
        <v>0</v>
      </c>
      <c r="M51" s="8">
        <f>SUMPRODUCT((raw!$B$2:$B$1473='2018-19_working'!$A51)*(raw!$E$2:$E$1473='2018-19_working'!$K$6)*(raw!$F$2:$F$1473='2018-19_working'!M$7)*(raw!$G$2:$G$1473))</f>
        <v>2</v>
      </c>
      <c r="N51" s="8">
        <f>SUMPRODUCT((raw!$B$2:$B$1473='2018-19_working'!$A51)*(raw!$E$2:$E$1473='2018-19_working'!$K$6)*(raw!$F$2:$F$1473='2018-19_working'!N$7)*(raw!$G$2:$G$1473))</f>
        <v>0</v>
      </c>
      <c r="O51" s="8">
        <f>SUMPRODUCT((raw!$B$2:$B$1473='2018-19_working'!$A51)*(raw!$E$2:$E$1473='2018-19_working'!$K$6)*(raw!$F$2:$F$1473='2018-19_working'!O$7)*(raw!$G$2:$G$1473))</f>
        <v>0</v>
      </c>
      <c r="P51" s="8">
        <f>SUMPRODUCT((raw!$B$2:$B$1473='2018-19_working'!$A51)*(raw!$E$2:$E$1473='2018-19_working'!$K$6)*(raw!$F$2:$F$1473='2018-19_working'!P$7)*(raw!$G$2:$G$1473))</f>
        <v>0</v>
      </c>
      <c r="Q51" s="8">
        <f>SUMPRODUCT((raw!$B$2:$B$1473='2018-19_working'!$A51)*(raw!$E$2:$E$1473='2018-19_working'!$K$6)*(raw!$F$2:$F$1473='2018-19_working'!Q$7)*(raw!$G$2:$G$1473))</f>
        <v>1</v>
      </c>
      <c r="R51" s="8">
        <f>SUMPRODUCT((raw!$B$2:$B$1473='2018-19_working'!$A51)*(raw!$E$2:$E$1473='2018-19_working'!$K$6)*(raw!$F$2:$F$1473='2018-19_working'!R$7)*(raw!$G$2:$G$1473))</f>
        <v>1</v>
      </c>
      <c r="T51" s="8">
        <f>SUMPRODUCT((raw!$B$2:$B$1473='2018-19_working'!$A51)*(raw!$E$2:$E$1473='2018-19_working'!$T$6)*(raw!$F$2:$F$1473='2018-19_working'!T$7)*(raw!$G$2:$G$1473))</f>
        <v>7</v>
      </c>
      <c r="U51" s="8">
        <f>SUMPRODUCT((raw!$B$2:$B$1473='2018-19_working'!$A51)*(raw!$E$2:$E$1473='2018-19_working'!$T$6)*(raw!$F$2:$F$1473='2018-19_working'!U$7)*(raw!$G$2:$G$1473))</f>
        <v>0</v>
      </c>
      <c r="V51" s="8">
        <f>SUMPRODUCT((raw!$B$2:$B$1473='2018-19_working'!$A51)*(raw!$E$2:$E$1473='2018-19_working'!$T$6)*(raw!$F$2:$F$1473='2018-19_working'!V$7)*(raw!$G$2:$G$1473))</f>
        <v>0</v>
      </c>
      <c r="W51" s="8">
        <f>SUMPRODUCT((raw!$B$2:$B$1473='2018-19_working'!$A51)*(raw!$E$2:$E$1473='2018-19_working'!$T$6)*(raw!$F$2:$F$1473='2018-19_working'!W$7)*(raw!$G$2:$G$1473))</f>
        <v>0</v>
      </c>
      <c r="X51" s="8">
        <f>SUMPRODUCT((raw!$B$2:$B$1473='2018-19_working'!$A51)*(raw!$E$2:$E$1473='2018-19_working'!$T$6)*(raw!$F$2:$F$1473='2018-19_working'!X$7)*(raw!$G$2:$G$1473))</f>
        <v>0</v>
      </c>
      <c r="Y51" s="8">
        <f>SUMPRODUCT((raw!$B$2:$B$1473='2018-19_working'!$A51)*(raw!$E$2:$E$1473='2018-19_working'!$T$6)*(raw!$F$2:$F$1473='2018-19_working'!Y$7)*(raw!$G$2:$G$1473))</f>
        <v>0</v>
      </c>
      <c r="Z51" s="8">
        <f>SUMPRODUCT((raw!$B$2:$B$1473='2018-19_working'!$A51)*(raw!$E$2:$E$1473='2018-19_working'!$T$6)*(raw!$F$2:$F$1473='2018-19_working'!Z$7)*(raw!$G$2:$G$1473))</f>
        <v>0</v>
      </c>
      <c r="AA51" s="8">
        <f>SUMPRODUCT((raw!$B$2:$B$1473='2018-19_working'!$A51)*(raw!$E$2:$E$1473='2018-19_working'!$T$6)*(raw!$F$2:$F$1473='2018-19_working'!AA$7)*(raw!$G$2:$G$1473))</f>
        <v>0</v>
      </c>
      <c r="AC51" s="8">
        <f>SUMPRODUCT((raw!$B$2:$B$1473='2018-19_working'!$A51)*(raw!$E$2:$E$1473='2018-19_working'!$AC$6)*(raw!$F$2:$F$1473='2018-19_working'!AC$7)*(raw!$G$2:$G$1473))</f>
        <v>48</v>
      </c>
      <c r="AD51" s="8">
        <f>SUMPRODUCT((raw!$B$2:$B$1473='2018-19_working'!$A51)*(raw!$E$2:$E$1473='2018-19_working'!$AC$6)*(raw!$F$2:$F$1473='2018-19_working'!AD$7)*(raw!$G$2:$G$1473))</f>
        <v>1</v>
      </c>
      <c r="AE51" s="8">
        <f>SUMPRODUCT((raw!$B$2:$B$1473='2018-19_working'!$A51)*(raw!$E$2:$E$1473='2018-19_working'!$AC$6)*(raw!$F$2:$F$1473='2018-19_working'!AE$7)*(raw!$G$2:$G$1473))</f>
        <v>0</v>
      </c>
      <c r="AF51" s="8">
        <f>SUMPRODUCT((raw!$B$2:$B$1473='2018-19_working'!$A51)*(raw!$E$2:$E$1473='2018-19_working'!$AC$6)*(raw!$F$2:$F$1473='2018-19_working'!AF$7)*(raw!$G$2:$G$1473))</f>
        <v>0</v>
      </c>
      <c r="AG51" s="8">
        <f>SUMPRODUCT((raw!$B$2:$B$1473='2018-19_working'!$A51)*(raw!$E$2:$E$1473='2018-19_working'!$AC$6)*(raw!$F$2:$F$1473='2018-19_working'!AG$7)*(raw!$G$2:$G$1473))</f>
        <v>1</v>
      </c>
      <c r="AH51" s="8">
        <f>SUMPRODUCT((raw!$B$2:$B$1473='2018-19_working'!$A51)*(raw!$E$2:$E$1473='2018-19_working'!$AC$6)*(raw!$F$2:$F$1473='2018-19_working'!AH$7)*(raw!$G$2:$G$1473))</f>
        <v>0</v>
      </c>
      <c r="AI51" s="8">
        <f>SUMPRODUCT((raw!$B$2:$B$1473='2018-19_working'!$A51)*(raw!$E$2:$E$1473='2018-19_working'!$AC$6)*(raw!$F$2:$F$1473='2018-19_working'!AI$7)*(raw!$G$2:$G$1473))</f>
        <v>0</v>
      </c>
      <c r="AJ51" s="8">
        <f>SUMPRODUCT((raw!$B$2:$B$1473='2018-19_working'!$A51)*(raw!$E$2:$E$1473='2018-19_working'!$AC$6)*(raw!$F$2:$F$1473='2018-19_working'!AJ$7)*(raw!$G$2:$G$1473))</f>
        <v>5</v>
      </c>
    </row>
    <row r="52" spans="1:36" x14ac:dyDescent="0.35">
      <c r="A52" s="8" t="s">
        <v>59</v>
      </c>
      <c r="B52" s="8">
        <f>SUMPRODUCT((raw!$B$2:$B$1473='2018-19_working'!$A52)*(raw!$E$2:$E$1473='2018-19_working'!$B$6:$I$6)*(raw!$F$2:$F$1473='2018-19_working'!B$7)*(raw!$G$2:$G$1473))</f>
        <v>17</v>
      </c>
      <c r="C52" s="8">
        <f>SUMPRODUCT((raw!$B$2:$B$1473='2018-19_working'!$A52)*(raw!$E$2:$E$1473='2018-19_working'!$B$6:$I$6)*(raw!$F$2:$F$1473='2018-19_working'!C$7)*(raw!$G$2:$G$1473))</f>
        <v>0</v>
      </c>
      <c r="D52" s="8">
        <f>SUMPRODUCT((raw!$B$2:$B$1473='2018-19_working'!$A52)*(raw!$E$2:$E$1473='2018-19_working'!$B$6:$I$6)*(raw!$F$2:$F$1473='2018-19_working'!D$7)*(raw!$G$2:$G$1473))</f>
        <v>3</v>
      </c>
      <c r="E52" s="8">
        <f>SUMPRODUCT((raw!$B$2:$B$1473='2018-19_working'!$A52)*(raw!$E$2:$E$1473='2018-19_working'!$B$6:$I$6)*(raw!$F$2:$F$1473='2018-19_working'!E$7)*(raw!$G$2:$G$1473))</f>
        <v>0</v>
      </c>
      <c r="F52" s="8">
        <f>SUMPRODUCT((raw!$B$2:$B$1473='2018-19_working'!$A52)*(raw!$E$2:$E$1473='2018-19_working'!$B$6:$I$6)*(raw!$F$2:$F$1473='2018-19_working'!F$7)*(raw!$G$2:$G$1473))</f>
        <v>2</v>
      </c>
      <c r="G52" s="8">
        <f>SUMPRODUCT((raw!$B$2:$B$1473='2018-19_working'!$A52)*(raw!$E$2:$E$1473='2018-19_working'!$B$6:$I$6)*(raw!$F$2:$F$1473='2018-19_working'!G$7)*(raw!$G$2:$G$1473))</f>
        <v>0</v>
      </c>
      <c r="H52" s="8">
        <f>SUMPRODUCT((raw!$B$2:$B$1473='2018-19_working'!$A52)*(raw!$E$2:$E$1473='2018-19_working'!$B$6:$I$6)*(raw!$F$2:$F$1473='2018-19_working'!H$7)*(raw!$G$2:$G$1473))</f>
        <v>1</v>
      </c>
      <c r="I52" s="8">
        <f>SUMPRODUCT((raw!$B$2:$B$1473='2018-19_working'!$A52)*(raw!$E$2:$E$1473='2018-19_working'!$B$6:$I$6)*(raw!$F$2:$F$1473='2018-19_working'!I$7)*(raw!$G$2:$G$1473))</f>
        <v>0</v>
      </c>
      <c r="K52" s="8">
        <f>SUMPRODUCT((raw!$B$2:$B$1473='2018-19_working'!$A52)*(raw!$E$2:$E$1473='2018-19_working'!$K$6)*(raw!$F$2:$F$1473='2018-19_working'!K$7)*(raw!$G$2:$G$1473))</f>
        <v>1</v>
      </c>
      <c r="L52" s="8">
        <f>SUMPRODUCT((raw!$B$2:$B$1473='2018-19_working'!$A52)*(raw!$E$2:$E$1473='2018-19_working'!$K$6)*(raw!$F$2:$F$1473='2018-19_working'!L$7)*(raw!$G$2:$G$1473))</f>
        <v>0</v>
      </c>
      <c r="M52" s="8">
        <f>SUMPRODUCT((raw!$B$2:$B$1473='2018-19_working'!$A52)*(raw!$E$2:$E$1473='2018-19_working'!$K$6)*(raw!$F$2:$F$1473='2018-19_working'!M$7)*(raw!$G$2:$G$1473))</f>
        <v>0</v>
      </c>
      <c r="N52" s="8">
        <f>SUMPRODUCT((raw!$B$2:$B$1473='2018-19_working'!$A52)*(raw!$E$2:$E$1473='2018-19_working'!$K$6)*(raw!$F$2:$F$1473='2018-19_working'!N$7)*(raw!$G$2:$G$1473))</f>
        <v>0</v>
      </c>
      <c r="O52" s="8">
        <f>SUMPRODUCT((raw!$B$2:$B$1473='2018-19_working'!$A52)*(raw!$E$2:$E$1473='2018-19_working'!$K$6)*(raw!$F$2:$F$1473='2018-19_working'!O$7)*(raw!$G$2:$G$1473))</f>
        <v>0</v>
      </c>
      <c r="P52" s="8">
        <f>SUMPRODUCT((raw!$B$2:$B$1473='2018-19_working'!$A52)*(raw!$E$2:$E$1473='2018-19_working'!$K$6)*(raw!$F$2:$F$1473='2018-19_working'!P$7)*(raw!$G$2:$G$1473))</f>
        <v>0</v>
      </c>
      <c r="Q52" s="8">
        <f>SUMPRODUCT((raw!$B$2:$B$1473='2018-19_working'!$A52)*(raw!$E$2:$E$1473='2018-19_working'!$K$6)*(raw!$F$2:$F$1473='2018-19_working'!Q$7)*(raw!$G$2:$G$1473))</f>
        <v>0</v>
      </c>
      <c r="R52" s="8">
        <f>SUMPRODUCT((raw!$B$2:$B$1473='2018-19_working'!$A52)*(raw!$E$2:$E$1473='2018-19_working'!$K$6)*(raw!$F$2:$F$1473='2018-19_working'!R$7)*(raw!$G$2:$G$1473))</f>
        <v>0</v>
      </c>
      <c r="T52" s="8">
        <f>SUMPRODUCT((raw!$B$2:$B$1473='2018-19_working'!$A52)*(raw!$E$2:$E$1473='2018-19_working'!$T$6)*(raw!$F$2:$F$1473='2018-19_working'!T$7)*(raw!$G$2:$G$1473))</f>
        <v>0</v>
      </c>
      <c r="U52" s="8">
        <f>SUMPRODUCT((raw!$B$2:$B$1473='2018-19_working'!$A52)*(raw!$E$2:$E$1473='2018-19_working'!$T$6)*(raw!$F$2:$F$1473='2018-19_working'!U$7)*(raw!$G$2:$G$1473))</f>
        <v>0</v>
      </c>
      <c r="V52" s="8">
        <f>SUMPRODUCT((raw!$B$2:$B$1473='2018-19_working'!$A52)*(raw!$E$2:$E$1473='2018-19_working'!$T$6)*(raw!$F$2:$F$1473='2018-19_working'!V$7)*(raw!$G$2:$G$1473))</f>
        <v>0</v>
      </c>
      <c r="W52" s="8">
        <f>SUMPRODUCT((raw!$B$2:$B$1473='2018-19_working'!$A52)*(raw!$E$2:$E$1473='2018-19_working'!$T$6)*(raw!$F$2:$F$1473='2018-19_working'!W$7)*(raw!$G$2:$G$1473))</f>
        <v>0</v>
      </c>
      <c r="X52" s="8">
        <f>SUMPRODUCT((raw!$B$2:$B$1473='2018-19_working'!$A52)*(raw!$E$2:$E$1473='2018-19_working'!$T$6)*(raw!$F$2:$F$1473='2018-19_working'!X$7)*(raw!$G$2:$G$1473))</f>
        <v>0</v>
      </c>
      <c r="Y52" s="8">
        <f>SUMPRODUCT((raw!$B$2:$B$1473='2018-19_working'!$A52)*(raw!$E$2:$E$1473='2018-19_working'!$T$6)*(raw!$F$2:$F$1473='2018-19_working'!Y$7)*(raw!$G$2:$G$1473))</f>
        <v>0</v>
      </c>
      <c r="Z52" s="8">
        <f>SUMPRODUCT((raw!$B$2:$B$1473='2018-19_working'!$A52)*(raw!$E$2:$E$1473='2018-19_working'!$T$6)*(raw!$F$2:$F$1473='2018-19_working'!Z$7)*(raw!$G$2:$G$1473))</f>
        <v>0</v>
      </c>
      <c r="AA52" s="8">
        <f>SUMPRODUCT((raw!$B$2:$B$1473='2018-19_working'!$A52)*(raw!$E$2:$E$1473='2018-19_working'!$T$6)*(raw!$F$2:$F$1473='2018-19_working'!AA$7)*(raw!$G$2:$G$1473))</f>
        <v>0</v>
      </c>
      <c r="AC52" s="8">
        <f>SUMPRODUCT((raw!$B$2:$B$1473='2018-19_working'!$A52)*(raw!$E$2:$E$1473='2018-19_working'!$AC$6)*(raw!$F$2:$F$1473='2018-19_working'!AC$7)*(raw!$G$2:$G$1473))</f>
        <v>16</v>
      </c>
      <c r="AD52" s="8">
        <f>SUMPRODUCT((raw!$B$2:$B$1473='2018-19_working'!$A52)*(raw!$E$2:$E$1473='2018-19_working'!$AC$6)*(raw!$F$2:$F$1473='2018-19_working'!AD$7)*(raw!$G$2:$G$1473))</f>
        <v>0</v>
      </c>
      <c r="AE52" s="8">
        <f>SUMPRODUCT((raw!$B$2:$B$1473='2018-19_working'!$A52)*(raw!$E$2:$E$1473='2018-19_working'!$AC$6)*(raw!$F$2:$F$1473='2018-19_working'!AE$7)*(raw!$G$2:$G$1473))</f>
        <v>0</v>
      </c>
      <c r="AF52" s="8">
        <f>SUMPRODUCT((raw!$B$2:$B$1473='2018-19_working'!$A52)*(raw!$E$2:$E$1473='2018-19_working'!$AC$6)*(raw!$F$2:$F$1473='2018-19_working'!AF$7)*(raw!$G$2:$G$1473))</f>
        <v>0</v>
      </c>
      <c r="AG52" s="8">
        <f>SUMPRODUCT((raw!$B$2:$B$1473='2018-19_working'!$A52)*(raw!$E$2:$E$1473='2018-19_working'!$AC$6)*(raw!$F$2:$F$1473='2018-19_working'!AG$7)*(raw!$G$2:$G$1473))</f>
        <v>1</v>
      </c>
      <c r="AH52" s="8">
        <f>SUMPRODUCT((raw!$B$2:$B$1473='2018-19_working'!$A52)*(raw!$E$2:$E$1473='2018-19_working'!$AC$6)*(raw!$F$2:$F$1473='2018-19_working'!AH$7)*(raw!$G$2:$G$1473))</f>
        <v>0</v>
      </c>
      <c r="AI52" s="8">
        <f>SUMPRODUCT((raw!$B$2:$B$1473='2018-19_working'!$A52)*(raw!$E$2:$E$1473='2018-19_working'!$AC$6)*(raw!$F$2:$F$1473='2018-19_working'!AI$7)*(raw!$G$2:$G$1473))</f>
        <v>0</v>
      </c>
      <c r="AJ52" s="8">
        <f>SUMPRODUCT((raw!$B$2:$B$1473='2018-19_working'!$A52)*(raw!$E$2:$E$1473='2018-19_working'!$AC$6)*(raw!$F$2:$F$1473='2018-19_working'!AJ$7)*(raw!$G$2:$G$1473))</f>
        <v>0</v>
      </c>
    </row>
    <row r="53" spans="1:36" x14ac:dyDescent="0.35">
      <c r="A53" s="8" t="s">
        <v>60</v>
      </c>
      <c r="B53" s="8">
        <f>SUMPRODUCT((raw!$B$2:$B$1473='2018-19_working'!$A53)*(raw!$E$2:$E$1473='2018-19_working'!$B$6:$I$6)*(raw!$F$2:$F$1473='2018-19_working'!B$7)*(raw!$G$2:$G$1473))</f>
        <v>25</v>
      </c>
      <c r="C53" s="8">
        <f>SUMPRODUCT((raw!$B$2:$B$1473='2018-19_working'!$A53)*(raw!$E$2:$E$1473='2018-19_working'!$B$6:$I$6)*(raw!$F$2:$F$1473='2018-19_working'!C$7)*(raw!$G$2:$G$1473))</f>
        <v>0</v>
      </c>
      <c r="D53" s="8">
        <f>SUMPRODUCT((raw!$B$2:$B$1473='2018-19_working'!$A53)*(raw!$E$2:$E$1473='2018-19_working'!$B$6:$I$6)*(raw!$F$2:$F$1473='2018-19_working'!D$7)*(raw!$G$2:$G$1473))</f>
        <v>0</v>
      </c>
      <c r="E53" s="8">
        <f>SUMPRODUCT((raw!$B$2:$B$1473='2018-19_working'!$A53)*(raw!$E$2:$E$1473='2018-19_working'!$B$6:$I$6)*(raw!$F$2:$F$1473='2018-19_working'!E$7)*(raw!$G$2:$G$1473))</f>
        <v>1</v>
      </c>
      <c r="F53" s="8">
        <f>SUMPRODUCT((raw!$B$2:$B$1473='2018-19_working'!$A53)*(raw!$E$2:$E$1473='2018-19_working'!$B$6:$I$6)*(raw!$F$2:$F$1473='2018-19_working'!F$7)*(raw!$G$2:$G$1473))</f>
        <v>0</v>
      </c>
      <c r="G53" s="8">
        <f>SUMPRODUCT((raw!$B$2:$B$1473='2018-19_working'!$A53)*(raw!$E$2:$E$1473='2018-19_working'!$B$6:$I$6)*(raw!$F$2:$F$1473='2018-19_working'!G$7)*(raw!$G$2:$G$1473))</f>
        <v>0</v>
      </c>
      <c r="H53" s="8">
        <f>SUMPRODUCT((raw!$B$2:$B$1473='2018-19_working'!$A53)*(raw!$E$2:$E$1473='2018-19_working'!$B$6:$I$6)*(raw!$F$2:$F$1473='2018-19_working'!H$7)*(raw!$G$2:$G$1473))</f>
        <v>0</v>
      </c>
      <c r="I53" s="8">
        <f>SUMPRODUCT((raw!$B$2:$B$1473='2018-19_working'!$A53)*(raw!$E$2:$E$1473='2018-19_working'!$B$6:$I$6)*(raw!$F$2:$F$1473='2018-19_working'!I$7)*(raw!$G$2:$G$1473))</f>
        <v>0</v>
      </c>
      <c r="K53" s="8">
        <f>SUMPRODUCT((raw!$B$2:$B$1473='2018-19_working'!$A53)*(raw!$E$2:$E$1473='2018-19_working'!$K$6)*(raw!$F$2:$F$1473='2018-19_working'!K$7)*(raw!$G$2:$G$1473))</f>
        <v>0</v>
      </c>
      <c r="L53" s="8">
        <f>SUMPRODUCT((raw!$B$2:$B$1473='2018-19_working'!$A53)*(raw!$E$2:$E$1473='2018-19_working'!$K$6)*(raw!$F$2:$F$1473='2018-19_working'!L$7)*(raw!$G$2:$G$1473))</f>
        <v>0</v>
      </c>
      <c r="M53" s="8">
        <f>SUMPRODUCT((raw!$B$2:$B$1473='2018-19_working'!$A53)*(raw!$E$2:$E$1473='2018-19_working'!$K$6)*(raw!$F$2:$F$1473='2018-19_working'!M$7)*(raw!$G$2:$G$1473))</f>
        <v>0</v>
      </c>
      <c r="N53" s="8">
        <f>SUMPRODUCT((raw!$B$2:$B$1473='2018-19_working'!$A53)*(raw!$E$2:$E$1473='2018-19_working'!$K$6)*(raw!$F$2:$F$1473='2018-19_working'!N$7)*(raw!$G$2:$G$1473))</f>
        <v>0</v>
      </c>
      <c r="O53" s="8">
        <f>SUMPRODUCT((raw!$B$2:$B$1473='2018-19_working'!$A53)*(raw!$E$2:$E$1473='2018-19_working'!$K$6)*(raw!$F$2:$F$1473='2018-19_working'!O$7)*(raw!$G$2:$G$1473))</f>
        <v>0</v>
      </c>
      <c r="P53" s="8">
        <f>SUMPRODUCT((raw!$B$2:$B$1473='2018-19_working'!$A53)*(raw!$E$2:$E$1473='2018-19_working'!$K$6)*(raw!$F$2:$F$1473='2018-19_working'!P$7)*(raw!$G$2:$G$1473))</f>
        <v>0</v>
      </c>
      <c r="Q53" s="8">
        <f>SUMPRODUCT((raw!$B$2:$B$1473='2018-19_working'!$A53)*(raw!$E$2:$E$1473='2018-19_working'!$K$6)*(raw!$F$2:$F$1473='2018-19_working'!Q$7)*(raw!$G$2:$G$1473))</f>
        <v>0</v>
      </c>
      <c r="R53" s="8">
        <f>SUMPRODUCT((raw!$B$2:$B$1473='2018-19_working'!$A53)*(raw!$E$2:$E$1473='2018-19_working'!$K$6)*(raw!$F$2:$F$1473='2018-19_working'!R$7)*(raw!$G$2:$G$1473))</f>
        <v>0</v>
      </c>
      <c r="T53" s="8">
        <f>SUMPRODUCT((raw!$B$2:$B$1473='2018-19_working'!$A53)*(raw!$E$2:$E$1473='2018-19_working'!$T$6)*(raw!$F$2:$F$1473='2018-19_working'!T$7)*(raw!$G$2:$G$1473))</f>
        <v>5</v>
      </c>
      <c r="U53" s="8">
        <f>SUMPRODUCT((raw!$B$2:$B$1473='2018-19_working'!$A53)*(raw!$E$2:$E$1473='2018-19_working'!$T$6)*(raw!$F$2:$F$1473='2018-19_working'!U$7)*(raw!$G$2:$G$1473))</f>
        <v>0</v>
      </c>
      <c r="V53" s="8">
        <f>SUMPRODUCT((raw!$B$2:$B$1473='2018-19_working'!$A53)*(raw!$E$2:$E$1473='2018-19_working'!$T$6)*(raw!$F$2:$F$1473='2018-19_working'!V$7)*(raw!$G$2:$G$1473))</f>
        <v>0</v>
      </c>
      <c r="W53" s="8">
        <f>SUMPRODUCT((raw!$B$2:$B$1473='2018-19_working'!$A53)*(raw!$E$2:$E$1473='2018-19_working'!$T$6)*(raw!$F$2:$F$1473='2018-19_working'!W$7)*(raw!$G$2:$G$1473))</f>
        <v>0</v>
      </c>
      <c r="X53" s="8">
        <f>SUMPRODUCT((raw!$B$2:$B$1473='2018-19_working'!$A53)*(raw!$E$2:$E$1473='2018-19_working'!$T$6)*(raw!$F$2:$F$1473='2018-19_working'!X$7)*(raw!$G$2:$G$1473))</f>
        <v>0</v>
      </c>
      <c r="Y53" s="8">
        <f>SUMPRODUCT((raw!$B$2:$B$1473='2018-19_working'!$A53)*(raw!$E$2:$E$1473='2018-19_working'!$T$6)*(raw!$F$2:$F$1473='2018-19_working'!Y$7)*(raw!$G$2:$G$1473))</f>
        <v>0</v>
      </c>
      <c r="Z53" s="8">
        <f>SUMPRODUCT((raw!$B$2:$B$1473='2018-19_working'!$A53)*(raw!$E$2:$E$1473='2018-19_working'!$T$6)*(raw!$F$2:$F$1473='2018-19_working'!Z$7)*(raw!$G$2:$G$1473))</f>
        <v>0</v>
      </c>
      <c r="AA53" s="8">
        <f>SUMPRODUCT((raw!$B$2:$B$1473='2018-19_working'!$A53)*(raw!$E$2:$E$1473='2018-19_working'!$T$6)*(raw!$F$2:$F$1473='2018-19_working'!AA$7)*(raw!$G$2:$G$1473))</f>
        <v>0</v>
      </c>
      <c r="AC53" s="8">
        <f>SUMPRODUCT((raw!$B$2:$B$1473='2018-19_working'!$A53)*(raw!$E$2:$E$1473='2018-19_working'!$AC$6)*(raw!$F$2:$F$1473='2018-19_working'!AC$7)*(raw!$G$2:$G$1473))</f>
        <v>30</v>
      </c>
      <c r="AD53" s="8">
        <f>SUMPRODUCT((raw!$B$2:$B$1473='2018-19_working'!$A53)*(raw!$E$2:$E$1473='2018-19_working'!$AC$6)*(raw!$F$2:$F$1473='2018-19_working'!AD$7)*(raw!$G$2:$G$1473))</f>
        <v>0</v>
      </c>
      <c r="AE53" s="8">
        <f>SUMPRODUCT((raw!$B$2:$B$1473='2018-19_working'!$A53)*(raw!$E$2:$E$1473='2018-19_working'!$AC$6)*(raw!$F$2:$F$1473='2018-19_working'!AE$7)*(raw!$G$2:$G$1473))</f>
        <v>0</v>
      </c>
      <c r="AF53" s="8">
        <f>SUMPRODUCT((raw!$B$2:$B$1473='2018-19_working'!$A53)*(raw!$E$2:$E$1473='2018-19_working'!$AC$6)*(raw!$F$2:$F$1473='2018-19_working'!AF$7)*(raw!$G$2:$G$1473))</f>
        <v>0</v>
      </c>
      <c r="AG53" s="8">
        <f>SUMPRODUCT((raw!$B$2:$B$1473='2018-19_working'!$A53)*(raw!$E$2:$E$1473='2018-19_working'!$AC$6)*(raw!$F$2:$F$1473='2018-19_working'!AG$7)*(raw!$G$2:$G$1473))</f>
        <v>1</v>
      </c>
      <c r="AH53" s="8">
        <f>SUMPRODUCT((raw!$B$2:$B$1473='2018-19_working'!$A53)*(raw!$E$2:$E$1473='2018-19_working'!$AC$6)*(raw!$F$2:$F$1473='2018-19_working'!AH$7)*(raw!$G$2:$G$1473))</f>
        <v>0</v>
      </c>
      <c r="AI53" s="8">
        <f>SUMPRODUCT((raw!$B$2:$B$1473='2018-19_working'!$A53)*(raw!$E$2:$E$1473='2018-19_working'!$AC$6)*(raw!$F$2:$F$1473='2018-19_working'!AI$7)*(raw!$G$2:$G$1473))</f>
        <v>0</v>
      </c>
      <c r="AJ53" s="8">
        <f>SUMPRODUCT((raw!$B$2:$B$1473='2018-19_working'!$A53)*(raw!$E$2:$E$1473='2018-19_working'!$AC$6)*(raw!$F$2:$F$1473='2018-19_working'!AJ$7)*(raw!$G$2:$G$1473))</f>
        <v>0</v>
      </c>
    </row>
    <row r="54" spans="1:36" x14ac:dyDescent="0.35">
      <c r="A54" s="8" t="s">
        <v>61</v>
      </c>
      <c r="B54" s="8">
        <f>SUMPRODUCT((raw!$B$2:$B$1473='2018-19_working'!$A54)*(raw!$E$2:$E$1473='2018-19_working'!$B$6:$I$6)*(raw!$F$2:$F$1473='2018-19_working'!B$7)*(raw!$G$2:$G$1473))</f>
        <v>64</v>
      </c>
      <c r="C54" s="8">
        <f>SUMPRODUCT((raw!$B$2:$B$1473='2018-19_working'!$A54)*(raw!$E$2:$E$1473='2018-19_working'!$B$6:$I$6)*(raw!$F$2:$F$1473='2018-19_working'!C$7)*(raw!$G$2:$G$1473))</f>
        <v>2</v>
      </c>
      <c r="D54" s="8">
        <f>SUMPRODUCT((raw!$B$2:$B$1473='2018-19_working'!$A54)*(raw!$E$2:$E$1473='2018-19_working'!$B$6:$I$6)*(raw!$F$2:$F$1473='2018-19_working'!D$7)*(raw!$G$2:$G$1473))</f>
        <v>8</v>
      </c>
      <c r="E54" s="8">
        <f>SUMPRODUCT((raw!$B$2:$B$1473='2018-19_working'!$A54)*(raw!$E$2:$E$1473='2018-19_working'!$B$6:$I$6)*(raw!$F$2:$F$1473='2018-19_working'!E$7)*(raw!$G$2:$G$1473))</f>
        <v>5</v>
      </c>
      <c r="F54" s="8">
        <f>SUMPRODUCT((raw!$B$2:$B$1473='2018-19_working'!$A54)*(raw!$E$2:$E$1473='2018-19_working'!$B$6:$I$6)*(raw!$F$2:$F$1473='2018-19_working'!F$7)*(raw!$G$2:$G$1473))</f>
        <v>8</v>
      </c>
      <c r="G54" s="8">
        <f>SUMPRODUCT((raw!$B$2:$B$1473='2018-19_working'!$A54)*(raw!$E$2:$E$1473='2018-19_working'!$B$6:$I$6)*(raw!$F$2:$F$1473='2018-19_working'!G$7)*(raw!$G$2:$G$1473))</f>
        <v>0</v>
      </c>
      <c r="H54" s="8">
        <f>SUMPRODUCT((raw!$B$2:$B$1473='2018-19_working'!$A54)*(raw!$E$2:$E$1473='2018-19_working'!$B$6:$I$6)*(raw!$F$2:$F$1473='2018-19_working'!H$7)*(raw!$G$2:$G$1473))</f>
        <v>0</v>
      </c>
      <c r="I54" s="8">
        <f>SUMPRODUCT((raw!$B$2:$B$1473='2018-19_working'!$A54)*(raw!$E$2:$E$1473='2018-19_working'!$B$6:$I$6)*(raw!$F$2:$F$1473='2018-19_working'!I$7)*(raw!$G$2:$G$1473))</f>
        <v>3</v>
      </c>
      <c r="K54" s="8">
        <f>SUMPRODUCT((raw!$B$2:$B$1473='2018-19_working'!$A54)*(raw!$E$2:$E$1473='2018-19_working'!$K$6)*(raw!$F$2:$F$1473='2018-19_working'!K$7)*(raw!$G$2:$G$1473))</f>
        <v>0</v>
      </c>
      <c r="L54" s="8">
        <f>SUMPRODUCT((raw!$B$2:$B$1473='2018-19_working'!$A54)*(raw!$E$2:$E$1473='2018-19_working'!$K$6)*(raw!$F$2:$F$1473='2018-19_working'!L$7)*(raw!$G$2:$G$1473))</f>
        <v>0</v>
      </c>
      <c r="M54" s="8">
        <f>SUMPRODUCT((raw!$B$2:$B$1473='2018-19_working'!$A54)*(raw!$E$2:$E$1473='2018-19_working'!$K$6)*(raw!$F$2:$F$1473='2018-19_working'!M$7)*(raw!$G$2:$G$1473))</f>
        <v>0</v>
      </c>
      <c r="N54" s="8">
        <f>SUMPRODUCT((raw!$B$2:$B$1473='2018-19_working'!$A54)*(raw!$E$2:$E$1473='2018-19_working'!$K$6)*(raw!$F$2:$F$1473='2018-19_working'!N$7)*(raw!$G$2:$G$1473))</f>
        <v>0</v>
      </c>
      <c r="O54" s="8">
        <f>SUMPRODUCT((raw!$B$2:$B$1473='2018-19_working'!$A54)*(raw!$E$2:$E$1473='2018-19_working'!$K$6)*(raw!$F$2:$F$1473='2018-19_working'!O$7)*(raw!$G$2:$G$1473))</f>
        <v>0</v>
      </c>
      <c r="P54" s="8">
        <f>SUMPRODUCT((raw!$B$2:$B$1473='2018-19_working'!$A54)*(raw!$E$2:$E$1473='2018-19_working'!$K$6)*(raw!$F$2:$F$1473='2018-19_working'!P$7)*(raw!$G$2:$G$1473))</f>
        <v>0</v>
      </c>
      <c r="Q54" s="8">
        <f>SUMPRODUCT((raw!$B$2:$B$1473='2018-19_working'!$A54)*(raw!$E$2:$E$1473='2018-19_working'!$K$6)*(raw!$F$2:$F$1473='2018-19_working'!Q$7)*(raw!$G$2:$G$1473))</f>
        <v>0</v>
      </c>
      <c r="R54" s="8">
        <f>SUMPRODUCT((raw!$B$2:$B$1473='2018-19_working'!$A54)*(raw!$E$2:$E$1473='2018-19_working'!$K$6)*(raw!$F$2:$F$1473='2018-19_working'!R$7)*(raw!$G$2:$G$1473))</f>
        <v>0</v>
      </c>
      <c r="T54" s="8">
        <f>SUMPRODUCT((raw!$B$2:$B$1473='2018-19_working'!$A54)*(raw!$E$2:$E$1473='2018-19_working'!$T$6)*(raw!$F$2:$F$1473='2018-19_working'!T$7)*(raw!$G$2:$G$1473))</f>
        <v>0</v>
      </c>
      <c r="U54" s="8">
        <f>SUMPRODUCT((raw!$B$2:$B$1473='2018-19_working'!$A54)*(raw!$E$2:$E$1473='2018-19_working'!$T$6)*(raw!$F$2:$F$1473='2018-19_working'!U$7)*(raw!$G$2:$G$1473))</f>
        <v>0</v>
      </c>
      <c r="V54" s="8">
        <f>SUMPRODUCT((raw!$B$2:$B$1473='2018-19_working'!$A54)*(raw!$E$2:$E$1473='2018-19_working'!$T$6)*(raw!$F$2:$F$1473='2018-19_working'!V$7)*(raw!$G$2:$G$1473))</f>
        <v>0</v>
      </c>
      <c r="W54" s="8">
        <f>SUMPRODUCT((raw!$B$2:$B$1473='2018-19_working'!$A54)*(raw!$E$2:$E$1473='2018-19_working'!$T$6)*(raw!$F$2:$F$1473='2018-19_working'!W$7)*(raw!$G$2:$G$1473))</f>
        <v>0</v>
      </c>
      <c r="X54" s="8">
        <f>SUMPRODUCT((raw!$B$2:$B$1473='2018-19_working'!$A54)*(raw!$E$2:$E$1473='2018-19_working'!$T$6)*(raw!$F$2:$F$1473='2018-19_working'!X$7)*(raw!$G$2:$G$1473))</f>
        <v>0</v>
      </c>
      <c r="Y54" s="8">
        <f>SUMPRODUCT((raw!$B$2:$B$1473='2018-19_working'!$A54)*(raw!$E$2:$E$1473='2018-19_working'!$T$6)*(raw!$F$2:$F$1473='2018-19_working'!Y$7)*(raw!$G$2:$G$1473))</f>
        <v>0</v>
      </c>
      <c r="Z54" s="8">
        <f>SUMPRODUCT((raw!$B$2:$B$1473='2018-19_working'!$A54)*(raw!$E$2:$E$1473='2018-19_working'!$T$6)*(raw!$F$2:$F$1473='2018-19_working'!Z$7)*(raw!$G$2:$G$1473))</f>
        <v>0</v>
      </c>
      <c r="AA54" s="8">
        <f>SUMPRODUCT((raw!$B$2:$B$1473='2018-19_working'!$A54)*(raw!$E$2:$E$1473='2018-19_working'!$T$6)*(raw!$F$2:$F$1473='2018-19_working'!AA$7)*(raw!$G$2:$G$1473))</f>
        <v>0</v>
      </c>
      <c r="AC54" s="8">
        <f>SUMPRODUCT((raw!$B$2:$B$1473='2018-19_working'!$A54)*(raw!$E$2:$E$1473='2018-19_working'!$AC$6)*(raw!$F$2:$F$1473='2018-19_working'!AC$7)*(raw!$G$2:$G$1473))</f>
        <v>12</v>
      </c>
      <c r="AD54" s="8">
        <f>SUMPRODUCT((raw!$B$2:$B$1473='2018-19_working'!$A54)*(raw!$E$2:$E$1473='2018-19_working'!$AC$6)*(raw!$F$2:$F$1473='2018-19_working'!AD$7)*(raw!$G$2:$G$1473))</f>
        <v>0</v>
      </c>
      <c r="AE54" s="8">
        <f>SUMPRODUCT((raw!$B$2:$B$1473='2018-19_working'!$A54)*(raw!$E$2:$E$1473='2018-19_working'!$AC$6)*(raw!$F$2:$F$1473='2018-19_working'!AE$7)*(raw!$G$2:$G$1473))</f>
        <v>2</v>
      </c>
      <c r="AF54" s="8">
        <f>SUMPRODUCT((raw!$B$2:$B$1473='2018-19_working'!$A54)*(raw!$E$2:$E$1473='2018-19_working'!$AC$6)*(raw!$F$2:$F$1473='2018-19_working'!AF$7)*(raw!$G$2:$G$1473))</f>
        <v>3</v>
      </c>
      <c r="AG54" s="8">
        <f>SUMPRODUCT((raw!$B$2:$B$1473='2018-19_working'!$A54)*(raw!$E$2:$E$1473='2018-19_working'!$AC$6)*(raw!$F$2:$F$1473='2018-19_working'!AG$7)*(raw!$G$2:$G$1473))</f>
        <v>1</v>
      </c>
      <c r="AH54" s="8">
        <f>SUMPRODUCT((raw!$B$2:$B$1473='2018-19_working'!$A54)*(raw!$E$2:$E$1473='2018-19_working'!$AC$6)*(raw!$F$2:$F$1473='2018-19_working'!AH$7)*(raw!$G$2:$G$1473))</f>
        <v>0</v>
      </c>
      <c r="AI54" s="8">
        <f>SUMPRODUCT((raw!$B$2:$B$1473='2018-19_working'!$A54)*(raw!$E$2:$E$1473='2018-19_working'!$AC$6)*(raw!$F$2:$F$1473='2018-19_working'!AI$7)*(raw!$G$2:$G$1473))</f>
        <v>0</v>
      </c>
      <c r="AJ54" s="8">
        <f>SUMPRODUCT((raw!$B$2:$B$1473='2018-19_working'!$A54)*(raw!$E$2:$E$1473='2018-19_working'!$AC$6)*(raw!$F$2:$F$1473='2018-19_working'!AJ$7)*(raw!$G$2:$G$1473))</f>
        <v>2</v>
      </c>
    </row>
    <row r="55" spans="1:36" x14ac:dyDescent="0.35">
      <c r="A55" s="8" t="s">
        <v>62</v>
      </c>
      <c r="B55" s="8">
        <f>SUMPRODUCT((raw!$B$2:$B$1473='2018-19_working'!$A55)*(raw!$E$2:$E$1473='2018-19_working'!$B$6:$I$6)*(raw!$F$2:$F$1473='2018-19_working'!B$7)*(raw!$G$2:$G$1473))</f>
        <v>61</v>
      </c>
      <c r="C55" s="8">
        <f>SUMPRODUCT((raw!$B$2:$B$1473='2018-19_working'!$A55)*(raw!$E$2:$E$1473='2018-19_working'!$B$6:$I$6)*(raw!$F$2:$F$1473='2018-19_working'!C$7)*(raw!$G$2:$G$1473))</f>
        <v>1</v>
      </c>
      <c r="D55" s="8">
        <f>SUMPRODUCT((raw!$B$2:$B$1473='2018-19_working'!$A55)*(raw!$E$2:$E$1473='2018-19_working'!$B$6:$I$6)*(raw!$F$2:$F$1473='2018-19_working'!D$7)*(raw!$G$2:$G$1473))</f>
        <v>2</v>
      </c>
      <c r="E55" s="8">
        <f>SUMPRODUCT((raw!$B$2:$B$1473='2018-19_working'!$A55)*(raw!$E$2:$E$1473='2018-19_working'!$B$6:$I$6)*(raw!$F$2:$F$1473='2018-19_working'!E$7)*(raw!$G$2:$G$1473))</f>
        <v>1</v>
      </c>
      <c r="F55" s="8">
        <f>SUMPRODUCT((raw!$B$2:$B$1473='2018-19_working'!$A55)*(raw!$E$2:$E$1473='2018-19_working'!$B$6:$I$6)*(raw!$F$2:$F$1473='2018-19_working'!F$7)*(raw!$G$2:$G$1473))</f>
        <v>1</v>
      </c>
      <c r="G55" s="8">
        <f>SUMPRODUCT((raw!$B$2:$B$1473='2018-19_working'!$A55)*(raw!$E$2:$E$1473='2018-19_working'!$B$6:$I$6)*(raw!$F$2:$F$1473='2018-19_working'!G$7)*(raw!$G$2:$G$1473))</f>
        <v>0</v>
      </c>
      <c r="H55" s="8">
        <f>SUMPRODUCT((raw!$B$2:$B$1473='2018-19_working'!$A55)*(raw!$E$2:$E$1473='2018-19_working'!$B$6:$I$6)*(raw!$F$2:$F$1473='2018-19_working'!H$7)*(raw!$G$2:$G$1473))</f>
        <v>0</v>
      </c>
      <c r="I55" s="8">
        <f>SUMPRODUCT((raw!$B$2:$B$1473='2018-19_working'!$A55)*(raw!$E$2:$E$1473='2018-19_working'!$B$6:$I$6)*(raw!$F$2:$F$1473='2018-19_working'!I$7)*(raw!$G$2:$G$1473))</f>
        <v>0</v>
      </c>
      <c r="K55" s="8">
        <f>SUMPRODUCT((raw!$B$2:$B$1473='2018-19_working'!$A55)*(raw!$E$2:$E$1473='2018-19_working'!$K$6)*(raw!$F$2:$F$1473='2018-19_working'!K$7)*(raw!$G$2:$G$1473))</f>
        <v>19</v>
      </c>
      <c r="L55" s="8">
        <f>SUMPRODUCT((raw!$B$2:$B$1473='2018-19_working'!$A55)*(raw!$E$2:$E$1473='2018-19_working'!$K$6)*(raw!$F$2:$F$1473='2018-19_working'!L$7)*(raw!$G$2:$G$1473))</f>
        <v>1</v>
      </c>
      <c r="M55" s="8">
        <f>SUMPRODUCT((raw!$B$2:$B$1473='2018-19_working'!$A55)*(raw!$E$2:$E$1473='2018-19_working'!$K$6)*(raw!$F$2:$F$1473='2018-19_working'!M$7)*(raw!$G$2:$G$1473))</f>
        <v>0</v>
      </c>
      <c r="N55" s="8">
        <f>SUMPRODUCT((raw!$B$2:$B$1473='2018-19_working'!$A55)*(raw!$E$2:$E$1473='2018-19_working'!$K$6)*(raw!$F$2:$F$1473='2018-19_working'!N$7)*(raw!$G$2:$G$1473))</f>
        <v>0</v>
      </c>
      <c r="O55" s="8">
        <f>SUMPRODUCT((raw!$B$2:$B$1473='2018-19_working'!$A55)*(raw!$E$2:$E$1473='2018-19_working'!$K$6)*(raw!$F$2:$F$1473='2018-19_working'!O$7)*(raw!$G$2:$G$1473))</f>
        <v>2</v>
      </c>
      <c r="P55" s="8">
        <f>SUMPRODUCT((raw!$B$2:$B$1473='2018-19_working'!$A55)*(raw!$E$2:$E$1473='2018-19_working'!$K$6)*(raw!$F$2:$F$1473='2018-19_working'!P$7)*(raw!$G$2:$G$1473))</f>
        <v>0</v>
      </c>
      <c r="Q55" s="8">
        <f>SUMPRODUCT((raw!$B$2:$B$1473='2018-19_working'!$A55)*(raw!$E$2:$E$1473='2018-19_working'!$K$6)*(raw!$F$2:$F$1473='2018-19_working'!Q$7)*(raw!$G$2:$G$1473))</f>
        <v>0</v>
      </c>
      <c r="R55" s="8">
        <f>SUMPRODUCT((raw!$B$2:$B$1473='2018-19_working'!$A55)*(raw!$E$2:$E$1473='2018-19_working'!$K$6)*(raw!$F$2:$F$1473='2018-19_working'!R$7)*(raw!$G$2:$G$1473))</f>
        <v>0</v>
      </c>
      <c r="T55" s="8">
        <f>SUMPRODUCT((raw!$B$2:$B$1473='2018-19_working'!$A55)*(raw!$E$2:$E$1473='2018-19_working'!$T$6)*(raw!$F$2:$F$1473='2018-19_working'!T$7)*(raw!$G$2:$G$1473))</f>
        <v>4</v>
      </c>
      <c r="U55" s="8">
        <f>SUMPRODUCT((raw!$B$2:$B$1473='2018-19_working'!$A55)*(raw!$E$2:$E$1473='2018-19_working'!$T$6)*(raw!$F$2:$F$1473='2018-19_working'!U$7)*(raw!$G$2:$G$1473))</f>
        <v>0</v>
      </c>
      <c r="V55" s="8">
        <f>SUMPRODUCT((raw!$B$2:$B$1473='2018-19_working'!$A55)*(raw!$E$2:$E$1473='2018-19_working'!$T$6)*(raw!$F$2:$F$1473='2018-19_working'!V$7)*(raw!$G$2:$G$1473))</f>
        <v>1</v>
      </c>
      <c r="W55" s="8">
        <f>SUMPRODUCT((raw!$B$2:$B$1473='2018-19_working'!$A55)*(raw!$E$2:$E$1473='2018-19_working'!$T$6)*(raw!$F$2:$F$1473='2018-19_working'!W$7)*(raw!$G$2:$G$1473))</f>
        <v>0</v>
      </c>
      <c r="X55" s="8">
        <f>SUMPRODUCT((raw!$B$2:$B$1473='2018-19_working'!$A55)*(raw!$E$2:$E$1473='2018-19_working'!$T$6)*(raw!$F$2:$F$1473='2018-19_working'!X$7)*(raw!$G$2:$G$1473))</f>
        <v>0</v>
      </c>
      <c r="Y55" s="8">
        <f>SUMPRODUCT((raw!$B$2:$B$1473='2018-19_working'!$A55)*(raw!$E$2:$E$1473='2018-19_working'!$T$6)*(raw!$F$2:$F$1473='2018-19_working'!Y$7)*(raw!$G$2:$G$1473))</f>
        <v>0</v>
      </c>
      <c r="Z55" s="8">
        <f>SUMPRODUCT((raw!$B$2:$B$1473='2018-19_working'!$A55)*(raw!$E$2:$E$1473='2018-19_working'!$T$6)*(raw!$F$2:$F$1473='2018-19_working'!Z$7)*(raw!$G$2:$G$1473))</f>
        <v>0</v>
      </c>
      <c r="AA55" s="8">
        <f>SUMPRODUCT((raw!$B$2:$B$1473='2018-19_working'!$A55)*(raw!$E$2:$E$1473='2018-19_working'!$T$6)*(raw!$F$2:$F$1473='2018-19_working'!AA$7)*(raw!$G$2:$G$1473))</f>
        <v>0</v>
      </c>
      <c r="AC55" s="8">
        <f>SUMPRODUCT((raw!$B$2:$B$1473='2018-19_working'!$A55)*(raw!$E$2:$E$1473='2018-19_working'!$AC$6)*(raw!$F$2:$F$1473='2018-19_working'!AC$7)*(raw!$G$2:$G$1473))</f>
        <v>33</v>
      </c>
      <c r="AD55" s="8">
        <f>SUMPRODUCT((raw!$B$2:$B$1473='2018-19_working'!$A55)*(raw!$E$2:$E$1473='2018-19_working'!$AC$6)*(raw!$F$2:$F$1473='2018-19_working'!AD$7)*(raw!$G$2:$G$1473))</f>
        <v>0</v>
      </c>
      <c r="AE55" s="8">
        <f>SUMPRODUCT((raw!$B$2:$B$1473='2018-19_working'!$A55)*(raw!$E$2:$E$1473='2018-19_working'!$AC$6)*(raw!$F$2:$F$1473='2018-19_working'!AE$7)*(raw!$G$2:$G$1473))</f>
        <v>0</v>
      </c>
      <c r="AF55" s="8">
        <f>SUMPRODUCT((raw!$B$2:$B$1473='2018-19_working'!$A55)*(raw!$E$2:$E$1473='2018-19_working'!$AC$6)*(raw!$F$2:$F$1473='2018-19_working'!AF$7)*(raw!$G$2:$G$1473))</f>
        <v>6</v>
      </c>
      <c r="AG55" s="8">
        <f>SUMPRODUCT((raw!$B$2:$B$1473='2018-19_working'!$A55)*(raw!$E$2:$E$1473='2018-19_working'!$AC$6)*(raw!$F$2:$F$1473='2018-19_working'!AG$7)*(raw!$G$2:$G$1473))</f>
        <v>1</v>
      </c>
      <c r="AH55" s="8">
        <f>SUMPRODUCT((raw!$B$2:$B$1473='2018-19_working'!$A55)*(raw!$E$2:$E$1473='2018-19_working'!$AC$6)*(raw!$F$2:$F$1473='2018-19_working'!AH$7)*(raw!$G$2:$G$1473))</f>
        <v>0</v>
      </c>
      <c r="AI55" s="8">
        <f>SUMPRODUCT((raw!$B$2:$B$1473='2018-19_working'!$A55)*(raw!$E$2:$E$1473='2018-19_working'!$AC$6)*(raw!$F$2:$F$1473='2018-19_working'!AI$7)*(raw!$G$2:$G$1473))</f>
        <v>0</v>
      </c>
      <c r="AJ55" s="8">
        <f>SUMPRODUCT((raw!$B$2:$B$1473='2018-19_working'!$A55)*(raw!$E$2:$E$1473='2018-19_working'!$AC$6)*(raw!$F$2:$F$1473='2018-19_working'!AJ$7)*(raw!$G$2:$G$1473))</f>
        <v>4</v>
      </c>
    </row>
    <row r="56" spans="1:36" x14ac:dyDescent="0.35">
      <c r="A56" s="8" t="s">
        <v>63</v>
      </c>
      <c r="B56" s="8">
        <f>SUMPRODUCT((raw!$B$2:$B$1473='2018-19_working'!$A56)*(raw!$E$2:$E$1473='2018-19_working'!$B$6:$I$6)*(raw!$F$2:$F$1473='2018-19_working'!B$7)*(raw!$G$2:$G$1473))</f>
        <v>358</v>
      </c>
      <c r="C56" s="8">
        <f>SUMPRODUCT((raw!$B$2:$B$1473='2018-19_working'!$A56)*(raw!$E$2:$E$1473='2018-19_working'!$B$6:$I$6)*(raw!$F$2:$F$1473='2018-19_working'!C$7)*(raw!$G$2:$G$1473))</f>
        <v>19</v>
      </c>
      <c r="D56" s="8">
        <f>SUMPRODUCT((raw!$B$2:$B$1473='2018-19_working'!$A56)*(raw!$E$2:$E$1473='2018-19_working'!$B$6:$I$6)*(raw!$F$2:$F$1473='2018-19_working'!D$7)*(raw!$G$2:$G$1473))</f>
        <v>18</v>
      </c>
      <c r="E56" s="8">
        <f>SUMPRODUCT((raw!$B$2:$B$1473='2018-19_working'!$A56)*(raw!$E$2:$E$1473='2018-19_working'!$B$6:$I$6)*(raw!$F$2:$F$1473='2018-19_working'!E$7)*(raw!$G$2:$G$1473))</f>
        <v>2</v>
      </c>
      <c r="F56" s="8">
        <f>SUMPRODUCT((raw!$B$2:$B$1473='2018-19_working'!$A56)*(raw!$E$2:$E$1473='2018-19_working'!$B$6:$I$6)*(raw!$F$2:$F$1473='2018-19_working'!F$7)*(raw!$G$2:$G$1473))</f>
        <v>11</v>
      </c>
      <c r="G56" s="8">
        <f>SUMPRODUCT((raw!$B$2:$B$1473='2018-19_working'!$A56)*(raw!$E$2:$E$1473='2018-19_working'!$B$6:$I$6)*(raw!$F$2:$F$1473='2018-19_working'!G$7)*(raw!$G$2:$G$1473))</f>
        <v>1</v>
      </c>
      <c r="H56" s="8">
        <f>SUMPRODUCT((raw!$B$2:$B$1473='2018-19_working'!$A56)*(raw!$E$2:$E$1473='2018-19_working'!$B$6:$I$6)*(raw!$F$2:$F$1473='2018-19_working'!H$7)*(raw!$G$2:$G$1473))</f>
        <v>7</v>
      </c>
      <c r="I56" s="8">
        <f>SUMPRODUCT((raw!$B$2:$B$1473='2018-19_working'!$A56)*(raw!$E$2:$E$1473='2018-19_working'!$B$6:$I$6)*(raw!$F$2:$F$1473='2018-19_working'!I$7)*(raw!$G$2:$G$1473))</f>
        <v>12</v>
      </c>
      <c r="K56" s="8">
        <f>SUMPRODUCT((raw!$B$2:$B$1473='2018-19_working'!$A56)*(raw!$E$2:$E$1473='2018-19_working'!$K$6)*(raw!$F$2:$F$1473='2018-19_working'!K$7)*(raw!$G$2:$G$1473))</f>
        <v>0</v>
      </c>
      <c r="L56" s="8">
        <f>SUMPRODUCT((raw!$B$2:$B$1473='2018-19_working'!$A56)*(raw!$E$2:$E$1473='2018-19_working'!$K$6)*(raw!$F$2:$F$1473='2018-19_working'!L$7)*(raw!$G$2:$G$1473))</f>
        <v>0</v>
      </c>
      <c r="M56" s="8">
        <f>SUMPRODUCT((raw!$B$2:$B$1473='2018-19_working'!$A56)*(raw!$E$2:$E$1473='2018-19_working'!$K$6)*(raw!$F$2:$F$1473='2018-19_working'!M$7)*(raw!$G$2:$G$1473))</f>
        <v>0</v>
      </c>
      <c r="N56" s="8">
        <f>SUMPRODUCT((raw!$B$2:$B$1473='2018-19_working'!$A56)*(raw!$E$2:$E$1473='2018-19_working'!$K$6)*(raw!$F$2:$F$1473='2018-19_working'!N$7)*(raw!$G$2:$G$1473))</f>
        <v>0</v>
      </c>
      <c r="O56" s="8">
        <f>SUMPRODUCT((raw!$B$2:$B$1473='2018-19_working'!$A56)*(raw!$E$2:$E$1473='2018-19_working'!$K$6)*(raw!$F$2:$F$1473='2018-19_working'!O$7)*(raw!$G$2:$G$1473))</f>
        <v>0</v>
      </c>
      <c r="P56" s="8">
        <f>SUMPRODUCT((raw!$B$2:$B$1473='2018-19_working'!$A56)*(raw!$E$2:$E$1473='2018-19_working'!$K$6)*(raw!$F$2:$F$1473='2018-19_working'!P$7)*(raw!$G$2:$G$1473))</f>
        <v>0</v>
      </c>
      <c r="Q56" s="8">
        <f>SUMPRODUCT((raw!$B$2:$B$1473='2018-19_working'!$A56)*(raw!$E$2:$E$1473='2018-19_working'!$K$6)*(raw!$F$2:$F$1473='2018-19_working'!Q$7)*(raw!$G$2:$G$1473))</f>
        <v>0</v>
      </c>
      <c r="R56" s="8">
        <f>SUMPRODUCT((raw!$B$2:$B$1473='2018-19_working'!$A56)*(raw!$E$2:$E$1473='2018-19_working'!$K$6)*(raw!$F$2:$F$1473='2018-19_working'!R$7)*(raw!$G$2:$G$1473))</f>
        <v>0</v>
      </c>
      <c r="T56" s="8">
        <f>SUMPRODUCT((raw!$B$2:$B$1473='2018-19_working'!$A56)*(raw!$E$2:$E$1473='2018-19_working'!$T$6)*(raw!$F$2:$F$1473='2018-19_working'!T$7)*(raw!$G$2:$G$1473))</f>
        <v>5</v>
      </c>
      <c r="U56" s="8">
        <f>SUMPRODUCT((raw!$B$2:$B$1473='2018-19_working'!$A56)*(raw!$E$2:$E$1473='2018-19_working'!$T$6)*(raw!$F$2:$F$1473='2018-19_working'!U$7)*(raw!$G$2:$G$1473))</f>
        <v>0</v>
      </c>
      <c r="V56" s="8">
        <f>SUMPRODUCT((raw!$B$2:$B$1473='2018-19_working'!$A56)*(raw!$E$2:$E$1473='2018-19_working'!$T$6)*(raw!$F$2:$F$1473='2018-19_working'!V$7)*(raw!$G$2:$G$1473))</f>
        <v>0</v>
      </c>
      <c r="W56" s="8">
        <f>SUMPRODUCT((raw!$B$2:$B$1473='2018-19_working'!$A56)*(raw!$E$2:$E$1473='2018-19_working'!$T$6)*(raw!$F$2:$F$1473='2018-19_working'!W$7)*(raw!$G$2:$G$1473))</f>
        <v>0</v>
      </c>
      <c r="X56" s="8">
        <f>SUMPRODUCT((raw!$B$2:$B$1473='2018-19_working'!$A56)*(raw!$E$2:$E$1473='2018-19_working'!$T$6)*(raw!$F$2:$F$1473='2018-19_working'!X$7)*(raw!$G$2:$G$1473))</f>
        <v>0</v>
      </c>
      <c r="Y56" s="8">
        <f>SUMPRODUCT((raw!$B$2:$B$1473='2018-19_working'!$A56)*(raw!$E$2:$E$1473='2018-19_working'!$T$6)*(raw!$F$2:$F$1473='2018-19_working'!Y$7)*(raw!$G$2:$G$1473))</f>
        <v>0</v>
      </c>
      <c r="Z56" s="8">
        <f>SUMPRODUCT((raw!$B$2:$B$1473='2018-19_working'!$A56)*(raw!$E$2:$E$1473='2018-19_working'!$T$6)*(raw!$F$2:$F$1473='2018-19_working'!Z$7)*(raw!$G$2:$G$1473))</f>
        <v>0</v>
      </c>
      <c r="AA56" s="8">
        <f>SUMPRODUCT((raw!$B$2:$B$1473='2018-19_working'!$A56)*(raw!$E$2:$E$1473='2018-19_working'!$T$6)*(raw!$F$2:$F$1473='2018-19_working'!AA$7)*(raw!$G$2:$G$1473))</f>
        <v>0</v>
      </c>
      <c r="AC56" s="8">
        <f>SUMPRODUCT((raw!$B$2:$B$1473='2018-19_working'!$A56)*(raw!$E$2:$E$1473='2018-19_working'!$AC$6)*(raw!$F$2:$F$1473='2018-19_working'!AC$7)*(raw!$G$2:$G$1473))</f>
        <v>67</v>
      </c>
      <c r="AD56" s="8">
        <f>SUMPRODUCT((raw!$B$2:$B$1473='2018-19_working'!$A56)*(raw!$E$2:$E$1473='2018-19_working'!$AC$6)*(raw!$F$2:$F$1473='2018-19_working'!AD$7)*(raw!$G$2:$G$1473))</f>
        <v>3</v>
      </c>
      <c r="AE56" s="8">
        <f>SUMPRODUCT((raw!$B$2:$B$1473='2018-19_working'!$A56)*(raw!$E$2:$E$1473='2018-19_working'!$AC$6)*(raw!$F$2:$F$1473='2018-19_working'!AE$7)*(raw!$G$2:$G$1473))</f>
        <v>4</v>
      </c>
      <c r="AF56" s="8">
        <f>SUMPRODUCT((raw!$B$2:$B$1473='2018-19_working'!$A56)*(raw!$E$2:$E$1473='2018-19_working'!$AC$6)*(raw!$F$2:$F$1473='2018-19_working'!AF$7)*(raw!$G$2:$G$1473))</f>
        <v>7</v>
      </c>
      <c r="AG56" s="8">
        <f>SUMPRODUCT((raw!$B$2:$B$1473='2018-19_working'!$A56)*(raw!$E$2:$E$1473='2018-19_working'!$AC$6)*(raw!$F$2:$F$1473='2018-19_working'!AG$7)*(raw!$G$2:$G$1473))</f>
        <v>14</v>
      </c>
      <c r="AH56" s="8">
        <f>SUMPRODUCT((raw!$B$2:$B$1473='2018-19_working'!$A56)*(raw!$E$2:$E$1473='2018-19_working'!$AC$6)*(raw!$F$2:$F$1473='2018-19_working'!AH$7)*(raw!$G$2:$G$1473))</f>
        <v>1</v>
      </c>
      <c r="AI56" s="8">
        <f>SUMPRODUCT((raw!$B$2:$B$1473='2018-19_working'!$A56)*(raw!$E$2:$E$1473='2018-19_working'!$AC$6)*(raw!$F$2:$F$1473='2018-19_working'!AI$7)*(raw!$G$2:$G$1473))</f>
        <v>9</v>
      </c>
      <c r="AJ56" s="8">
        <f>SUMPRODUCT((raw!$B$2:$B$1473='2018-19_working'!$A56)*(raw!$E$2:$E$1473='2018-19_working'!$AC$6)*(raw!$F$2:$F$1473='2018-19_working'!AJ$7)*(raw!$G$2:$G$1473))</f>
        <v>3</v>
      </c>
    </row>
  </sheetData>
  <mergeCells count="5">
    <mergeCell ref="A1:O1"/>
    <mergeCell ref="B6:I6"/>
    <mergeCell ref="K6:R6"/>
    <mergeCell ref="T6:AA6"/>
    <mergeCell ref="AC6:AJ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L70"/>
  <sheetViews>
    <sheetView workbookViewId="0">
      <selection activeCell="A4" sqref="A4:L4"/>
    </sheetView>
  </sheetViews>
  <sheetFormatPr defaultColWidth="9.1796875" defaultRowHeight="14.5" x14ac:dyDescent="0.35"/>
  <cols>
    <col min="1" max="1" width="50.7265625" style="4" customWidth="1"/>
    <col min="2" max="9" width="8.7265625" style="4" customWidth="1"/>
    <col min="10" max="10" width="2.7265625" style="4" customWidth="1"/>
    <col min="11" max="18" width="8.7265625" style="4" customWidth="1"/>
    <col min="19" max="19" width="2.7265625" style="4" customWidth="1"/>
    <col min="20" max="27" width="8.7265625" style="4" customWidth="1"/>
    <col min="28" max="28" width="2.7265625" style="4" customWidth="1"/>
    <col min="29" max="36" width="8.7265625" style="4" customWidth="1"/>
    <col min="37" max="37" width="2.7265625" style="4" customWidth="1"/>
    <col min="38" max="45" width="8.7265625" style="4" customWidth="1"/>
    <col min="46" max="46" width="2.7265625" style="4" customWidth="1"/>
    <col min="47" max="54" width="8.7265625" style="4" customWidth="1"/>
    <col min="55" max="16384" width="9.1796875" style="4"/>
  </cols>
  <sheetData>
    <row r="1" spans="1:64" s="1" customFormat="1" ht="23.25" customHeight="1" x14ac:dyDescent="0.5">
      <c r="A1" s="109" t="s">
        <v>85</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row>
    <row r="2" spans="1:64" s="3" customFormat="1" x14ac:dyDescent="0.35">
      <c r="A2" s="2"/>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row>
    <row r="3" spans="1:64" s="3" customFormat="1" x14ac:dyDescent="0.35">
      <c r="A3" s="2"/>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row>
    <row r="4" spans="1:64" s="3" customFormat="1" x14ac:dyDescent="0.35">
      <c r="A4" s="2"/>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64" s="3" customFormat="1" x14ac:dyDescent="0.35">
      <c r="A5" s="2"/>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row>
    <row r="6" spans="1:64" s="8" customFormat="1" ht="15.75" customHeight="1" thickBot="1" x14ac:dyDescent="0.4">
      <c r="A6" s="4"/>
      <c r="B6" s="111" t="s">
        <v>1</v>
      </c>
      <c r="C6" s="111"/>
      <c r="D6" s="111"/>
      <c r="E6" s="111"/>
      <c r="F6" s="111"/>
      <c r="G6" s="111"/>
      <c r="H6" s="111"/>
      <c r="I6" s="40"/>
      <c r="J6" s="39"/>
      <c r="K6" s="113" t="s">
        <v>84</v>
      </c>
      <c r="L6" s="113"/>
      <c r="M6" s="113"/>
      <c r="N6" s="113"/>
      <c r="O6" s="113"/>
      <c r="P6" s="113"/>
      <c r="Q6" s="113"/>
      <c r="R6" s="113"/>
      <c r="S6" s="39"/>
      <c r="T6" s="112" t="s">
        <v>2</v>
      </c>
      <c r="U6" s="112"/>
      <c r="V6" s="112"/>
      <c r="W6" s="112"/>
      <c r="X6" s="112"/>
      <c r="Y6" s="112"/>
      <c r="Z6" s="112"/>
      <c r="AA6" s="7"/>
      <c r="AB6" s="39"/>
      <c r="AC6" s="113" t="s">
        <v>3</v>
      </c>
      <c r="AD6" s="113"/>
      <c r="AE6" s="113"/>
      <c r="AF6" s="113"/>
      <c r="AG6" s="113"/>
      <c r="AH6" s="113"/>
      <c r="AI6" s="113"/>
      <c r="AJ6" s="40"/>
      <c r="AK6" s="39"/>
      <c r="AL6" s="113" t="s">
        <v>4</v>
      </c>
      <c r="AM6" s="113"/>
      <c r="AN6" s="113"/>
      <c r="AO6" s="113"/>
      <c r="AP6" s="113"/>
      <c r="AQ6" s="113"/>
      <c r="AR6" s="113"/>
      <c r="AS6" s="40"/>
      <c r="AT6" s="39"/>
      <c r="AU6" s="112" t="s">
        <v>5</v>
      </c>
      <c r="AV6" s="112"/>
      <c r="AW6" s="112"/>
      <c r="AX6" s="112"/>
      <c r="AY6" s="112"/>
      <c r="AZ6" s="112"/>
      <c r="BA6" s="112"/>
      <c r="BB6" s="112"/>
    </row>
    <row r="7" spans="1:64" s="15" customFormat="1" ht="58.5" thickBot="1" x14ac:dyDescent="0.4">
      <c r="A7" s="9" t="s">
        <v>6</v>
      </c>
      <c r="B7" s="10" t="s">
        <v>7</v>
      </c>
      <c r="C7" s="10" t="s">
        <v>8</v>
      </c>
      <c r="D7" s="10" t="s">
        <v>9</v>
      </c>
      <c r="E7" s="10" t="s">
        <v>10</v>
      </c>
      <c r="F7" s="10" t="s">
        <v>11</v>
      </c>
      <c r="G7" s="10" t="s">
        <v>12</v>
      </c>
      <c r="H7" s="45" t="s">
        <v>13</v>
      </c>
      <c r="I7" s="45" t="s">
        <v>14</v>
      </c>
      <c r="J7" s="41"/>
      <c r="K7" s="10" t="s">
        <v>7</v>
      </c>
      <c r="L7" s="10" t="s">
        <v>8</v>
      </c>
      <c r="M7" s="10" t="s">
        <v>9</v>
      </c>
      <c r="N7" s="10" t="s">
        <v>10</v>
      </c>
      <c r="O7" s="10" t="s">
        <v>11</v>
      </c>
      <c r="P7" s="10" t="s">
        <v>12</v>
      </c>
      <c r="Q7" s="45" t="s">
        <v>13</v>
      </c>
      <c r="R7" s="45" t="s">
        <v>14</v>
      </c>
      <c r="S7" s="41"/>
      <c r="T7" s="13" t="s">
        <v>7</v>
      </c>
      <c r="U7" s="13" t="s">
        <v>8</v>
      </c>
      <c r="V7" s="13" t="s">
        <v>9</v>
      </c>
      <c r="W7" s="13" t="s">
        <v>10</v>
      </c>
      <c r="X7" s="13" t="s">
        <v>11</v>
      </c>
      <c r="Y7" s="13" t="s">
        <v>12</v>
      </c>
      <c r="Z7" s="45" t="s">
        <v>13</v>
      </c>
      <c r="AA7" s="45" t="s">
        <v>14</v>
      </c>
      <c r="AB7" s="41"/>
      <c r="AC7" s="10" t="s">
        <v>7</v>
      </c>
      <c r="AD7" s="10" t="s">
        <v>8</v>
      </c>
      <c r="AE7" s="10" t="s">
        <v>9</v>
      </c>
      <c r="AF7" s="10" t="s">
        <v>10</v>
      </c>
      <c r="AG7" s="10" t="s">
        <v>11</v>
      </c>
      <c r="AH7" s="10" t="s">
        <v>12</v>
      </c>
      <c r="AI7" s="45" t="s">
        <v>13</v>
      </c>
      <c r="AJ7" s="45" t="s">
        <v>14</v>
      </c>
      <c r="AK7" s="41"/>
      <c r="AL7" s="10" t="s">
        <v>7</v>
      </c>
      <c r="AM7" s="10" t="s">
        <v>8</v>
      </c>
      <c r="AN7" s="10" t="s">
        <v>9</v>
      </c>
      <c r="AO7" s="10" t="s">
        <v>10</v>
      </c>
      <c r="AP7" s="10" t="s">
        <v>11</v>
      </c>
      <c r="AQ7" s="10" t="s">
        <v>12</v>
      </c>
      <c r="AR7" s="45" t="s">
        <v>13</v>
      </c>
      <c r="AS7" s="45" t="s">
        <v>14</v>
      </c>
      <c r="AT7" s="41"/>
      <c r="AU7" s="13" t="s">
        <v>7</v>
      </c>
      <c r="AV7" s="13" t="s">
        <v>8</v>
      </c>
      <c r="AW7" s="13" t="s">
        <v>9</v>
      </c>
      <c r="AX7" s="13" t="s">
        <v>10</v>
      </c>
      <c r="AY7" s="13" t="s">
        <v>11</v>
      </c>
      <c r="AZ7" s="13" t="s">
        <v>12</v>
      </c>
      <c r="BA7" s="45" t="s">
        <v>13</v>
      </c>
      <c r="BB7" s="45" t="s">
        <v>14</v>
      </c>
    </row>
    <row r="8" spans="1:64" s="8" customFormat="1" ht="15" customHeight="1" x14ac:dyDescent="0.35">
      <c r="A8" s="16" t="s">
        <v>15</v>
      </c>
      <c r="B8" s="22">
        <f>B9+B49</f>
        <v>824</v>
      </c>
      <c r="C8" s="22">
        <f t="shared" ref="C8:G8" si="0">C9+C49</f>
        <v>48</v>
      </c>
      <c r="D8" s="22">
        <f t="shared" si="0"/>
        <v>17</v>
      </c>
      <c r="E8" s="22">
        <f t="shared" si="0"/>
        <v>18</v>
      </c>
      <c r="F8" s="22">
        <f t="shared" si="0"/>
        <v>5</v>
      </c>
      <c r="G8" s="22">
        <f t="shared" si="0"/>
        <v>194</v>
      </c>
      <c r="H8" s="46">
        <f>IF(SUM(B8:F8)=0,"-",(SUM(C8:F8)/SUM(B8:F8)))</f>
        <v>9.6491228070175433E-2</v>
      </c>
      <c r="I8" s="46">
        <f>IF(SUM(B8:G8)=0,"-",(G8/SUM(B8:G8)))</f>
        <v>0.17540687160940324</v>
      </c>
      <c r="J8" s="17"/>
      <c r="K8" s="22">
        <f>K9+K49</f>
        <v>1063</v>
      </c>
      <c r="L8" s="22">
        <f t="shared" ref="L8" si="1">L9+L49</f>
        <v>10</v>
      </c>
      <c r="M8" s="22">
        <f t="shared" ref="M8" si="2">M9+M49</f>
        <v>1</v>
      </c>
      <c r="N8" s="22">
        <f t="shared" ref="N8" si="3">N9+N49</f>
        <v>0</v>
      </c>
      <c r="O8" s="22">
        <f t="shared" ref="O8" si="4">O9+O49</f>
        <v>4</v>
      </c>
      <c r="P8" s="22">
        <f t="shared" ref="P8" si="5">P9+P49</f>
        <v>430</v>
      </c>
      <c r="Q8" s="46">
        <f>IF(SUM(K8:O8)=0,"-",(SUM(L8:O8)/SUM(K8:O8)))</f>
        <v>1.3914656771799629E-2</v>
      </c>
      <c r="R8" s="46">
        <f>IF(SUM(K8:P8)=0,"-",(P8/SUM(K8:P8)))</f>
        <v>0.28514588859416445</v>
      </c>
      <c r="S8" s="17"/>
      <c r="T8" s="17">
        <f>B8+K8</f>
        <v>1887</v>
      </c>
      <c r="U8" s="17">
        <f t="shared" ref="U8:Y8" si="6">C8+L8</f>
        <v>58</v>
      </c>
      <c r="V8" s="17">
        <f t="shared" si="6"/>
        <v>18</v>
      </c>
      <c r="W8" s="17">
        <f t="shared" si="6"/>
        <v>18</v>
      </c>
      <c r="X8" s="17">
        <f t="shared" si="6"/>
        <v>9</v>
      </c>
      <c r="Y8" s="17">
        <f t="shared" si="6"/>
        <v>624</v>
      </c>
      <c r="Z8" s="46">
        <f>IF(SUM(T8:X8)=0,"-",(SUM(U8:X8)/SUM(T8:X8)))</f>
        <v>5.1758793969849247E-2</v>
      </c>
      <c r="AA8" s="46">
        <f>IF(SUM(T8:Y8)=0,"-",(Y8/SUM(T8:Y8)))</f>
        <v>0.23871461361897475</v>
      </c>
      <c r="AB8" s="17"/>
      <c r="AC8" s="22">
        <f>AC9+AC49</f>
        <v>91</v>
      </c>
      <c r="AD8" s="22">
        <f t="shared" ref="AD8" si="7">AD9+AD49</f>
        <v>2</v>
      </c>
      <c r="AE8" s="22">
        <f t="shared" ref="AE8" si="8">AE9+AE49</f>
        <v>1</v>
      </c>
      <c r="AF8" s="22">
        <f t="shared" ref="AF8" si="9">AF9+AF49</f>
        <v>1</v>
      </c>
      <c r="AG8" s="22">
        <f t="shared" ref="AG8" si="10">AG9+AG49</f>
        <v>0</v>
      </c>
      <c r="AH8" s="22">
        <f t="shared" ref="AH8" si="11">AH9+AH49</f>
        <v>29</v>
      </c>
      <c r="AI8" s="46">
        <f>IF(SUM(AC8:AG8)=0,"-",(SUM(AD8:AG8)/SUM(AC8:AG8)))</f>
        <v>4.2105263157894736E-2</v>
      </c>
      <c r="AJ8" s="46">
        <f>IF(SUM(AC8:AH8)=0,"-",(AH8/SUM(AC8:AH8)))</f>
        <v>0.23387096774193547</v>
      </c>
      <c r="AK8" s="17"/>
      <c r="AL8" s="22">
        <f>AL9+AL49</f>
        <v>701</v>
      </c>
      <c r="AM8" s="22">
        <f t="shared" ref="AM8" si="12">AM9+AM49</f>
        <v>18</v>
      </c>
      <c r="AN8" s="22">
        <f t="shared" ref="AN8" si="13">AN9+AN49</f>
        <v>28</v>
      </c>
      <c r="AO8" s="22">
        <f t="shared" ref="AO8" si="14">AO9+AO49</f>
        <v>30</v>
      </c>
      <c r="AP8" s="22">
        <f t="shared" ref="AP8" si="15">AP9+AP49</f>
        <v>15</v>
      </c>
      <c r="AQ8" s="22">
        <f t="shared" ref="AQ8" si="16">AQ9+AQ49</f>
        <v>236</v>
      </c>
      <c r="AR8" s="46">
        <f>IF(SUM(AL8:AP8)=0,"-",(SUM(AM8:AP8)/SUM(AL8:AP8)))</f>
        <v>0.1148989898989899</v>
      </c>
      <c r="AS8" s="46">
        <f>IF(SUM(AL8:AQ8)=0,"-",(AQ8/SUM(AL8:AQ8)))</f>
        <v>0.22957198443579765</v>
      </c>
      <c r="AT8" s="17"/>
      <c r="AU8" s="17">
        <f>AL8+AC8+T8</f>
        <v>2679</v>
      </c>
      <c r="AV8" s="17">
        <f t="shared" ref="AV8:AZ8" si="17">AM8+AD8+U8</f>
        <v>78</v>
      </c>
      <c r="AW8" s="17">
        <f t="shared" si="17"/>
        <v>47</v>
      </c>
      <c r="AX8" s="17">
        <f t="shared" si="17"/>
        <v>49</v>
      </c>
      <c r="AY8" s="17">
        <f t="shared" si="17"/>
        <v>24</v>
      </c>
      <c r="AZ8" s="17">
        <f t="shared" si="17"/>
        <v>889</v>
      </c>
      <c r="BA8" s="46">
        <f>IF(SUM(AU8:AY8)=0,"-",(SUM(AV8:AY8)/SUM(AU8:AY8)))</f>
        <v>6.8821689259645463E-2</v>
      </c>
      <c r="BB8" s="46">
        <f>IF(SUM(AU8:AZ8)=0,"-",(AZ8/SUM(AU8:AZ8)))</f>
        <v>0.23605947955390336</v>
      </c>
      <c r="BC8" s="19"/>
      <c r="BD8" s="20">
        <f>SUM(AU8:AZ8)</f>
        <v>3766</v>
      </c>
      <c r="BE8" s="20">
        <v>3767</v>
      </c>
      <c r="BF8" s="53">
        <f>BD8-BE8</f>
        <v>-1</v>
      </c>
      <c r="BG8" s="19"/>
      <c r="BH8" s="19"/>
      <c r="BI8" s="19"/>
      <c r="BJ8" s="19"/>
      <c r="BK8" s="19"/>
      <c r="BL8" s="20"/>
    </row>
    <row r="9" spans="1:64" s="8" customFormat="1" ht="15" customHeight="1" x14ac:dyDescent="0.35">
      <c r="A9" s="21" t="s">
        <v>16</v>
      </c>
      <c r="B9" s="22">
        <f>SUM(B10:B48)</f>
        <v>496</v>
      </c>
      <c r="C9" s="22">
        <f t="shared" ref="C9:G9" si="18">SUM(C10:C48)</f>
        <v>11</v>
      </c>
      <c r="D9" s="22">
        <f t="shared" si="18"/>
        <v>5</v>
      </c>
      <c r="E9" s="22">
        <f t="shared" si="18"/>
        <v>1</v>
      </c>
      <c r="F9" s="22">
        <f t="shared" si="18"/>
        <v>0</v>
      </c>
      <c r="G9" s="22">
        <f t="shared" si="18"/>
        <v>153</v>
      </c>
      <c r="H9" s="46">
        <f t="shared" ref="H9:H56" si="19">IF(SUM(B9:F9)=0,"-",(SUM(C9:F9)/SUM(B9:F9)))</f>
        <v>3.3138401559454189E-2</v>
      </c>
      <c r="I9" s="46">
        <f t="shared" ref="I9:I56" si="20">IF(SUM(B9:G9)=0,"-",(G9/SUM(B9:G9)))</f>
        <v>0.22972972972972974</v>
      </c>
      <c r="J9" s="22"/>
      <c r="K9" s="22">
        <f>SUM(K10:K48)</f>
        <v>1010</v>
      </c>
      <c r="L9" s="22">
        <f t="shared" ref="L9" si="21">SUM(L10:L48)</f>
        <v>9</v>
      </c>
      <c r="M9" s="22">
        <f t="shared" ref="M9" si="22">SUM(M10:M48)</f>
        <v>1</v>
      </c>
      <c r="N9" s="22">
        <f t="shared" ref="N9" si="23">SUM(N10:N48)</f>
        <v>0</v>
      </c>
      <c r="O9" s="22">
        <f t="shared" ref="O9" si="24">SUM(O10:O48)</f>
        <v>4</v>
      </c>
      <c r="P9" s="22">
        <f t="shared" ref="P9" si="25">SUM(P10:P48)</f>
        <v>429</v>
      </c>
      <c r="Q9" s="46">
        <f t="shared" ref="Q9:Q56" si="26">IF(SUM(K9:O9)=0,"-",(SUM(L9:O9)/SUM(K9:O9)))</f>
        <v>1.3671875E-2</v>
      </c>
      <c r="R9" s="46">
        <f t="shared" ref="R9:R56" si="27">IF(SUM(K9:P9)=0,"-",(P9/SUM(K9:P9)))</f>
        <v>0.29525120440467995</v>
      </c>
      <c r="S9" s="22"/>
      <c r="T9" s="22">
        <f t="shared" ref="T9:T56" si="28">B9+K9</f>
        <v>1506</v>
      </c>
      <c r="U9" s="22">
        <f t="shared" ref="U9:U56" si="29">C9+L9</f>
        <v>20</v>
      </c>
      <c r="V9" s="22">
        <f t="shared" ref="V9:V56" si="30">D9+M9</f>
        <v>6</v>
      </c>
      <c r="W9" s="22">
        <f t="shared" ref="W9:W56" si="31">E9+N9</f>
        <v>1</v>
      </c>
      <c r="X9" s="22">
        <f t="shared" ref="X9:X56" si="32">F9+O9</f>
        <v>4</v>
      </c>
      <c r="Y9" s="22">
        <f t="shared" ref="Y9:Y56" si="33">G9+P9</f>
        <v>582</v>
      </c>
      <c r="Z9" s="46">
        <f t="shared" ref="Z9:Z56" si="34">IF(SUM(T9:X9)=0,"-",(SUM(U9:X9)/SUM(T9:X9)))</f>
        <v>2.0169160702667534E-2</v>
      </c>
      <c r="AA9" s="46">
        <f t="shared" ref="AA9:AA56" si="35">IF(SUM(T9:Y9)=0,"-",(Y9/SUM(T9:Y9)))</f>
        <v>0.27465785747994337</v>
      </c>
      <c r="AB9" s="22"/>
      <c r="AC9" s="22">
        <f>SUM(AC10:AC48)</f>
        <v>62</v>
      </c>
      <c r="AD9" s="22">
        <f t="shared" ref="AD9" si="36">SUM(AD10:AD48)</f>
        <v>0</v>
      </c>
      <c r="AE9" s="22">
        <f t="shared" ref="AE9" si="37">SUM(AE10:AE48)</f>
        <v>0</v>
      </c>
      <c r="AF9" s="22">
        <f t="shared" ref="AF9" si="38">SUM(AF10:AF48)</f>
        <v>0</v>
      </c>
      <c r="AG9" s="22">
        <f t="shared" ref="AG9" si="39">SUM(AG10:AG48)</f>
        <v>0</v>
      </c>
      <c r="AH9" s="22">
        <f t="shared" ref="AH9" si="40">SUM(AH10:AH48)</f>
        <v>29</v>
      </c>
      <c r="AI9" s="46">
        <f t="shared" ref="AI9:AI56" si="41">IF(SUM(AC9:AG9)=0,"-",(SUM(AD9:AG9)/SUM(AC9:AG9)))</f>
        <v>0</v>
      </c>
      <c r="AJ9" s="46">
        <f t="shared" ref="AJ9:AJ56" si="42">IF(SUM(AC9:AH9)=0,"-",(AH9/SUM(AC9:AH9)))</f>
        <v>0.31868131868131866</v>
      </c>
      <c r="AK9" s="22"/>
      <c r="AL9" s="22">
        <f>SUM(AL10:AL48)</f>
        <v>491</v>
      </c>
      <c r="AM9" s="22">
        <f t="shared" ref="AM9" si="43">SUM(AM10:AM48)</f>
        <v>14</v>
      </c>
      <c r="AN9" s="22">
        <f t="shared" ref="AN9" si="44">SUM(AN10:AN48)</f>
        <v>12</v>
      </c>
      <c r="AO9" s="22">
        <f t="shared" ref="AO9" si="45">SUM(AO10:AO48)</f>
        <v>10</v>
      </c>
      <c r="AP9" s="22">
        <f t="shared" ref="AP9" si="46">SUM(AP10:AP48)</f>
        <v>5</v>
      </c>
      <c r="AQ9" s="22">
        <f t="shared" ref="AQ9" si="47">SUM(AQ10:AQ48)</f>
        <v>194</v>
      </c>
      <c r="AR9" s="46">
        <f t="shared" ref="AR9:AR56" si="48">IF(SUM(AL9:AP9)=0,"-",(SUM(AM9:AP9)/SUM(AL9:AP9)))</f>
        <v>7.7067669172932327E-2</v>
      </c>
      <c r="AS9" s="46">
        <f t="shared" ref="AS9:AS56" si="49">IF(SUM(AL9:AQ9)=0,"-",(AQ9/SUM(AL9:AQ9)))</f>
        <v>0.26721763085399447</v>
      </c>
      <c r="AT9" s="22"/>
      <c r="AU9" s="22">
        <f t="shared" ref="AU9:AU56" si="50">AL9+AC9+T9</f>
        <v>2059</v>
      </c>
      <c r="AV9" s="22">
        <f t="shared" ref="AV9:AV56" si="51">AM9+AD9+U9</f>
        <v>34</v>
      </c>
      <c r="AW9" s="22">
        <f t="shared" ref="AW9:AW56" si="52">AN9+AE9+V9</f>
        <v>18</v>
      </c>
      <c r="AX9" s="22">
        <f t="shared" ref="AX9:AX56" si="53">AO9+AF9+W9</f>
        <v>11</v>
      </c>
      <c r="AY9" s="22">
        <f t="shared" ref="AY9:AY56" si="54">AP9+AG9+X9</f>
        <v>9</v>
      </c>
      <c r="AZ9" s="22">
        <f t="shared" ref="AZ9:AZ56" si="55">AQ9+AH9+Y9</f>
        <v>805</v>
      </c>
      <c r="BA9" s="46">
        <f t="shared" ref="BA9:BA56" si="56">IF(SUM(AU9:AY9)=0,"-",(SUM(AV9:AY9)/SUM(AU9:AY9)))</f>
        <v>3.3786954481464099E-2</v>
      </c>
      <c r="BB9" s="46">
        <f t="shared" ref="BB9:BB56" si="57">IF(SUM(AU9:AZ9)=0,"-",(AZ9/SUM(AU9:AZ9)))</f>
        <v>0.27418256130790192</v>
      </c>
      <c r="BC9" s="19"/>
      <c r="BD9" s="20">
        <f t="shared" ref="BD9:BD56" si="58">SUM(AU9:AZ9)</f>
        <v>2936</v>
      </c>
      <c r="BE9" s="20">
        <v>2937</v>
      </c>
      <c r="BF9" s="53">
        <f t="shared" ref="BF9:BF56" si="59">BD9-BE9</f>
        <v>-1</v>
      </c>
      <c r="BG9" s="19"/>
      <c r="BH9" s="19"/>
      <c r="BI9" s="19"/>
      <c r="BJ9" s="19"/>
      <c r="BK9" s="19"/>
    </row>
    <row r="10" spans="1:64" s="8" customFormat="1" ht="15" customHeight="1" x14ac:dyDescent="0.35">
      <c r="A10" s="2" t="s">
        <v>17</v>
      </c>
      <c r="B10" s="24">
        <f>'2017-18_working'!B10+'2017-18_working'!C10</f>
        <v>21</v>
      </c>
      <c r="C10" s="24">
        <f>'2017-18_working'!D10</f>
        <v>1</v>
      </c>
      <c r="D10" s="24">
        <f>'2017-18_working'!E10</f>
        <v>0</v>
      </c>
      <c r="E10" s="24">
        <f>'2017-18_working'!F10</f>
        <v>0</v>
      </c>
      <c r="F10" s="24">
        <f>'2017-18_working'!G10+'2017-18_working'!H10</f>
        <v>0</v>
      </c>
      <c r="G10" s="24">
        <f>'2017-18_working'!I10</f>
        <v>3</v>
      </c>
      <c r="H10" s="46">
        <f t="shared" si="19"/>
        <v>4.5454545454545456E-2</v>
      </c>
      <c r="I10" s="46">
        <f t="shared" si="20"/>
        <v>0.12</v>
      </c>
      <c r="J10" s="24"/>
      <c r="K10" s="24">
        <f>'2017-18_working'!K10+'2017-18_working'!L10</f>
        <v>22</v>
      </c>
      <c r="L10" s="24">
        <f>'2017-18_working'!M10</f>
        <v>0</v>
      </c>
      <c r="M10" s="24">
        <f>'2017-18_working'!N10</f>
        <v>0</v>
      </c>
      <c r="N10" s="24">
        <f>'2017-18_working'!O10</f>
        <v>0</v>
      </c>
      <c r="O10" s="24">
        <f>'2017-18_working'!P10+'2017-18_working'!Q10</f>
        <v>1</v>
      </c>
      <c r="P10" s="24">
        <f>'2017-18_working'!R10</f>
        <v>7</v>
      </c>
      <c r="Q10" s="46">
        <f t="shared" si="26"/>
        <v>4.3478260869565216E-2</v>
      </c>
      <c r="R10" s="46">
        <f t="shared" si="27"/>
        <v>0.23333333333333334</v>
      </c>
      <c r="S10" s="24"/>
      <c r="T10" s="22">
        <f t="shared" si="28"/>
        <v>43</v>
      </c>
      <c r="U10" s="22">
        <f t="shared" si="29"/>
        <v>1</v>
      </c>
      <c r="V10" s="22">
        <f t="shared" si="30"/>
        <v>0</v>
      </c>
      <c r="W10" s="22">
        <f t="shared" si="31"/>
        <v>0</v>
      </c>
      <c r="X10" s="22">
        <f t="shared" si="32"/>
        <v>1</v>
      </c>
      <c r="Y10" s="22">
        <f t="shared" si="33"/>
        <v>10</v>
      </c>
      <c r="Z10" s="46">
        <f t="shared" si="34"/>
        <v>4.4444444444444446E-2</v>
      </c>
      <c r="AA10" s="46">
        <f t="shared" si="35"/>
        <v>0.18181818181818182</v>
      </c>
      <c r="AB10" s="24"/>
      <c r="AC10" s="24">
        <f>'2017-18_working'!T10+'2017-18_working'!U10</f>
        <v>2</v>
      </c>
      <c r="AD10" s="24">
        <f>'2017-18_working'!V10</f>
        <v>0</v>
      </c>
      <c r="AE10" s="24">
        <f>'2017-18_working'!W10</f>
        <v>0</v>
      </c>
      <c r="AF10" s="24">
        <f>'2017-18_working'!X10</f>
        <v>0</v>
      </c>
      <c r="AG10" s="24">
        <f>'2017-18_working'!Y10+'2017-18_working'!Z10</f>
        <v>0</v>
      </c>
      <c r="AH10" s="24">
        <f>'2017-18_working'!AA10</f>
        <v>0</v>
      </c>
      <c r="AI10" s="46">
        <f t="shared" si="41"/>
        <v>0</v>
      </c>
      <c r="AJ10" s="46">
        <f t="shared" si="42"/>
        <v>0</v>
      </c>
      <c r="AK10" s="24"/>
      <c r="AL10" s="24">
        <f>'2017-18_working'!AC10+'2017-18_working'!AD10</f>
        <v>19</v>
      </c>
      <c r="AM10" s="24">
        <f>'2017-18_working'!AE10</f>
        <v>0</v>
      </c>
      <c r="AN10" s="24">
        <f>'2017-18_working'!AF10</f>
        <v>0</v>
      </c>
      <c r="AO10" s="24">
        <f>'2017-18_working'!AG10</f>
        <v>0</v>
      </c>
      <c r="AP10" s="24">
        <f>'2017-18_working'!AH10+'2017-18_working'!AI10</f>
        <v>1</v>
      </c>
      <c r="AQ10" s="24">
        <f>'2017-18_working'!AJ10</f>
        <v>4</v>
      </c>
      <c r="AR10" s="46">
        <f t="shared" si="48"/>
        <v>0.05</v>
      </c>
      <c r="AS10" s="46">
        <f t="shared" si="49"/>
        <v>0.16666666666666666</v>
      </c>
      <c r="AT10" s="24"/>
      <c r="AU10" s="22">
        <f t="shared" si="50"/>
        <v>64</v>
      </c>
      <c r="AV10" s="22">
        <f t="shared" si="51"/>
        <v>1</v>
      </c>
      <c r="AW10" s="22">
        <f t="shared" si="52"/>
        <v>0</v>
      </c>
      <c r="AX10" s="22">
        <f t="shared" si="53"/>
        <v>0</v>
      </c>
      <c r="AY10" s="22">
        <f t="shared" si="54"/>
        <v>2</v>
      </c>
      <c r="AZ10" s="22">
        <f t="shared" si="55"/>
        <v>14</v>
      </c>
      <c r="BA10" s="46">
        <f t="shared" si="56"/>
        <v>4.4776119402985072E-2</v>
      </c>
      <c r="BB10" s="46">
        <f t="shared" si="57"/>
        <v>0.1728395061728395</v>
      </c>
      <c r="BC10" s="19"/>
      <c r="BD10" s="20">
        <f t="shared" si="58"/>
        <v>81</v>
      </c>
      <c r="BE10" s="20">
        <v>81</v>
      </c>
      <c r="BF10" s="53">
        <f t="shared" si="59"/>
        <v>0</v>
      </c>
      <c r="BG10" s="19"/>
      <c r="BH10" s="19"/>
      <c r="BI10" s="19"/>
      <c r="BJ10" s="19"/>
      <c r="BK10" s="19"/>
    </row>
    <row r="11" spans="1:64" s="8" customFormat="1" ht="15" customHeight="1" x14ac:dyDescent="0.35">
      <c r="A11" s="2" t="s">
        <v>18</v>
      </c>
      <c r="B11" s="24">
        <f>'2017-18_working'!B11+'2017-18_working'!C11</f>
        <v>18</v>
      </c>
      <c r="C11" s="24">
        <f>'2017-18_working'!D11</f>
        <v>1</v>
      </c>
      <c r="D11" s="24">
        <f>'2017-18_working'!E11</f>
        <v>0</v>
      </c>
      <c r="E11" s="24">
        <f>'2017-18_working'!F11</f>
        <v>1</v>
      </c>
      <c r="F11" s="24">
        <f>'2017-18_working'!G11+'2017-18_working'!H11</f>
        <v>0</v>
      </c>
      <c r="G11" s="24">
        <f>'2017-18_working'!I11</f>
        <v>5</v>
      </c>
      <c r="H11" s="46">
        <f t="shared" si="19"/>
        <v>0.1</v>
      </c>
      <c r="I11" s="46">
        <f t="shared" si="20"/>
        <v>0.2</v>
      </c>
      <c r="J11" s="24"/>
      <c r="K11" s="24">
        <f>'2017-18_working'!K11+'2017-18_working'!L11</f>
        <v>19</v>
      </c>
      <c r="L11" s="24">
        <f>'2017-18_working'!M11</f>
        <v>1</v>
      </c>
      <c r="M11" s="24">
        <f>'2017-18_working'!N11</f>
        <v>0</v>
      </c>
      <c r="N11" s="24">
        <f>'2017-18_working'!O11</f>
        <v>0</v>
      </c>
      <c r="O11" s="24">
        <f>'2017-18_working'!P11+'2017-18_working'!Q11</f>
        <v>0</v>
      </c>
      <c r="P11" s="24">
        <f>'2017-18_working'!R11</f>
        <v>13</v>
      </c>
      <c r="Q11" s="46">
        <f t="shared" si="26"/>
        <v>0.05</v>
      </c>
      <c r="R11" s="46">
        <f t="shared" si="27"/>
        <v>0.39393939393939392</v>
      </c>
      <c r="S11" s="24"/>
      <c r="T11" s="22">
        <f t="shared" si="28"/>
        <v>37</v>
      </c>
      <c r="U11" s="22">
        <f t="shared" si="29"/>
        <v>2</v>
      </c>
      <c r="V11" s="22">
        <f t="shared" si="30"/>
        <v>0</v>
      </c>
      <c r="W11" s="22">
        <f t="shared" si="31"/>
        <v>1</v>
      </c>
      <c r="X11" s="22">
        <f t="shared" si="32"/>
        <v>0</v>
      </c>
      <c r="Y11" s="22">
        <f t="shared" si="33"/>
        <v>18</v>
      </c>
      <c r="Z11" s="46">
        <f t="shared" si="34"/>
        <v>7.4999999999999997E-2</v>
      </c>
      <c r="AA11" s="46">
        <f t="shared" si="35"/>
        <v>0.31034482758620691</v>
      </c>
      <c r="AB11" s="24"/>
      <c r="AC11" s="24">
        <f>'2017-18_working'!T11+'2017-18_working'!U11</f>
        <v>0</v>
      </c>
      <c r="AD11" s="24">
        <f>'2017-18_working'!V11</f>
        <v>0</v>
      </c>
      <c r="AE11" s="24">
        <f>'2017-18_working'!W11</f>
        <v>0</v>
      </c>
      <c r="AF11" s="24">
        <f>'2017-18_working'!X11</f>
        <v>0</v>
      </c>
      <c r="AG11" s="24">
        <f>'2017-18_working'!Y11+'2017-18_working'!Z11</f>
        <v>0</v>
      </c>
      <c r="AH11" s="24">
        <f>'2017-18_working'!AA11</f>
        <v>0</v>
      </c>
      <c r="AI11" s="46" t="str">
        <f t="shared" si="41"/>
        <v>-</v>
      </c>
      <c r="AJ11" s="46" t="str">
        <f t="shared" si="42"/>
        <v>-</v>
      </c>
      <c r="AK11" s="24"/>
      <c r="AL11" s="24">
        <f>'2017-18_working'!AC11+'2017-18_working'!AD11</f>
        <v>16</v>
      </c>
      <c r="AM11" s="24">
        <f>'2017-18_working'!AE11</f>
        <v>0</v>
      </c>
      <c r="AN11" s="24">
        <f>'2017-18_working'!AF11</f>
        <v>0</v>
      </c>
      <c r="AO11" s="24">
        <f>'2017-18_working'!AG11</f>
        <v>0</v>
      </c>
      <c r="AP11" s="24">
        <f>'2017-18_working'!AH11+'2017-18_working'!AI11</f>
        <v>0</v>
      </c>
      <c r="AQ11" s="24">
        <f>'2017-18_working'!AJ11</f>
        <v>10</v>
      </c>
      <c r="AR11" s="46">
        <f t="shared" si="48"/>
        <v>0</v>
      </c>
      <c r="AS11" s="46">
        <f t="shared" si="49"/>
        <v>0.38461538461538464</v>
      </c>
      <c r="AT11" s="24"/>
      <c r="AU11" s="22">
        <f t="shared" si="50"/>
        <v>53</v>
      </c>
      <c r="AV11" s="22">
        <f t="shared" si="51"/>
        <v>2</v>
      </c>
      <c r="AW11" s="22">
        <f t="shared" si="52"/>
        <v>0</v>
      </c>
      <c r="AX11" s="22">
        <f t="shared" si="53"/>
        <v>1</v>
      </c>
      <c r="AY11" s="22">
        <f t="shared" si="54"/>
        <v>0</v>
      </c>
      <c r="AZ11" s="22">
        <f t="shared" si="55"/>
        <v>28</v>
      </c>
      <c r="BA11" s="46">
        <f t="shared" si="56"/>
        <v>5.3571428571428568E-2</v>
      </c>
      <c r="BB11" s="46">
        <f t="shared" si="57"/>
        <v>0.33333333333333331</v>
      </c>
      <c r="BC11" s="19"/>
      <c r="BD11" s="20">
        <f t="shared" si="58"/>
        <v>84</v>
      </c>
      <c r="BE11" s="20">
        <v>84</v>
      </c>
      <c r="BF11" s="53">
        <f t="shared" si="59"/>
        <v>0</v>
      </c>
      <c r="BG11" s="19"/>
      <c r="BH11" s="19"/>
      <c r="BI11" s="19"/>
      <c r="BJ11" s="19"/>
      <c r="BK11" s="19"/>
    </row>
    <row r="12" spans="1:64" s="8" customFormat="1" ht="15" customHeight="1" x14ac:dyDescent="0.35">
      <c r="A12" s="2" t="s">
        <v>19</v>
      </c>
      <c r="B12" s="24">
        <f>'2017-18_working'!B12+'2017-18_working'!C12</f>
        <v>20</v>
      </c>
      <c r="C12" s="24">
        <f>'2017-18_working'!D12</f>
        <v>0</v>
      </c>
      <c r="D12" s="24">
        <f>'2017-18_working'!E12</f>
        <v>0</v>
      </c>
      <c r="E12" s="24">
        <f>'2017-18_working'!F12</f>
        <v>0</v>
      </c>
      <c r="F12" s="24">
        <f>'2017-18_working'!G12+'2017-18_working'!H12</f>
        <v>0</v>
      </c>
      <c r="G12" s="24">
        <f>'2017-18_working'!I12</f>
        <v>1</v>
      </c>
      <c r="H12" s="46">
        <f t="shared" si="19"/>
        <v>0</v>
      </c>
      <c r="I12" s="46">
        <f t="shared" si="20"/>
        <v>4.7619047619047616E-2</v>
      </c>
      <c r="J12" s="24"/>
      <c r="K12" s="24">
        <f>'2017-18_working'!K12+'2017-18_working'!L12</f>
        <v>19</v>
      </c>
      <c r="L12" s="24">
        <f>'2017-18_working'!M12</f>
        <v>1</v>
      </c>
      <c r="M12" s="24">
        <f>'2017-18_working'!N12</f>
        <v>0</v>
      </c>
      <c r="N12" s="24">
        <f>'2017-18_working'!O12</f>
        <v>0</v>
      </c>
      <c r="O12" s="24">
        <f>'2017-18_working'!P12+'2017-18_working'!Q12</f>
        <v>0</v>
      </c>
      <c r="P12" s="24">
        <f>'2017-18_working'!R12</f>
        <v>0</v>
      </c>
      <c r="Q12" s="46">
        <f t="shared" si="26"/>
        <v>0.05</v>
      </c>
      <c r="R12" s="46">
        <f t="shared" si="27"/>
        <v>0</v>
      </c>
      <c r="S12" s="24"/>
      <c r="T12" s="22">
        <f t="shared" si="28"/>
        <v>39</v>
      </c>
      <c r="U12" s="22">
        <f t="shared" si="29"/>
        <v>1</v>
      </c>
      <c r="V12" s="22">
        <f t="shared" si="30"/>
        <v>0</v>
      </c>
      <c r="W12" s="22">
        <f t="shared" si="31"/>
        <v>0</v>
      </c>
      <c r="X12" s="22">
        <f t="shared" si="32"/>
        <v>0</v>
      </c>
      <c r="Y12" s="22">
        <f t="shared" si="33"/>
        <v>1</v>
      </c>
      <c r="Z12" s="46">
        <f t="shared" si="34"/>
        <v>2.5000000000000001E-2</v>
      </c>
      <c r="AA12" s="46">
        <f t="shared" si="35"/>
        <v>2.4390243902439025E-2</v>
      </c>
      <c r="AB12" s="24"/>
      <c r="AC12" s="24">
        <f>'2017-18_working'!T12+'2017-18_working'!U12</f>
        <v>9</v>
      </c>
      <c r="AD12" s="24">
        <f>'2017-18_working'!V12</f>
        <v>0</v>
      </c>
      <c r="AE12" s="24">
        <f>'2017-18_working'!W12</f>
        <v>0</v>
      </c>
      <c r="AF12" s="24">
        <f>'2017-18_working'!X12</f>
        <v>0</v>
      </c>
      <c r="AG12" s="24">
        <f>'2017-18_working'!Y12+'2017-18_working'!Z12</f>
        <v>0</v>
      </c>
      <c r="AH12" s="24">
        <f>'2017-18_working'!AA12</f>
        <v>0</v>
      </c>
      <c r="AI12" s="46">
        <f t="shared" si="41"/>
        <v>0</v>
      </c>
      <c r="AJ12" s="46">
        <f t="shared" si="42"/>
        <v>0</v>
      </c>
      <c r="AK12" s="24"/>
      <c r="AL12" s="24">
        <f>'2017-18_working'!AC12+'2017-18_working'!AD12</f>
        <v>32</v>
      </c>
      <c r="AM12" s="24">
        <f>'2017-18_working'!AE12</f>
        <v>3</v>
      </c>
      <c r="AN12" s="24">
        <f>'2017-18_working'!AF12</f>
        <v>2</v>
      </c>
      <c r="AO12" s="24">
        <f>'2017-18_working'!AG12</f>
        <v>2</v>
      </c>
      <c r="AP12" s="24">
        <f>'2017-18_working'!AH12+'2017-18_working'!AI12</f>
        <v>1</v>
      </c>
      <c r="AQ12" s="24">
        <f>'2017-18_working'!AJ12</f>
        <v>2</v>
      </c>
      <c r="AR12" s="46">
        <f t="shared" si="48"/>
        <v>0.2</v>
      </c>
      <c r="AS12" s="46">
        <f t="shared" si="49"/>
        <v>4.7619047619047616E-2</v>
      </c>
      <c r="AT12" s="24"/>
      <c r="AU12" s="22">
        <f t="shared" si="50"/>
        <v>80</v>
      </c>
      <c r="AV12" s="22">
        <f t="shared" si="51"/>
        <v>4</v>
      </c>
      <c r="AW12" s="22">
        <f t="shared" si="52"/>
        <v>2</v>
      </c>
      <c r="AX12" s="22">
        <f t="shared" si="53"/>
        <v>2</v>
      </c>
      <c r="AY12" s="22">
        <f t="shared" si="54"/>
        <v>1</v>
      </c>
      <c r="AZ12" s="22">
        <f t="shared" si="55"/>
        <v>3</v>
      </c>
      <c r="BA12" s="46">
        <f t="shared" si="56"/>
        <v>0.10112359550561797</v>
      </c>
      <c r="BB12" s="46">
        <f t="shared" si="57"/>
        <v>3.2608695652173912E-2</v>
      </c>
      <c r="BC12" s="19"/>
      <c r="BD12" s="20">
        <f t="shared" si="58"/>
        <v>92</v>
      </c>
      <c r="BE12" s="20">
        <v>92</v>
      </c>
      <c r="BF12" s="53">
        <f t="shared" si="59"/>
        <v>0</v>
      </c>
      <c r="BG12" s="19"/>
      <c r="BH12" s="19"/>
      <c r="BI12" s="19"/>
      <c r="BJ12" s="19"/>
      <c r="BK12" s="19"/>
    </row>
    <row r="13" spans="1:64" s="8" customFormat="1" ht="15" customHeight="1" x14ac:dyDescent="0.35">
      <c r="A13" s="2" t="s">
        <v>20</v>
      </c>
      <c r="B13" s="24">
        <f>'2017-18_working'!B13+'2017-18_working'!C13</f>
        <v>11</v>
      </c>
      <c r="C13" s="24">
        <f>'2017-18_working'!D13</f>
        <v>0</v>
      </c>
      <c r="D13" s="24">
        <f>'2017-18_working'!E13</f>
        <v>0</v>
      </c>
      <c r="E13" s="24">
        <f>'2017-18_working'!F13</f>
        <v>0</v>
      </c>
      <c r="F13" s="24">
        <f>'2017-18_working'!G13+'2017-18_working'!H13</f>
        <v>0</v>
      </c>
      <c r="G13" s="24">
        <f>'2017-18_working'!I13</f>
        <v>0</v>
      </c>
      <c r="H13" s="46">
        <f t="shared" si="19"/>
        <v>0</v>
      </c>
      <c r="I13" s="46">
        <f t="shared" si="20"/>
        <v>0</v>
      </c>
      <c r="J13" s="24"/>
      <c r="K13" s="24">
        <f>'2017-18_working'!K13+'2017-18_working'!L13</f>
        <v>20</v>
      </c>
      <c r="L13" s="24">
        <f>'2017-18_working'!M13</f>
        <v>0</v>
      </c>
      <c r="M13" s="24">
        <f>'2017-18_working'!N13</f>
        <v>0</v>
      </c>
      <c r="N13" s="24">
        <f>'2017-18_working'!O13</f>
        <v>0</v>
      </c>
      <c r="O13" s="24">
        <f>'2017-18_working'!P13+'2017-18_working'!Q13</f>
        <v>0</v>
      </c>
      <c r="P13" s="24">
        <f>'2017-18_working'!R13</f>
        <v>0</v>
      </c>
      <c r="Q13" s="46">
        <f t="shared" si="26"/>
        <v>0</v>
      </c>
      <c r="R13" s="46">
        <f t="shared" si="27"/>
        <v>0</v>
      </c>
      <c r="S13" s="24"/>
      <c r="T13" s="22">
        <f t="shared" si="28"/>
        <v>31</v>
      </c>
      <c r="U13" s="22">
        <f t="shared" si="29"/>
        <v>0</v>
      </c>
      <c r="V13" s="22">
        <f t="shared" si="30"/>
        <v>0</v>
      </c>
      <c r="W13" s="22">
        <f t="shared" si="31"/>
        <v>0</v>
      </c>
      <c r="X13" s="22">
        <f t="shared" si="32"/>
        <v>0</v>
      </c>
      <c r="Y13" s="22">
        <f t="shared" si="33"/>
        <v>0</v>
      </c>
      <c r="Z13" s="46">
        <f t="shared" si="34"/>
        <v>0</v>
      </c>
      <c r="AA13" s="46">
        <f t="shared" si="35"/>
        <v>0</v>
      </c>
      <c r="AB13" s="24"/>
      <c r="AC13" s="24">
        <f>'2017-18_working'!T13+'2017-18_working'!U13</f>
        <v>0</v>
      </c>
      <c r="AD13" s="24">
        <f>'2017-18_working'!V13</f>
        <v>0</v>
      </c>
      <c r="AE13" s="24">
        <f>'2017-18_working'!W13</f>
        <v>0</v>
      </c>
      <c r="AF13" s="24">
        <f>'2017-18_working'!X13</f>
        <v>0</v>
      </c>
      <c r="AG13" s="24">
        <f>'2017-18_working'!Y13+'2017-18_working'!Z13</f>
        <v>0</v>
      </c>
      <c r="AH13" s="24">
        <f>'2017-18_working'!AA13</f>
        <v>0</v>
      </c>
      <c r="AI13" s="46" t="str">
        <f t="shared" si="41"/>
        <v>-</v>
      </c>
      <c r="AJ13" s="46" t="str">
        <f t="shared" si="42"/>
        <v>-</v>
      </c>
      <c r="AK13" s="24"/>
      <c r="AL13" s="24">
        <f>'2017-18_working'!AC13+'2017-18_working'!AD13</f>
        <v>13</v>
      </c>
      <c r="AM13" s="24">
        <f>'2017-18_working'!AE13</f>
        <v>0</v>
      </c>
      <c r="AN13" s="24">
        <f>'2017-18_working'!AF13</f>
        <v>0</v>
      </c>
      <c r="AO13" s="24">
        <f>'2017-18_working'!AG13</f>
        <v>0</v>
      </c>
      <c r="AP13" s="24">
        <f>'2017-18_working'!AH13+'2017-18_working'!AI13</f>
        <v>0</v>
      </c>
      <c r="AQ13" s="24">
        <f>'2017-18_working'!AJ13</f>
        <v>0</v>
      </c>
      <c r="AR13" s="46">
        <f t="shared" si="48"/>
        <v>0</v>
      </c>
      <c r="AS13" s="46">
        <f t="shared" si="49"/>
        <v>0</v>
      </c>
      <c r="AT13" s="24"/>
      <c r="AU13" s="22">
        <f t="shared" si="50"/>
        <v>44</v>
      </c>
      <c r="AV13" s="22">
        <f t="shared" si="51"/>
        <v>0</v>
      </c>
      <c r="AW13" s="22">
        <f t="shared" si="52"/>
        <v>0</v>
      </c>
      <c r="AX13" s="22">
        <f t="shared" si="53"/>
        <v>0</v>
      </c>
      <c r="AY13" s="22">
        <f t="shared" si="54"/>
        <v>0</v>
      </c>
      <c r="AZ13" s="22">
        <f t="shared" si="55"/>
        <v>0</v>
      </c>
      <c r="BA13" s="46">
        <f t="shared" si="56"/>
        <v>0</v>
      </c>
      <c r="BB13" s="46">
        <f t="shared" si="57"/>
        <v>0</v>
      </c>
      <c r="BC13" s="19"/>
      <c r="BD13" s="20">
        <f t="shared" si="58"/>
        <v>44</v>
      </c>
      <c r="BE13" s="20">
        <v>44</v>
      </c>
      <c r="BF13" s="53">
        <f t="shared" si="59"/>
        <v>0</v>
      </c>
      <c r="BG13" s="19"/>
      <c r="BH13" s="19"/>
      <c r="BI13" s="19"/>
      <c r="BJ13" s="19"/>
      <c r="BK13" s="19"/>
    </row>
    <row r="14" spans="1:64" s="8" customFormat="1" ht="15" customHeight="1" x14ac:dyDescent="0.35">
      <c r="A14" s="2" t="s">
        <v>21</v>
      </c>
      <c r="B14" s="24">
        <f>'2017-18_working'!B14+'2017-18_working'!C14</f>
        <v>7</v>
      </c>
      <c r="C14" s="24">
        <f>'2017-18_working'!D14</f>
        <v>0</v>
      </c>
      <c r="D14" s="24">
        <f>'2017-18_working'!E14</f>
        <v>0</v>
      </c>
      <c r="E14" s="24">
        <f>'2017-18_working'!F14</f>
        <v>0</v>
      </c>
      <c r="F14" s="24">
        <f>'2017-18_working'!G14+'2017-18_working'!H14</f>
        <v>0</v>
      </c>
      <c r="G14" s="24">
        <f>'2017-18_working'!I14</f>
        <v>0</v>
      </c>
      <c r="H14" s="46">
        <f t="shared" si="19"/>
        <v>0</v>
      </c>
      <c r="I14" s="46">
        <f t="shared" si="20"/>
        <v>0</v>
      </c>
      <c r="J14" s="24"/>
      <c r="K14" s="24">
        <f>'2017-18_working'!K14+'2017-18_working'!L14</f>
        <v>30</v>
      </c>
      <c r="L14" s="24">
        <f>'2017-18_working'!M14</f>
        <v>0</v>
      </c>
      <c r="M14" s="24">
        <f>'2017-18_working'!N14</f>
        <v>0</v>
      </c>
      <c r="N14" s="24">
        <f>'2017-18_working'!O14</f>
        <v>0</v>
      </c>
      <c r="O14" s="24">
        <f>'2017-18_working'!P14+'2017-18_working'!Q14</f>
        <v>0</v>
      </c>
      <c r="P14" s="24">
        <f>'2017-18_working'!R14</f>
        <v>0</v>
      </c>
      <c r="Q14" s="46">
        <f t="shared" si="26"/>
        <v>0</v>
      </c>
      <c r="R14" s="46">
        <f t="shared" si="27"/>
        <v>0</v>
      </c>
      <c r="S14" s="24"/>
      <c r="T14" s="22">
        <f t="shared" si="28"/>
        <v>37</v>
      </c>
      <c r="U14" s="22">
        <f t="shared" si="29"/>
        <v>0</v>
      </c>
      <c r="V14" s="22">
        <f t="shared" si="30"/>
        <v>0</v>
      </c>
      <c r="W14" s="22">
        <f t="shared" si="31"/>
        <v>0</v>
      </c>
      <c r="X14" s="22">
        <f t="shared" si="32"/>
        <v>0</v>
      </c>
      <c r="Y14" s="22">
        <f t="shared" si="33"/>
        <v>0</v>
      </c>
      <c r="Z14" s="46">
        <f t="shared" si="34"/>
        <v>0</v>
      </c>
      <c r="AA14" s="46">
        <f t="shared" si="35"/>
        <v>0</v>
      </c>
      <c r="AB14" s="24"/>
      <c r="AC14" s="24">
        <f>'2017-18_working'!T14+'2017-18_working'!U14</f>
        <v>4</v>
      </c>
      <c r="AD14" s="24">
        <f>'2017-18_working'!V14</f>
        <v>0</v>
      </c>
      <c r="AE14" s="24">
        <f>'2017-18_working'!W14</f>
        <v>0</v>
      </c>
      <c r="AF14" s="24">
        <f>'2017-18_working'!X14</f>
        <v>0</v>
      </c>
      <c r="AG14" s="24">
        <f>'2017-18_working'!Y14+'2017-18_working'!Z14</f>
        <v>0</v>
      </c>
      <c r="AH14" s="24">
        <f>'2017-18_working'!AA14</f>
        <v>5</v>
      </c>
      <c r="AI14" s="46">
        <f t="shared" si="41"/>
        <v>0</v>
      </c>
      <c r="AJ14" s="46">
        <f t="shared" si="42"/>
        <v>0.55555555555555558</v>
      </c>
      <c r="AK14" s="24"/>
      <c r="AL14" s="24">
        <f>'2017-18_working'!AC14+'2017-18_working'!AD14</f>
        <v>19</v>
      </c>
      <c r="AM14" s="24">
        <f>'2017-18_working'!AE14</f>
        <v>0</v>
      </c>
      <c r="AN14" s="24">
        <f>'2017-18_working'!AF14</f>
        <v>1</v>
      </c>
      <c r="AO14" s="24">
        <f>'2017-18_working'!AG14</f>
        <v>1</v>
      </c>
      <c r="AP14" s="24">
        <f>'2017-18_working'!AH14+'2017-18_working'!AI14</f>
        <v>1</v>
      </c>
      <c r="AQ14" s="24">
        <f>'2017-18_working'!AJ14</f>
        <v>2</v>
      </c>
      <c r="AR14" s="46">
        <f t="shared" si="48"/>
        <v>0.13636363636363635</v>
      </c>
      <c r="AS14" s="46">
        <f t="shared" si="49"/>
        <v>8.3333333333333329E-2</v>
      </c>
      <c r="AT14" s="24"/>
      <c r="AU14" s="22">
        <f t="shared" si="50"/>
        <v>60</v>
      </c>
      <c r="AV14" s="22">
        <f t="shared" si="51"/>
        <v>0</v>
      </c>
      <c r="AW14" s="22">
        <f t="shared" si="52"/>
        <v>1</v>
      </c>
      <c r="AX14" s="22">
        <f t="shared" si="53"/>
        <v>1</v>
      </c>
      <c r="AY14" s="22">
        <f t="shared" si="54"/>
        <v>1</v>
      </c>
      <c r="AZ14" s="22">
        <f t="shared" si="55"/>
        <v>7</v>
      </c>
      <c r="BA14" s="46">
        <f t="shared" si="56"/>
        <v>4.7619047619047616E-2</v>
      </c>
      <c r="BB14" s="46">
        <f t="shared" si="57"/>
        <v>0.1</v>
      </c>
      <c r="BC14" s="19"/>
      <c r="BD14" s="20">
        <f t="shared" si="58"/>
        <v>70</v>
      </c>
      <c r="BE14" s="20">
        <v>70</v>
      </c>
      <c r="BF14" s="53">
        <f t="shared" si="59"/>
        <v>0</v>
      </c>
      <c r="BG14" s="19"/>
      <c r="BH14" s="19"/>
      <c r="BI14" s="19"/>
      <c r="BJ14" s="19"/>
      <c r="BK14" s="19"/>
    </row>
    <row r="15" spans="1:64" s="8" customFormat="1" ht="15" customHeight="1" x14ac:dyDescent="0.35">
      <c r="A15" s="2" t="s">
        <v>22</v>
      </c>
      <c r="B15" s="24">
        <f>'2017-18_working'!B15+'2017-18_working'!C15</f>
        <v>18</v>
      </c>
      <c r="C15" s="24">
        <f>'2017-18_working'!D15</f>
        <v>0</v>
      </c>
      <c r="D15" s="24">
        <f>'2017-18_working'!E15</f>
        <v>1</v>
      </c>
      <c r="E15" s="24">
        <f>'2017-18_working'!F15</f>
        <v>0</v>
      </c>
      <c r="F15" s="24">
        <f>'2017-18_working'!G15+'2017-18_working'!H15</f>
        <v>0</v>
      </c>
      <c r="G15" s="24">
        <f>'2017-18_working'!I15</f>
        <v>0</v>
      </c>
      <c r="H15" s="46">
        <f t="shared" si="19"/>
        <v>5.2631578947368418E-2</v>
      </c>
      <c r="I15" s="46">
        <f t="shared" si="20"/>
        <v>0</v>
      </c>
      <c r="J15" s="24"/>
      <c r="K15" s="24">
        <f>'2017-18_working'!K15+'2017-18_working'!L15</f>
        <v>21</v>
      </c>
      <c r="L15" s="24">
        <f>'2017-18_working'!M15</f>
        <v>0</v>
      </c>
      <c r="M15" s="24">
        <f>'2017-18_working'!N15</f>
        <v>0</v>
      </c>
      <c r="N15" s="24">
        <f>'2017-18_working'!O15</f>
        <v>0</v>
      </c>
      <c r="O15" s="24">
        <f>'2017-18_working'!P15+'2017-18_working'!Q15</f>
        <v>0</v>
      </c>
      <c r="P15" s="24">
        <f>'2017-18_working'!R15</f>
        <v>0</v>
      </c>
      <c r="Q15" s="46">
        <f t="shared" si="26"/>
        <v>0</v>
      </c>
      <c r="R15" s="46">
        <f t="shared" si="27"/>
        <v>0</v>
      </c>
      <c r="S15" s="24"/>
      <c r="T15" s="22">
        <f t="shared" si="28"/>
        <v>39</v>
      </c>
      <c r="U15" s="22">
        <f t="shared" si="29"/>
        <v>0</v>
      </c>
      <c r="V15" s="22">
        <f t="shared" si="30"/>
        <v>1</v>
      </c>
      <c r="W15" s="22">
        <f t="shared" si="31"/>
        <v>0</v>
      </c>
      <c r="X15" s="22">
        <f t="shared" si="32"/>
        <v>0</v>
      </c>
      <c r="Y15" s="22">
        <f t="shared" si="33"/>
        <v>0</v>
      </c>
      <c r="Z15" s="46">
        <f t="shared" si="34"/>
        <v>2.5000000000000001E-2</v>
      </c>
      <c r="AA15" s="46">
        <f t="shared" si="35"/>
        <v>0</v>
      </c>
      <c r="AB15" s="24"/>
      <c r="AC15" s="24">
        <f>'2017-18_working'!T15+'2017-18_working'!U15</f>
        <v>0</v>
      </c>
      <c r="AD15" s="24">
        <f>'2017-18_working'!V15</f>
        <v>0</v>
      </c>
      <c r="AE15" s="24">
        <f>'2017-18_working'!W15</f>
        <v>0</v>
      </c>
      <c r="AF15" s="24">
        <f>'2017-18_working'!X15</f>
        <v>0</v>
      </c>
      <c r="AG15" s="24">
        <f>'2017-18_working'!Y15+'2017-18_working'!Z15</f>
        <v>0</v>
      </c>
      <c r="AH15" s="24">
        <f>'2017-18_working'!AA15</f>
        <v>0</v>
      </c>
      <c r="AI15" s="46" t="str">
        <f t="shared" si="41"/>
        <v>-</v>
      </c>
      <c r="AJ15" s="46" t="str">
        <f t="shared" si="42"/>
        <v>-</v>
      </c>
      <c r="AK15" s="24"/>
      <c r="AL15" s="24">
        <f>'2017-18_working'!AC15+'2017-18_working'!AD15</f>
        <v>37</v>
      </c>
      <c r="AM15" s="24">
        <f>'2017-18_working'!AE15</f>
        <v>0</v>
      </c>
      <c r="AN15" s="24">
        <f>'2017-18_working'!AF15</f>
        <v>0</v>
      </c>
      <c r="AO15" s="24">
        <f>'2017-18_working'!AG15</f>
        <v>0</v>
      </c>
      <c r="AP15" s="24">
        <f>'2017-18_working'!AH15+'2017-18_working'!AI15</f>
        <v>0</v>
      </c>
      <c r="AQ15" s="24">
        <f>'2017-18_working'!AJ15</f>
        <v>1</v>
      </c>
      <c r="AR15" s="46">
        <f t="shared" si="48"/>
        <v>0</v>
      </c>
      <c r="AS15" s="46">
        <f t="shared" si="49"/>
        <v>2.6315789473684209E-2</v>
      </c>
      <c r="AT15" s="24"/>
      <c r="AU15" s="22">
        <f t="shared" si="50"/>
        <v>76</v>
      </c>
      <c r="AV15" s="22">
        <f t="shared" si="51"/>
        <v>0</v>
      </c>
      <c r="AW15" s="22">
        <f t="shared" si="52"/>
        <v>1</v>
      </c>
      <c r="AX15" s="22">
        <f t="shared" si="53"/>
        <v>0</v>
      </c>
      <c r="AY15" s="22">
        <f t="shared" si="54"/>
        <v>0</v>
      </c>
      <c r="AZ15" s="22">
        <f t="shared" si="55"/>
        <v>1</v>
      </c>
      <c r="BA15" s="46">
        <f t="shared" si="56"/>
        <v>1.2987012987012988E-2</v>
      </c>
      <c r="BB15" s="46">
        <f t="shared" si="57"/>
        <v>1.282051282051282E-2</v>
      </c>
      <c r="BC15" s="19"/>
      <c r="BD15" s="20">
        <f t="shared" si="58"/>
        <v>78</v>
      </c>
      <c r="BE15" s="20">
        <v>78</v>
      </c>
      <c r="BF15" s="53">
        <f t="shared" si="59"/>
        <v>0</v>
      </c>
      <c r="BG15" s="19"/>
      <c r="BH15" s="19"/>
      <c r="BI15" s="19"/>
      <c r="BJ15" s="19"/>
      <c r="BK15" s="19"/>
    </row>
    <row r="16" spans="1:64" s="8" customFormat="1" ht="15" customHeight="1" x14ac:dyDescent="0.35">
      <c r="A16" s="2" t="s">
        <v>23</v>
      </c>
      <c r="B16" s="24">
        <f>'2017-18_working'!B16+'2017-18_working'!C16</f>
        <v>22</v>
      </c>
      <c r="C16" s="24">
        <f>'2017-18_working'!D16</f>
        <v>0</v>
      </c>
      <c r="D16" s="24">
        <f>'2017-18_working'!E16</f>
        <v>0</v>
      </c>
      <c r="E16" s="24">
        <f>'2017-18_working'!F16</f>
        <v>0</v>
      </c>
      <c r="F16" s="24">
        <f>'2017-18_working'!G16+'2017-18_working'!H16</f>
        <v>0</v>
      </c>
      <c r="G16" s="24">
        <f>'2017-18_working'!I16</f>
        <v>0</v>
      </c>
      <c r="H16" s="46">
        <f t="shared" si="19"/>
        <v>0</v>
      </c>
      <c r="I16" s="46">
        <f t="shared" si="20"/>
        <v>0</v>
      </c>
      <c r="J16" s="24"/>
      <c r="K16" s="24">
        <f>'2017-18_working'!K16+'2017-18_working'!L16</f>
        <v>11</v>
      </c>
      <c r="L16" s="24">
        <f>'2017-18_working'!M16</f>
        <v>0</v>
      </c>
      <c r="M16" s="24">
        <f>'2017-18_working'!N16</f>
        <v>0</v>
      </c>
      <c r="N16" s="24">
        <f>'2017-18_working'!O16</f>
        <v>0</v>
      </c>
      <c r="O16" s="24">
        <f>'2017-18_working'!P16+'2017-18_working'!Q16</f>
        <v>0</v>
      </c>
      <c r="P16" s="24">
        <f>'2017-18_working'!R16</f>
        <v>0</v>
      </c>
      <c r="Q16" s="46">
        <f t="shared" si="26"/>
        <v>0</v>
      </c>
      <c r="R16" s="46">
        <f t="shared" si="27"/>
        <v>0</v>
      </c>
      <c r="S16" s="24"/>
      <c r="T16" s="22">
        <f t="shared" si="28"/>
        <v>33</v>
      </c>
      <c r="U16" s="22">
        <f t="shared" si="29"/>
        <v>0</v>
      </c>
      <c r="V16" s="22">
        <f t="shared" si="30"/>
        <v>0</v>
      </c>
      <c r="W16" s="22">
        <f t="shared" si="31"/>
        <v>0</v>
      </c>
      <c r="X16" s="22">
        <f t="shared" si="32"/>
        <v>0</v>
      </c>
      <c r="Y16" s="22">
        <f t="shared" si="33"/>
        <v>0</v>
      </c>
      <c r="Z16" s="46">
        <f t="shared" si="34"/>
        <v>0</v>
      </c>
      <c r="AA16" s="46">
        <f t="shared" si="35"/>
        <v>0</v>
      </c>
      <c r="AB16" s="24"/>
      <c r="AC16" s="24">
        <f>'2017-18_working'!T16+'2017-18_working'!U16</f>
        <v>1</v>
      </c>
      <c r="AD16" s="24">
        <f>'2017-18_working'!V16</f>
        <v>0</v>
      </c>
      <c r="AE16" s="24">
        <f>'2017-18_working'!W16</f>
        <v>0</v>
      </c>
      <c r="AF16" s="24">
        <f>'2017-18_working'!X16</f>
        <v>0</v>
      </c>
      <c r="AG16" s="24">
        <f>'2017-18_working'!Y16+'2017-18_working'!Z16</f>
        <v>0</v>
      </c>
      <c r="AH16" s="24">
        <f>'2017-18_working'!AA16</f>
        <v>0</v>
      </c>
      <c r="AI16" s="46">
        <f t="shared" si="41"/>
        <v>0</v>
      </c>
      <c r="AJ16" s="46">
        <f t="shared" si="42"/>
        <v>0</v>
      </c>
      <c r="AK16" s="24"/>
      <c r="AL16" s="24">
        <f>'2017-18_working'!AC16+'2017-18_working'!AD16</f>
        <v>13</v>
      </c>
      <c r="AM16" s="24">
        <f>'2017-18_working'!AE16</f>
        <v>0</v>
      </c>
      <c r="AN16" s="24">
        <f>'2017-18_working'!AF16</f>
        <v>0</v>
      </c>
      <c r="AO16" s="24">
        <f>'2017-18_working'!AG16</f>
        <v>0</v>
      </c>
      <c r="AP16" s="24">
        <f>'2017-18_working'!AH16+'2017-18_working'!AI16</f>
        <v>0</v>
      </c>
      <c r="AQ16" s="24">
        <f>'2017-18_working'!AJ16</f>
        <v>0</v>
      </c>
      <c r="AR16" s="46">
        <f t="shared" si="48"/>
        <v>0</v>
      </c>
      <c r="AS16" s="46">
        <f t="shared" si="49"/>
        <v>0</v>
      </c>
      <c r="AT16" s="24"/>
      <c r="AU16" s="22">
        <f t="shared" si="50"/>
        <v>47</v>
      </c>
      <c r="AV16" s="22">
        <f t="shared" si="51"/>
        <v>0</v>
      </c>
      <c r="AW16" s="22">
        <f t="shared" si="52"/>
        <v>0</v>
      </c>
      <c r="AX16" s="22">
        <f t="shared" si="53"/>
        <v>0</v>
      </c>
      <c r="AY16" s="22">
        <f t="shared" si="54"/>
        <v>0</v>
      </c>
      <c r="AZ16" s="22">
        <f t="shared" si="55"/>
        <v>0</v>
      </c>
      <c r="BA16" s="46">
        <f t="shared" si="56"/>
        <v>0</v>
      </c>
      <c r="BB16" s="46">
        <f t="shared" si="57"/>
        <v>0</v>
      </c>
      <c r="BC16" s="19"/>
      <c r="BD16" s="20">
        <f t="shared" si="58"/>
        <v>47</v>
      </c>
      <c r="BE16" s="20">
        <v>47</v>
      </c>
      <c r="BF16" s="53">
        <f t="shared" si="59"/>
        <v>0</v>
      </c>
      <c r="BG16" s="19"/>
      <c r="BH16" s="19"/>
      <c r="BI16" s="19"/>
      <c r="BJ16" s="19"/>
      <c r="BK16" s="19"/>
    </row>
    <row r="17" spans="1:63" s="8" customFormat="1" ht="15" customHeight="1" x14ac:dyDescent="0.35">
      <c r="A17" s="2" t="s">
        <v>24</v>
      </c>
      <c r="B17" s="24">
        <f>'2017-18_working'!B17+'2017-18_working'!C17</f>
        <v>0</v>
      </c>
      <c r="C17" s="24">
        <f>'2017-18_working'!D17</f>
        <v>0</v>
      </c>
      <c r="D17" s="24">
        <f>'2017-18_working'!E17</f>
        <v>0</v>
      </c>
      <c r="E17" s="24">
        <f>'2017-18_working'!F17</f>
        <v>0</v>
      </c>
      <c r="F17" s="24">
        <f>'2017-18_working'!G17+'2017-18_working'!H17</f>
        <v>0</v>
      </c>
      <c r="G17" s="24">
        <f>'2017-18_working'!I17</f>
        <v>5</v>
      </c>
      <c r="H17" s="46" t="str">
        <f t="shared" si="19"/>
        <v>-</v>
      </c>
      <c r="I17" s="46">
        <f t="shared" si="20"/>
        <v>1</v>
      </c>
      <c r="J17" s="24"/>
      <c r="K17" s="24">
        <f>'2017-18_working'!K17+'2017-18_working'!L17</f>
        <v>8</v>
      </c>
      <c r="L17" s="24">
        <f>'2017-18_working'!M17</f>
        <v>0</v>
      </c>
      <c r="M17" s="24">
        <f>'2017-18_working'!N17</f>
        <v>0</v>
      </c>
      <c r="N17" s="24">
        <f>'2017-18_working'!O17</f>
        <v>0</v>
      </c>
      <c r="O17" s="24">
        <f>'2017-18_working'!P17+'2017-18_working'!Q17</f>
        <v>0</v>
      </c>
      <c r="P17" s="24">
        <f>'2017-18_working'!R17</f>
        <v>15</v>
      </c>
      <c r="Q17" s="46">
        <f t="shared" si="26"/>
        <v>0</v>
      </c>
      <c r="R17" s="46">
        <f t="shared" si="27"/>
        <v>0.65217391304347827</v>
      </c>
      <c r="S17" s="24"/>
      <c r="T17" s="22">
        <f t="shared" si="28"/>
        <v>8</v>
      </c>
      <c r="U17" s="22">
        <f t="shared" si="29"/>
        <v>0</v>
      </c>
      <c r="V17" s="22">
        <f t="shared" si="30"/>
        <v>0</v>
      </c>
      <c r="W17" s="22">
        <f t="shared" si="31"/>
        <v>0</v>
      </c>
      <c r="X17" s="22">
        <f t="shared" si="32"/>
        <v>0</v>
      </c>
      <c r="Y17" s="22">
        <f t="shared" si="33"/>
        <v>20</v>
      </c>
      <c r="Z17" s="46">
        <f t="shared" si="34"/>
        <v>0</v>
      </c>
      <c r="AA17" s="46">
        <f t="shared" si="35"/>
        <v>0.7142857142857143</v>
      </c>
      <c r="AB17" s="24"/>
      <c r="AC17" s="24">
        <f>'2017-18_working'!T17+'2017-18_working'!U17</f>
        <v>0</v>
      </c>
      <c r="AD17" s="24">
        <f>'2017-18_working'!V17</f>
        <v>0</v>
      </c>
      <c r="AE17" s="24">
        <f>'2017-18_working'!W17</f>
        <v>0</v>
      </c>
      <c r="AF17" s="24">
        <f>'2017-18_working'!X17</f>
        <v>0</v>
      </c>
      <c r="AG17" s="24">
        <f>'2017-18_working'!Y17+'2017-18_working'!Z17</f>
        <v>0</v>
      </c>
      <c r="AH17" s="24">
        <f>'2017-18_working'!AA17</f>
        <v>3</v>
      </c>
      <c r="AI17" s="46" t="str">
        <f t="shared" si="41"/>
        <v>-</v>
      </c>
      <c r="AJ17" s="46">
        <f t="shared" si="42"/>
        <v>1</v>
      </c>
      <c r="AK17" s="24"/>
      <c r="AL17" s="24">
        <f>'2017-18_working'!AC17+'2017-18_working'!AD17</f>
        <v>1</v>
      </c>
      <c r="AM17" s="24">
        <f>'2017-18_working'!AE17</f>
        <v>0</v>
      </c>
      <c r="AN17" s="24">
        <f>'2017-18_working'!AF17</f>
        <v>0</v>
      </c>
      <c r="AO17" s="24">
        <f>'2017-18_working'!AG17</f>
        <v>0</v>
      </c>
      <c r="AP17" s="24">
        <f>'2017-18_working'!AH17+'2017-18_working'!AI17</f>
        <v>0</v>
      </c>
      <c r="AQ17" s="24">
        <f>'2017-18_working'!AJ17</f>
        <v>6</v>
      </c>
      <c r="AR17" s="46">
        <f t="shared" si="48"/>
        <v>0</v>
      </c>
      <c r="AS17" s="46">
        <f t="shared" si="49"/>
        <v>0.8571428571428571</v>
      </c>
      <c r="AT17" s="24"/>
      <c r="AU17" s="22">
        <f t="shared" si="50"/>
        <v>9</v>
      </c>
      <c r="AV17" s="22">
        <f t="shared" si="51"/>
        <v>0</v>
      </c>
      <c r="AW17" s="22">
        <f t="shared" si="52"/>
        <v>0</v>
      </c>
      <c r="AX17" s="22">
        <f t="shared" si="53"/>
        <v>0</v>
      </c>
      <c r="AY17" s="22">
        <f t="shared" si="54"/>
        <v>0</v>
      </c>
      <c r="AZ17" s="22">
        <f t="shared" si="55"/>
        <v>29</v>
      </c>
      <c r="BA17" s="46">
        <f t="shared" si="56"/>
        <v>0</v>
      </c>
      <c r="BB17" s="46">
        <f t="shared" si="57"/>
        <v>0.76315789473684215</v>
      </c>
      <c r="BC17" s="19"/>
      <c r="BD17" s="20">
        <f t="shared" si="58"/>
        <v>38</v>
      </c>
      <c r="BE17" s="20">
        <v>38</v>
      </c>
      <c r="BF17" s="53">
        <f t="shared" si="59"/>
        <v>0</v>
      </c>
      <c r="BG17" s="19"/>
      <c r="BH17" s="19"/>
      <c r="BI17" s="19"/>
      <c r="BJ17" s="19"/>
      <c r="BK17" s="19"/>
    </row>
    <row r="18" spans="1:63" s="8" customFormat="1" ht="15" customHeight="1" x14ac:dyDescent="0.35">
      <c r="A18" s="2" t="s">
        <v>25</v>
      </c>
      <c r="B18" s="24">
        <f>'2017-18_working'!B18+'2017-18_working'!C18</f>
        <v>1</v>
      </c>
      <c r="C18" s="24">
        <f>'2017-18_working'!D18</f>
        <v>0</v>
      </c>
      <c r="D18" s="24">
        <f>'2017-18_working'!E18</f>
        <v>0</v>
      </c>
      <c r="E18" s="24">
        <f>'2017-18_working'!F18</f>
        <v>0</v>
      </c>
      <c r="F18" s="24">
        <f>'2017-18_working'!G18+'2017-18_working'!H18</f>
        <v>0</v>
      </c>
      <c r="G18" s="24">
        <f>'2017-18_working'!I18</f>
        <v>0</v>
      </c>
      <c r="H18" s="46">
        <f t="shared" si="19"/>
        <v>0</v>
      </c>
      <c r="I18" s="46">
        <f t="shared" si="20"/>
        <v>0</v>
      </c>
      <c r="J18" s="24"/>
      <c r="K18" s="24">
        <f>'2017-18_working'!K18+'2017-18_working'!L18</f>
        <v>6</v>
      </c>
      <c r="L18" s="24">
        <f>'2017-18_working'!M18</f>
        <v>0</v>
      </c>
      <c r="M18" s="24">
        <f>'2017-18_working'!N18</f>
        <v>1</v>
      </c>
      <c r="N18" s="24">
        <f>'2017-18_working'!O18</f>
        <v>0</v>
      </c>
      <c r="O18" s="24">
        <f>'2017-18_working'!P18+'2017-18_working'!Q18</f>
        <v>0</v>
      </c>
      <c r="P18" s="24">
        <f>'2017-18_working'!R18</f>
        <v>27</v>
      </c>
      <c r="Q18" s="46">
        <f t="shared" si="26"/>
        <v>0.14285714285714285</v>
      </c>
      <c r="R18" s="46">
        <f t="shared" si="27"/>
        <v>0.79411764705882348</v>
      </c>
      <c r="S18" s="24"/>
      <c r="T18" s="22">
        <f t="shared" si="28"/>
        <v>7</v>
      </c>
      <c r="U18" s="22">
        <f t="shared" si="29"/>
        <v>0</v>
      </c>
      <c r="V18" s="22">
        <f t="shared" si="30"/>
        <v>1</v>
      </c>
      <c r="W18" s="22">
        <f t="shared" si="31"/>
        <v>0</v>
      </c>
      <c r="X18" s="22">
        <f t="shared" si="32"/>
        <v>0</v>
      </c>
      <c r="Y18" s="22">
        <f t="shared" si="33"/>
        <v>27</v>
      </c>
      <c r="Z18" s="46">
        <f t="shared" si="34"/>
        <v>0.125</v>
      </c>
      <c r="AA18" s="46">
        <f t="shared" si="35"/>
        <v>0.77142857142857146</v>
      </c>
      <c r="AB18" s="24"/>
      <c r="AC18" s="24">
        <f>'2017-18_working'!T18+'2017-18_working'!U18</f>
        <v>0</v>
      </c>
      <c r="AD18" s="24">
        <f>'2017-18_working'!V18</f>
        <v>0</v>
      </c>
      <c r="AE18" s="24">
        <f>'2017-18_working'!W18</f>
        <v>0</v>
      </c>
      <c r="AF18" s="24">
        <f>'2017-18_working'!X18</f>
        <v>0</v>
      </c>
      <c r="AG18" s="24">
        <f>'2017-18_working'!Y18+'2017-18_working'!Z18</f>
        <v>0</v>
      </c>
      <c r="AH18" s="24">
        <f>'2017-18_working'!AA18</f>
        <v>0</v>
      </c>
      <c r="AI18" s="46" t="str">
        <f t="shared" si="41"/>
        <v>-</v>
      </c>
      <c r="AJ18" s="46" t="str">
        <f t="shared" si="42"/>
        <v>-</v>
      </c>
      <c r="AK18" s="24"/>
      <c r="AL18" s="24">
        <f>'2017-18_working'!AC18+'2017-18_working'!AD18</f>
        <v>1</v>
      </c>
      <c r="AM18" s="24">
        <f>'2017-18_working'!AE18</f>
        <v>0</v>
      </c>
      <c r="AN18" s="24">
        <f>'2017-18_working'!AF18</f>
        <v>0</v>
      </c>
      <c r="AO18" s="24">
        <f>'2017-18_working'!AG18</f>
        <v>0</v>
      </c>
      <c r="AP18" s="24">
        <f>'2017-18_working'!AH18+'2017-18_working'!AI18</f>
        <v>0</v>
      </c>
      <c r="AQ18" s="24">
        <f>'2017-18_working'!AJ18</f>
        <v>0</v>
      </c>
      <c r="AR18" s="46">
        <f t="shared" si="48"/>
        <v>0</v>
      </c>
      <c r="AS18" s="46">
        <f t="shared" si="49"/>
        <v>0</v>
      </c>
      <c r="AT18" s="24"/>
      <c r="AU18" s="22">
        <f t="shared" si="50"/>
        <v>8</v>
      </c>
      <c r="AV18" s="22">
        <f t="shared" si="51"/>
        <v>0</v>
      </c>
      <c r="AW18" s="22">
        <f t="shared" si="52"/>
        <v>1</v>
      </c>
      <c r="AX18" s="22">
        <f t="shared" si="53"/>
        <v>0</v>
      </c>
      <c r="AY18" s="22">
        <f t="shared" si="54"/>
        <v>0</v>
      </c>
      <c r="AZ18" s="22">
        <f t="shared" si="55"/>
        <v>27</v>
      </c>
      <c r="BA18" s="46">
        <f t="shared" si="56"/>
        <v>0.1111111111111111</v>
      </c>
      <c r="BB18" s="46">
        <f t="shared" si="57"/>
        <v>0.75</v>
      </c>
      <c r="BC18" s="19"/>
      <c r="BD18" s="20">
        <f t="shared" si="58"/>
        <v>36</v>
      </c>
      <c r="BE18" s="20">
        <v>36</v>
      </c>
      <c r="BF18" s="53">
        <f t="shared" si="59"/>
        <v>0</v>
      </c>
      <c r="BG18" s="19"/>
      <c r="BH18" s="19"/>
      <c r="BI18" s="19"/>
      <c r="BJ18" s="19"/>
      <c r="BK18" s="19"/>
    </row>
    <row r="19" spans="1:63" s="8" customFormat="1" ht="15" customHeight="1" x14ac:dyDescent="0.35">
      <c r="A19" s="26" t="s">
        <v>26</v>
      </c>
      <c r="B19" s="24">
        <f>'2017-18_working'!B19+'2017-18_working'!C19</f>
        <v>2</v>
      </c>
      <c r="C19" s="24">
        <f>'2017-18_working'!D19</f>
        <v>0</v>
      </c>
      <c r="D19" s="24">
        <f>'2017-18_working'!E19</f>
        <v>0</v>
      </c>
      <c r="E19" s="24">
        <f>'2017-18_working'!F19</f>
        <v>0</v>
      </c>
      <c r="F19" s="24">
        <f>'2017-18_working'!G19+'2017-18_working'!H19</f>
        <v>0</v>
      </c>
      <c r="G19" s="24">
        <f>'2017-18_working'!I19</f>
        <v>1</v>
      </c>
      <c r="H19" s="46">
        <f t="shared" si="19"/>
        <v>0</v>
      </c>
      <c r="I19" s="46">
        <f t="shared" si="20"/>
        <v>0.33333333333333331</v>
      </c>
      <c r="J19" s="24"/>
      <c r="K19" s="24">
        <f>'2017-18_working'!K19+'2017-18_working'!L19</f>
        <v>17</v>
      </c>
      <c r="L19" s="24">
        <f>'2017-18_working'!M19</f>
        <v>0</v>
      </c>
      <c r="M19" s="24">
        <f>'2017-18_working'!N19</f>
        <v>0</v>
      </c>
      <c r="N19" s="24">
        <f>'2017-18_working'!O19</f>
        <v>0</v>
      </c>
      <c r="O19" s="24">
        <f>'2017-18_working'!P19+'2017-18_working'!Q19</f>
        <v>0</v>
      </c>
      <c r="P19" s="24">
        <f>'2017-18_working'!R19</f>
        <v>11</v>
      </c>
      <c r="Q19" s="46">
        <f t="shared" si="26"/>
        <v>0</v>
      </c>
      <c r="R19" s="46">
        <f t="shared" si="27"/>
        <v>0.39285714285714285</v>
      </c>
      <c r="S19" s="24"/>
      <c r="T19" s="22">
        <f t="shared" si="28"/>
        <v>19</v>
      </c>
      <c r="U19" s="22">
        <f t="shared" si="29"/>
        <v>0</v>
      </c>
      <c r="V19" s="22">
        <f t="shared" si="30"/>
        <v>0</v>
      </c>
      <c r="W19" s="22">
        <f t="shared" si="31"/>
        <v>0</v>
      </c>
      <c r="X19" s="22">
        <f t="shared" si="32"/>
        <v>0</v>
      </c>
      <c r="Y19" s="22">
        <f t="shared" si="33"/>
        <v>12</v>
      </c>
      <c r="Z19" s="46">
        <f t="shared" si="34"/>
        <v>0</v>
      </c>
      <c r="AA19" s="46">
        <f t="shared" si="35"/>
        <v>0.38709677419354838</v>
      </c>
      <c r="AB19" s="24"/>
      <c r="AC19" s="24">
        <f>'2017-18_working'!T19+'2017-18_working'!U19</f>
        <v>2</v>
      </c>
      <c r="AD19" s="24">
        <f>'2017-18_working'!V19</f>
        <v>0</v>
      </c>
      <c r="AE19" s="24">
        <f>'2017-18_working'!W19</f>
        <v>0</v>
      </c>
      <c r="AF19" s="24">
        <f>'2017-18_working'!X19</f>
        <v>0</v>
      </c>
      <c r="AG19" s="24">
        <f>'2017-18_working'!Y19+'2017-18_working'!Z19</f>
        <v>0</v>
      </c>
      <c r="AH19" s="24">
        <f>'2017-18_working'!AA19</f>
        <v>2</v>
      </c>
      <c r="AI19" s="46">
        <f t="shared" si="41"/>
        <v>0</v>
      </c>
      <c r="AJ19" s="46">
        <f t="shared" si="42"/>
        <v>0.5</v>
      </c>
      <c r="AK19" s="24"/>
      <c r="AL19" s="24">
        <f>'2017-18_working'!AC19+'2017-18_working'!AD19</f>
        <v>8</v>
      </c>
      <c r="AM19" s="24">
        <f>'2017-18_working'!AE19</f>
        <v>0</v>
      </c>
      <c r="AN19" s="24">
        <f>'2017-18_working'!AF19</f>
        <v>1</v>
      </c>
      <c r="AO19" s="24">
        <f>'2017-18_working'!AG19</f>
        <v>0</v>
      </c>
      <c r="AP19" s="24">
        <f>'2017-18_working'!AH19+'2017-18_working'!AI19</f>
        <v>0</v>
      </c>
      <c r="AQ19" s="24">
        <f>'2017-18_working'!AJ19</f>
        <v>5</v>
      </c>
      <c r="AR19" s="46">
        <f t="shared" si="48"/>
        <v>0.1111111111111111</v>
      </c>
      <c r="AS19" s="46">
        <f t="shared" si="49"/>
        <v>0.35714285714285715</v>
      </c>
      <c r="AT19" s="24"/>
      <c r="AU19" s="22">
        <f t="shared" si="50"/>
        <v>29</v>
      </c>
      <c r="AV19" s="22">
        <f t="shared" si="51"/>
        <v>0</v>
      </c>
      <c r="AW19" s="22">
        <f t="shared" si="52"/>
        <v>1</v>
      </c>
      <c r="AX19" s="22">
        <f t="shared" si="53"/>
        <v>0</v>
      </c>
      <c r="AY19" s="22">
        <f t="shared" si="54"/>
        <v>0</v>
      </c>
      <c r="AZ19" s="22">
        <f t="shared" si="55"/>
        <v>19</v>
      </c>
      <c r="BA19" s="46">
        <f t="shared" si="56"/>
        <v>3.3333333333333333E-2</v>
      </c>
      <c r="BB19" s="46">
        <f t="shared" si="57"/>
        <v>0.38775510204081631</v>
      </c>
      <c r="BC19" s="19"/>
      <c r="BD19" s="20">
        <f t="shared" si="58"/>
        <v>49</v>
      </c>
      <c r="BE19" s="20">
        <v>49</v>
      </c>
      <c r="BF19" s="53">
        <f t="shared" si="59"/>
        <v>0</v>
      </c>
      <c r="BG19" s="19"/>
      <c r="BH19" s="19"/>
      <c r="BI19" s="19"/>
      <c r="BJ19" s="19"/>
      <c r="BK19" s="19"/>
    </row>
    <row r="20" spans="1:63" s="8" customFormat="1" ht="15" customHeight="1" x14ac:dyDescent="0.35">
      <c r="A20" s="26" t="s">
        <v>27</v>
      </c>
      <c r="B20" s="24">
        <f>'2017-18_working'!B20+'2017-18_working'!C20</f>
        <v>34</v>
      </c>
      <c r="C20" s="24">
        <f>'2017-18_working'!D20</f>
        <v>0</v>
      </c>
      <c r="D20" s="24">
        <f>'2017-18_working'!E20</f>
        <v>0</v>
      </c>
      <c r="E20" s="24">
        <f>'2017-18_working'!F20</f>
        <v>0</v>
      </c>
      <c r="F20" s="24">
        <f>'2017-18_working'!G20+'2017-18_working'!H20</f>
        <v>0</v>
      </c>
      <c r="G20" s="24">
        <f>'2017-18_working'!I20</f>
        <v>1</v>
      </c>
      <c r="H20" s="46">
        <f t="shared" si="19"/>
        <v>0</v>
      </c>
      <c r="I20" s="46">
        <f t="shared" si="20"/>
        <v>2.8571428571428571E-2</v>
      </c>
      <c r="J20" s="24"/>
      <c r="K20" s="24">
        <f>'2017-18_working'!K20+'2017-18_working'!L20</f>
        <v>73</v>
      </c>
      <c r="L20" s="24">
        <f>'2017-18_working'!M20</f>
        <v>1</v>
      </c>
      <c r="M20" s="24">
        <f>'2017-18_working'!N20</f>
        <v>0</v>
      </c>
      <c r="N20" s="24">
        <f>'2017-18_working'!O20</f>
        <v>0</v>
      </c>
      <c r="O20" s="24">
        <f>'2017-18_working'!P20+'2017-18_working'!Q20</f>
        <v>0</v>
      </c>
      <c r="P20" s="24">
        <f>'2017-18_working'!R20</f>
        <v>34</v>
      </c>
      <c r="Q20" s="46">
        <f t="shared" si="26"/>
        <v>1.3513513513513514E-2</v>
      </c>
      <c r="R20" s="46">
        <f t="shared" si="27"/>
        <v>0.31481481481481483</v>
      </c>
      <c r="S20" s="24"/>
      <c r="T20" s="22">
        <f t="shared" si="28"/>
        <v>107</v>
      </c>
      <c r="U20" s="22">
        <f t="shared" si="29"/>
        <v>1</v>
      </c>
      <c r="V20" s="22">
        <f t="shared" si="30"/>
        <v>0</v>
      </c>
      <c r="W20" s="22">
        <f t="shared" si="31"/>
        <v>0</v>
      </c>
      <c r="X20" s="22">
        <f t="shared" si="32"/>
        <v>0</v>
      </c>
      <c r="Y20" s="22">
        <f t="shared" si="33"/>
        <v>35</v>
      </c>
      <c r="Z20" s="46">
        <f t="shared" si="34"/>
        <v>9.2592592592592587E-3</v>
      </c>
      <c r="AA20" s="46">
        <f t="shared" si="35"/>
        <v>0.24475524475524477</v>
      </c>
      <c r="AB20" s="24"/>
      <c r="AC20" s="24">
        <f>'2017-18_working'!T20+'2017-18_working'!U20</f>
        <v>2</v>
      </c>
      <c r="AD20" s="24">
        <f>'2017-18_working'!V20</f>
        <v>0</v>
      </c>
      <c r="AE20" s="24">
        <f>'2017-18_working'!W20</f>
        <v>0</v>
      </c>
      <c r="AF20" s="24">
        <f>'2017-18_working'!X20</f>
        <v>0</v>
      </c>
      <c r="AG20" s="24">
        <f>'2017-18_working'!Y20+'2017-18_working'!Z20</f>
        <v>0</v>
      </c>
      <c r="AH20" s="24">
        <f>'2017-18_working'!AA20</f>
        <v>0</v>
      </c>
      <c r="AI20" s="46">
        <f t="shared" si="41"/>
        <v>0</v>
      </c>
      <c r="AJ20" s="46">
        <f t="shared" si="42"/>
        <v>0</v>
      </c>
      <c r="AK20" s="24"/>
      <c r="AL20" s="24">
        <f>'2017-18_working'!AC20+'2017-18_working'!AD20</f>
        <v>19</v>
      </c>
      <c r="AM20" s="24">
        <f>'2017-18_working'!AE20</f>
        <v>0</v>
      </c>
      <c r="AN20" s="24">
        <f>'2017-18_working'!AF20</f>
        <v>0</v>
      </c>
      <c r="AO20" s="24">
        <f>'2017-18_working'!AG20</f>
        <v>0</v>
      </c>
      <c r="AP20" s="24">
        <f>'2017-18_working'!AH20+'2017-18_working'!AI20</f>
        <v>0</v>
      </c>
      <c r="AQ20" s="24">
        <f>'2017-18_working'!AJ20</f>
        <v>7</v>
      </c>
      <c r="AR20" s="46">
        <f t="shared" si="48"/>
        <v>0</v>
      </c>
      <c r="AS20" s="46">
        <f t="shared" si="49"/>
        <v>0.26923076923076922</v>
      </c>
      <c r="AT20" s="24"/>
      <c r="AU20" s="22">
        <f t="shared" si="50"/>
        <v>128</v>
      </c>
      <c r="AV20" s="22">
        <f t="shared" si="51"/>
        <v>1</v>
      </c>
      <c r="AW20" s="22">
        <f t="shared" si="52"/>
        <v>0</v>
      </c>
      <c r="AX20" s="22">
        <f t="shared" si="53"/>
        <v>0</v>
      </c>
      <c r="AY20" s="22">
        <f t="shared" si="54"/>
        <v>0</v>
      </c>
      <c r="AZ20" s="22">
        <f t="shared" si="55"/>
        <v>42</v>
      </c>
      <c r="BA20" s="46">
        <f t="shared" si="56"/>
        <v>7.7519379844961239E-3</v>
      </c>
      <c r="BB20" s="46">
        <f t="shared" si="57"/>
        <v>0.24561403508771928</v>
      </c>
      <c r="BC20" s="19"/>
      <c r="BD20" s="20">
        <f t="shared" si="58"/>
        <v>171</v>
      </c>
      <c r="BE20" s="20">
        <v>171</v>
      </c>
      <c r="BF20" s="53">
        <f t="shared" si="59"/>
        <v>0</v>
      </c>
      <c r="BG20" s="19"/>
      <c r="BH20" s="19"/>
      <c r="BI20" s="19"/>
      <c r="BJ20" s="19"/>
      <c r="BK20" s="19"/>
    </row>
    <row r="21" spans="1:63" s="8" customFormat="1" ht="15" customHeight="1" x14ac:dyDescent="0.35">
      <c r="A21" s="2" t="s">
        <v>28</v>
      </c>
      <c r="B21" s="24">
        <f>'2017-18_working'!B21+'2017-18_working'!C21</f>
        <v>11</v>
      </c>
      <c r="C21" s="24">
        <f>'2017-18_working'!D21</f>
        <v>0</v>
      </c>
      <c r="D21" s="24">
        <f>'2017-18_working'!E21</f>
        <v>0</v>
      </c>
      <c r="E21" s="24">
        <f>'2017-18_working'!F21</f>
        <v>0</v>
      </c>
      <c r="F21" s="24">
        <f>'2017-18_working'!G21+'2017-18_working'!H21</f>
        <v>0</v>
      </c>
      <c r="G21" s="24">
        <f>'2017-18_working'!I21</f>
        <v>10</v>
      </c>
      <c r="H21" s="46">
        <f t="shared" si="19"/>
        <v>0</v>
      </c>
      <c r="I21" s="46">
        <f t="shared" si="20"/>
        <v>0.47619047619047616</v>
      </c>
      <c r="J21" s="24"/>
      <c r="K21" s="24">
        <f>'2017-18_working'!K21+'2017-18_working'!L21</f>
        <v>46</v>
      </c>
      <c r="L21" s="24">
        <f>'2017-18_working'!M21</f>
        <v>0</v>
      </c>
      <c r="M21" s="24">
        <f>'2017-18_working'!N21</f>
        <v>0</v>
      </c>
      <c r="N21" s="24">
        <f>'2017-18_working'!O21</f>
        <v>0</v>
      </c>
      <c r="O21" s="24">
        <f>'2017-18_working'!P21+'2017-18_working'!Q21</f>
        <v>1</v>
      </c>
      <c r="P21" s="24">
        <f>'2017-18_working'!R21</f>
        <v>31</v>
      </c>
      <c r="Q21" s="46">
        <f t="shared" si="26"/>
        <v>2.1276595744680851E-2</v>
      </c>
      <c r="R21" s="46">
        <f t="shared" si="27"/>
        <v>0.39743589743589741</v>
      </c>
      <c r="S21" s="24"/>
      <c r="T21" s="22">
        <f t="shared" si="28"/>
        <v>57</v>
      </c>
      <c r="U21" s="22">
        <f t="shared" si="29"/>
        <v>0</v>
      </c>
      <c r="V21" s="22">
        <f t="shared" si="30"/>
        <v>0</v>
      </c>
      <c r="W21" s="22">
        <f t="shared" si="31"/>
        <v>0</v>
      </c>
      <c r="X21" s="22">
        <f t="shared" si="32"/>
        <v>1</v>
      </c>
      <c r="Y21" s="22">
        <f t="shared" si="33"/>
        <v>41</v>
      </c>
      <c r="Z21" s="46">
        <f t="shared" si="34"/>
        <v>1.7241379310344827E-2</v>
      </c>
      <c r="AA21" s="46">
        <f t="shared" si="35"/>
        <v>0.41414141414141414</v>
      </c>
      <c r="AB21" s="24"/>
      <c r="AC21" s="24">
        <f>'2017-18_working'!T21+'2017-18_working'!U21</f>
        <v>0</v>
      </c>
      <c r="AD21" s="24">
        <f>'2017-18_working'!V21</f>
        <v>0</v>
      </c>
      <c r="AE21" s="24">
        <f>'2017-18_working'!W21</f>
        <v>0</v>
      </c>
      <c r="AF21" s="24">
        <f>'2017-18_working'!X21</f>
        <v>0</v>
      </c>
      <c r="AG21" s="24">
        <f>'2017-18_working'!Y21+'2017-18_working'!Z21</f>
        <v>0</v>
      </c>
      <c r="AH21" s="24">
        <f>'2017-18_working'!AA21</f>
        <v>4</v>
      </c>
      <c r="AI21" s="46" t="str">
        <f t="shared" si="41"/>
        <v>-</v>
      </c>
      <c r="AJ21" s="46">
        <f t="shared" si="42"/>
        <v>1</v>
      </c>
      <c r="AK21" s="24"/>
      <c r="AL21" s="24">
        <f>'2017-18_working'!AC21+'2017-18_working'!AD21</f>
        <v>11</v>
      </c>
      <c r="AM21" s="24">
        <f>'2017-18_working'!AE21</f>
        <v>0</v>
      </c>
      <c r="AN21" s="24">
        <f>'2017-18_working'!AF21</f>
        <v>0</v>
      </c>
      <c r="AO21" s="24">
        <f>'2017-18_working'!AG21</f>
        <v>0</v>
      </c>
      <c r="AP21" s="24">
        <f>'2017-18_working'!AH21+'2017-18_working'!AI21</f>
        <v>0</v>
      </c>
      <c r="AQ21" s="24">
        <f>'2017-18_working'!AJ21</f>
        <v>14</v>
      </c>
      <c r="AR21" s="46">
        <f t="shared" si="48"/>
        <v>0</v>
      </c>
      <c r="AS21" s="46">
        <f t="shared" si="49"/>
        <v>0.56000000000000005</v>
      </c>
      <c r="AT21" s="24"/>
      <c r="AU21" s="22">
        <f t="shared" si="50"/>
        <v>68</v>
      </c>
      <c r="AV21" s="22">
        <f t="shared" si="51"/>
        <v>0</v>
      </c>
      <c r="AW21" s="22">
        <f t="shared" si="52"/>
        <v>0</v>
      </c>
      <c r="AX21" s="22">
        <f t="shared" si="53"/>
        <v>0</v>
      </c>
      <c r="AY21" s="22">
        <f t="shared" si="54"/>
        <v>1</v>
      </c>
      <c r="AZ21" s="22">
        <f t="shared" si="55"/>
        <v>59</v>
      </c>
      <c r="BA21" s="46">
        <f t="shared" si="56"/>
        <v>1.4492753623188406E-2</v>
      </c>
      <c r="BB21" s="46">
        <f t="shared" si="57"/>
        <v>0.4609375</v>
      </c>
      <c r="BC21" s="19"/>
      <c r="BD21" s="20">
        <f t="shared" si="58"/>
        <v>128</v>
      </c>
      <c r="BE21" s="20">
        <v>128</v>
      </c>
      <c r="BF21" s="53">
        <f t="shared" si="59"/>
        <v>0</v>
      </c>
      <c r="BG21" s="19"/>
      <c r="BH21" s="19"/>
      <c r="BI21" s="19"/>
      <c r="BJ21" s="19"/>
      <c r="BK21" s="19"/>
    </row>
    <row r="22" spans="1:63" s="8" customFormat="1" ht="15" customHeight="1" x14ac:dyDescent="0.35">
      <c r="A22" s="2" t="s">
        <v>29</v>
      </c>
      <c r="B22" s="24">
        <f>'2017-18_working'!B22+'2017-18_working'!C22</f>
        <v>14</v>
      </c>
      <c r="C22" s="24">
        <f>'2017-18_working'!D22</f>
        <v>0</v>
      </c>
      <c r="D22" s="24">
        <f>'2017-18_working'!E22</f>
        <v>0</v>
      </c>
      <c r="E22" s="24">
        <f>'2017-18_working'!F22</f>
        <v>0</v>
      </c>
      <c r="F22" s="24">
        <f>'2017-18_working'!G22+'2017-18_working'!H22</f>
        <v>0</v>
      </c>
      <c r="G22" s="24">
        <f>'2017-18_working'!I22</f>
        <v>8</v>
      </c>
      <c r="H22" s="46">
        <f t="shared" si="19"/>
        <v>0</v>
      </c>
      <c r="I22" s="46">
        <f t="shared" si="20"/>
        <v>0.36363636363636365</v>
      </c>
      <c r="J22" s="24"/>
      <c r="K22" s="24">
        <f>'2017-18_working'!K22+'2017-18_working'!L22</f>
        <v>7</v>
      </c>
      <c r="L22" s="24">
        <f>'2017-18_working'!M22</f>
        <v>0</v>
      </c>
      <c r="M22" s="24">
        <f>'2017-18_working'!N22</f>
        <v>0</v>
      </c>
      <c r="N22" s="24">
        <f>'2017-18_working'!O22</f>
        <v>0</v>
      </c>
      <c r="O22" s="24">
        <f>'2017-18_working'!P22+'2017-18_working'!Q22</f>
        <v>0</v>
      </c>
      <c r="P22" s="24">
        <f>'2017-18_working'!R22</f>
        <v>20</v>
      </c>
      <c r="Q22" s="46">
        <f t="shared" si="26"/>
        <v>0</v>
      </c>
      <c r="R22" s="46">
        <f t="shared" si="27"/>
        <v>0.7407407407407407</v>
      </c>
      <c r="S22" s="24"/>
      <c r="T22" s="22">
        <f t="shared" si="28"/>
        <v>21</v>
      </c>
      <c r="U22" s="22">
        <f t="shared" si="29"/>
        <v>0</v>
      </c>
      <c r="V22" s="22">
        <f t="shared" si="30"/>
        <v>0</v>
      </c>
      <c r="W22" s="22">
        <f t="shared" si="31"/>
        <v>0</v>
      </c>
      <c r="X22" s="22">
        <f t="shared" si="32"/>
        <v>0</v>
      </c>
      <c r="Y22" s="22">
        <f t="shared" si="33"/>
        <v>28</v>
      </c>
      <c r="Z22" s="46">
        <f t="shared" si="34"/>
        <v>0</v>
      </c>
      <c r="AA22" s="46">
        <f t="shared" si="35"/>
        <v>0.5714285714285714</v>
      </c>
      <c r="AB22" s="24"/>
      <c r="AC22" s="24">
        <f>'2017-18_working'!T22+'2017-18_working'!U22</f>
        <v>0</v>
      </c>
      <c r="AD22" s="24">
        <f>'2017-18_working'!V22</f>
        <v>0</v>
      </c>
      <c r="AE22" s="24">
        <f>'2017-18_working'!W22</f>
        <v>0</v>
      </c>
      <c r="AF22" s="24">
        <f>'2017-18_working'!X22</f>
        <v>0</v>
      </c>
      <c r="AG22" s="24">
        <f>'2017-18_working'!Y22+'2017-18_working'!Z22</f>
        <v>0</v>
      </c>
      <c r="AH22" s="24">
        <f>'2017-18_working'!AA22</f>
        <v>0</v>
      </c>
      <c r="AI22" s="46" t="str">
        <f t="shared" si="41"/>
        <v>-</v>
      </c>
      <c r="AJ22" s="46" t="str">
        <f t="shared" si="42"/>
        <v>-</v>
      </c>
      <c r="AK22" s="24"/>
      <c r="AL22" s="24">
        <f>'2017-18_working'!AC22+'2017-18_working'!AD22</f>
        <v>6</v>
      </c>
      <c r="AM22" s="24">
        <f>'2017-18_working'!AE22</f>
        <v>0</v>
      </c>
      <c r="AN22" s="24">
        <f>'2017-18_working'!AF22</f>
        <v>0</v>
      </c>
      <c r="AO22" s="24">
        <f>'2017-18_working'!AG22</f>
        <v>0</v>
      </c>
      <c r="AP22" s="24">
        <f>'2017-18_working'!AH22+'2017-18_working'!AI22</f>
        <v>0</v>
      </c>
      <c r="AQ22" s="24">
        <f>'2017-18_working'!AJ22</f>
        <v>12</v>
      </c>
      <c r="AR22" s="46">
        <f t="shared" si="48"/>
        <v>0</v>
      </c>
      <c r="AS22" s="46">
        <f t="shared" si="49"/>
        <v>0.66666666666666663</v>
      </c>
      <c r="AT22" s="24"/>
      <c r="AU22" s="22">
        <f t="shared" si="50"/>
        <v>27</v>
      </c>
      <c r="AV22" s="22">
        <f t="shared" si="51"/>
        <v>0</v>
      </c>
      <c r="AW22" s="22">
        <f t="shared" si="52"/>
        <v>0</v>
      </c>
      <c r="AX22" s="22">
        <f t="shared" si="53"/>
        <v>0</v>
      </c>
      <c r="AY22" s="22">
        <f t="shared" si="54"/>
        <v>0</v>
      </c>
      <c r="AZ22" s="22">
        <f t="shared" si="55"/>
        <v>40</v>
      </c>
      <c r="BA22" s="46">
        <f t="shared" si="56"/>
        <v>0</v>
      </c>
      <c r="BB22" s="46">
        <f t="shared" si="57"/>
        <v>0.59701492537313428</v>
      </c>
      <c r="BC22" s="19"/>
      <c r="BD22" s="20">
        <f t="shared" si="58"/>
        <v>67</v>
      </c>
      <c r="BE22" s="20">
        <v>67</v>
      </c>
      <c r="BF22" s="53">
        <f t="shared" si="59"/>
        <v>0</v>
      </c>
      <c r="BG22" s="19"/>
      <c r="BH22" s="19"/>
      <c r="BI22" s="19"/>
      <c r="BJ22" s="19"/>
      <c r="BK22" s="19"/>
    </row>
    <row r="23" spans="1:63" s="8" customFormat="1" ht="15" customHeight="1" x14ac:dyDescent="0.35">
      <c r="A23" s="2" t="s">
        <v>30</v>
      </c>
      <c r="B23" s="24">
        <f>'2017-18_working'!B23+'2017-18_working'!C23</f>
        <v>8</v>
      </c>
      <c r="C23" s="24">
        <f>'2017-18_working'!D23</f>
        <v>0</v>
      </c>
      <c r="D23" s="24">
        <f>'2017-18_working'!E23</f>
        <v>0</v>
      </c>
      <c r="E23" s="24">
        <f>'2017-18_working'!F23</f>
        <v>0</v>
      </c>
      <c r="F23" s="24">
        <f>'2017-18_working'!G23+'2017-18_working'!H23</f>
        <v>0</v>
      </c>
      <c r="G23" s="24">
        <f>'2017-18_working'!I23</f>
        <v>0</v>
      </c>
      <c r="H23" s="46">
        <f t="shared" si="19"/>
        <v>0</v>
      </c>
      <c r="I23" s="46">
        <f t="shared" si="20"/>
        <v>0</v>
      </c>
      <c r="J23" s="24"/>
      <c r="K23" s="24">
        <f>'2017-18_working'!K23+'2017-18_working'!L23</f>
        <v>19</v>
      </c>
      <c r="L23" s="24">
        <f>'2017-18_working'!M23</f>
        <v>0</v>
      </c>
      <c r="M23" s="24">
        <f>'2017-18_working'!N23</f>
        <v>0</v>
      </c>
      <c r="N23" s="24">
        <f>'2017-18_working'!O23</f>
        <v>0</v>
      </c>
      <c r="O23" s="24">
        <f>'2017-18_working'!P23+'2017-18_working'!Q23</f>
        <v>0</v>
      </c>
      <c r="P23" s="24">
        <f>'2017-18_working'!R23</f>
        <v>3</v>
      </c>
      <c r="Q23" s="46">
        <f t="shared" si="26"/>
        <v>0</v>
      </c>
      <c r="R23" s="46">
        <f t="shared" si="27"/>
        <v>0.13636363636363635</v>
      </c>
      <c r="S23" s="24"/>
      <c r="T23" s="22">
        <f t="shared" si="28"/>
        <v>27</v>
      </c>
      <c r="U23" s="22">
        <f t="shared" si="29"/>
        <v>0</v>
      </c>
      <c r="V23" s="22">
        <f t="shared" si="30"/>
        <v>0</v>
      </c>
      <c r="W23" s="22">
        <f t="shared" si="31"/>
        <v>0</v>
      </c>
      <c r="X23" s="22">
        <f t="shared" si="32"/>
        <v>0</v>
      </c>
      <c r="Y23" s="22">
        <f t="shared" si="33"/>
        <v>3</v>
      </c>
      <c r="Z23" s="46">
        <f t="shared" si="34"/>
        <v>0</v>
      </c>
      <c r="AA23" s="46">
        <f t="shared" si="35"/>
        <v>0.1</v>
      </c>
      <c r="AB23" s="24"/>
      <c r="AC23" s="24">
        <f>'2017-18_working'!T23+'2017-18_working'!U23</f>
        <v>3</v>
      </c>
      <c r="AD23" s="24">
        <f>'2017-18_working'!V23</f>
        <v>0</v>
      </c>
      <c r="AE23" s="24">
        <f>'2017-18_working'!W23</f>
        <v>0</v>
      </c>
      <c r="AF23" s="24">
        <f>'2017-18_working'!X23</f>
        <v>0</v>
      </c>
      <c r="AG23" s="24">
        <f>'2017-18_working'!Y23+'2017-18_working'!Z23</f>
        <v>0</v>
      </c>
      <c r="AH23" s="24">
        <f>'2017-18_working'!AA23</f>
        <v>1</v>
      </c>
      <c r="AI23" s="46">
        <f t="shared" si="41"/>
        <v>0</v>
      </c>
      <c r="AJ23" s="46">
        <f t="shared" si="42"/>
        <v>0.25</v>
      </c>
      <c r="AK23" s="24"/>
      <c r="AL23" s="24">
        <f>'2017-18_working'!AC23+'2017-18_working'!AD23</f>
        <v>13</v>
      </c>
      <c r="AM23" s="24">
        <f>'2017-18_working'!AE23</f>
        <v>0</v>
      </c>
      <c r="AN23" s="24">
        <f>'2017-18_working'!AF23</f>
        <v>0</v>
      </c>
      <c r="AO23" s="24">
        <f>'2017-18_working'!AG23</f>
        <v>0</v>
      </c>
      <c r="AP23" s="24">
        <f>'2017-18_working'!AH23+'2017-18_working'!AI23</f>
        <v>0</v>
      </c>
      <c r="AQ23" s="24">
        <f>'2017-18_working'!AJ23</f>
        <v>10</v>
      </c>
      <c r="AR23" s="46">
        <f t="shared" si="48"/>
        <v>0</v>
      </c>
      <c r="AS23" s="46">
        <f t="shared" si="49"/>
        <v>0.43478260869565216</v>
      </c>
      <c r="AT23" s="24"/>
      <c r="AU23" s="22">
        <f t="shared" si="50"/>
        <v>43</v>
      </c>
      <c r="AV23" s="22">
        <f t="shared" si="51"/>
        <v>0</v>
      </c>
      <c r="AW23" s="22">
        <f t="shared" si="52"/>
        <v>0</v>
      </c>
      <c r="AX23" s="22">
        <f t="shared" si="53"/>
        <v>0</v>
      </c>
      <c r="AY23" s="22">
        <f t="shared" si="54"/>
        <v>0</v>
      </c>
      <c r="AZ23" s="22">
        <f t="shared" si="55"/>
        <v>14</v>
      </c>
      <c r="BA23" s="46">
        <f t="shared" si="56"/>
        <v>0</v>
      </c>
      <c r="BB23" s="46">
        <f t="shared" si="57"/>
        <v>0.24561403508771928</v>
      </c>
      <c r="BC23" s="19"/>
      <c r="BD23" s="20">
        <f t="shared" si="58"/>
        <v>57</v>
      </c>
      <c r="BE23" s="20">
        <v>57</v>
      </c>
      <c r="BF23" s="53">
        <f t="shared" si="59"/>
        <v>0</v>
      </c>
      <c r="BG23" s="19"/>
      <c r="BH23" s="19"/>
      <c r="BI23" s="19"/>
      <c r="BJ23" s="19"/>
      <c r="BK23" s="19"/>
    </row>
    <row r="24" spans="1:63" s="8" customFormat="1" ht="15" customHeight="1" x14ac:dyDescent="0.35">
      <c r="A24" s="2" t="s">
        <v>31</v>
      </c>
      <c r="B24" s="24">
        <f>'2017-18_working'!B24+'2017-18_working'!C24</f>
        <v>18</v>
      </c>
      <c r="C24" s="24">
        <f>'2017-18_working'!D24</f>
        <v>0</v>
      </c>
      <c r="D24" s="24">
        <f>'2017-18_working'!E24</f>
        <v>0</v>
      </c>
      <c r="E24" s="24">
        <f>'2017-18_working'!F24</f>
        <v>0</v>
      </c>
      <c r="F24" s="24">
        <f>'2017-18_working'!G24+'2017-18_working'!H24</f>
        <v>0</v>
      </c>
      <c r="G24" s="24">
        <f>'2017-18_working'!I24</f>
        <v>4</v>
      </c>
      <c r="H24" s="46">
        <f t="shared" si="19"/>
        <v>0</v>
      </c>
      <c r="I24" s="46">
        <f t="shared" si="20"/>
        <v>0.18181818181818182</v>
      </c>
      <c r="J24" s="24"/>
      <c r="K24" s="24">
        <f>'2017-18_working'!K24+'2017-18_working'!L24</f>
        <v>23</v>
      </c>
      <c r="L24" s="24">
        <f>'2017-18_working'!M24</f>
        <v>1</v>
      </c>
      <c r="M24" s="24">
        <f>'2017-18_working'!N24</f>
        <v>0</v>
      </c>
      <c r="N24" s="24">
        <f>'2017-18_working'!O24</f>
        <v>0</v>
      </c>
      <c r="O24" s="24">
        <f>'2017-18_working'!P24+'2017-18_working'!Q24</f>
        <v>1</v>
      </c>
      <c r="P24" s="24">
        <f>'2017-18_working'!R24</f>
        <v>63</v>
      </c>
      <c r="Q24" s="46">
        <f t="shared" si="26"/>
        <v>0.08</v>
      </c>
      <c r="R24" s="46">
        <f t="shared" si="27"/>
        <v>0.71590909090909094</v>
      </c>
      <c r="S24" s="24"/>
      <c r="T24" s="22">
        <f t="shared" si="28"/>
        <v>41</v>
      </c>
      <c r="U24" s="22">
        <f t="shared" si="29"/>
        <v>1</v>
      </c>
      <c r="V24" s="22">
        <f t="shared" si="30"/>
        <v>0</v>
      </c>
      <c r="W24" s="22">
        <f t="shared" si="31"/>
        <v>0</v>
      </c>
      <c r="X24" s="22">
        <f t="shared" si="32"/>
        <v>1</v>
      </c>
      <c r="Y24" s="22">
        <f t="shared" si="33"/>
        <v>67</v>
      </c>
      <c r="Z24" s="46">
        <f t="shared" si="34"/>
        <v>4.6511627906976744E-2</v>
      </c>
      <c r="AA24" s="46">
        <f t="shared" si="35"/>
        <v>0.60909090909090913</v>
      </c>
      <c r="AB24" s="24"/>
      <c r="AC24" s="24">
        <f>'2017-18_working'!T24+'2017-18_working'!U24</f>
        <v>0</v>
      </c>
      <c r="AD24" s="24">
        <f>'2017-18_working'!V24</f>
        <v>0</v>
      </c>
      <c r="AE24" s="24">
        <f>'2017-18_working'!W24</f>
        <v>0</v>
      </c>
      <c r="AF24" s="24">
        <f>'2017-18_working'!X24</f>
        <v>0</v>
      </c>
      <c r="AG24" s="24">
        <f>'2017-18_working'!Y24+'2017-18_working'!Z24</f>
        <v>0</v>
      </c>
      <c r="AH24" s="24">
        <f>'2017-18_working'!AA24</f>
        <v>3</v>
      </c>
      <c r="AI24" s="46" t="str">
        <f t="shared" si="41"/>
        <v>-</v>
      </c>
      <c r="AJ24" s="46">
        <f t="shared" si="42"/>
        <v>1</v>
      </c>
      <c r="AK24" s="24"/>
      <c r="AL24" s="24">
        <f>'2017-18_working'!AC24+'2017-18_working'!AD24</f>
        <v>19</v>
      </c>
      <c r="AM24" s="24">
        <f>'2017-18_working'!AE24</f>
        <v>0</v>
      </c>
      <c r="AN24" s="24">
        <f>'2017-18_working'!AF24</f>
        <v>0</v>
      </c>
      <c r="AO24" s="24">
        <f>'2017-18_working'!AG24</f>
        <v>0</v>
      </c>
      <c r="AP24" s="24">
        <f>'2017-18_working'!AH24+'2017-18_working'!AI24</f>
        <v>0</v>
      </c>
      <c r="AQ24" s="24">
        <f>'2017-18_working'!AJ24</f>
        <v>41</v>
      </c>
      <c r="AR24" s="46">
        <f t="shared" si="48"/>
        <v>0</v>
      </c>
      <c r="AS24" s="46">
        <f t="shared" si="49"/>
        <v>0.68333333333333335</v>
      </c>
      <c r="AT24" s="24"/>
      <c r="AU24" s="22">
        <f t="shared" si="50"/>
        <v>60</v>
      </c>
      <c r="AV24" s="22">
        <f t="shared" si="51"/>
        <v>1</v>
      </c>
      <c r="AW24" s="22">
        <f t="shared" si="52"/>
        <v>0</v>
      </c>
      <c r="AX24" s="22">
        <f t="shared" si="53"/>
        <v>0</v>
      </c>
      <c r="AY24" s="22">
        <f t="shared" si="54"/>
        <v>1</v>
      </c>
      <c r="AZ24" s="22">
        <f t="shared" si="55"/>
        <v>111</v>
      </c>
      <c r="BA24" s="46">
        <f t="shared" si="56"/>
        <v>3.2258064516129031E-2</v>
      </c>
      <c r="BB24" s="46">
        <f t="shared" si="57"/>
        <v>0.64161849710982655</v>
      </c>
      <c r="BC24" s="19"/>
      <c r="BD24" s="20">
        <f t="shared" si="58"/>
        <v>173</v>
      </c>
      <c r="BE24" s="20">
        <v>174</v>
      </c>
      <c r="BF24" s="53">
        <f t="shared" si="59"/>
        <v>-1</v>
      </c>
      <c r="BG24" s="19"/>
      <c r="BH24" s="19"/>
      <c r="BI24" s="19"/>
      <c r="BJ24" s="19"/>
      <c r="BK24" s="19"/>
    </row>
    <row r="25" spans="1:63" s="8" customFormat="1" ht="15" customHeight="1" x14ac:dyDescent="0.35">
      <c r="A25" s="2" t="s">
        <v>32</v>
      </c>
      <c r="B25" s="24">
        <f>'2017-18_working'!B25+'2017-18_working'!C25</f>
        <v>20</v>
      </c>
      <c r="C25" s="24">
        <f>'2017-18_working'!D25</f>
        <v>1</v>
      </c>
      <c r="D25" s="24">
        <f>'2017-18_working'!E25</f>
        <v>1</v>
      </c>
      <c r="E25" s="24">
        <f>'2017-18_working'!F25</f>
        <v>0</v>
      </c>
      <c r="F25" s="24">
        <f>'2017-18_working'!G25+'2017-18_working'!H25</f>
        <v>0</v>
      </c>
      <c r="G25" s="24">
        <f>'2017-18_working'!I25</f>
        <v>13</v>
      </c>
      <c r="H25" s="46">
        <f t="shared" si="19"/>
        <v>9.0909090909090912E-2</v>
      </c>
      <c r="I25" s="46">
        <f t="shared" si="20"/>
        <v>0.37142857142857144</v>
      </c>
      <c r="J25" s="24"/>
      <c r="K25" s="24">
        <f>'2017-18_working'!K25+'2017-18_working'!L25</f>
        <v>37</v>
      </c>
      <c r="L25" s="24">
        <f>'2017-18_working'!M25</f>
        <v>0</v>
      </c>
      <c r="M25" s="24">
        <f>'2017-18_working'!N25</f>
        <v>0</v>
      </c>
      <c r="N25" s="24">
        <f>'2017-18_working'!O25</f>
        <v>0</v>
      </c>
      <c r="O25" s="24">
        <f>'2017-18_working'!P25+'2017-18_working'!Q25</f>
        <v>0</v>
      </c>
      <c r="P25" s="24">
        <f>'2017-18_working'!R25</f>
        <v>1</v>
      </c>
      <c r="Q25" s="46">
        <f t="shared" si="26"/>
        <v>0</v>
      </c>
      <c r="R25" s="46">
        <f t="shared" si="27"/>
        <v>2.6315789473684209E-2</v>
      </c>
      <c r="S25" s="24"/>
      <c r="T25" s="22">
        <f t="shared" si="28"/>
        <v>57</v>
      </c>
      <c r="U25" s="22">
        <f t="shared" si="29"/>
        <v>1</v>
      </c>
      <c r="V25" s="22">
        <f t="shared" si="30"/>
        <v>1</v>
      </c>
      <c r="W25" s="22">
        <f t="shared" si="31"/>
        <v>0</v>
      </c>
      <c r="X25" s="22">
        <f t="shared" si="32"/>
        <v>0</v>
      </c>
      <c r="Y25" s="22">
        <f t="shared" si="33"/>
        <v>14</v>
      </c>
      <c r="Z25" s="46">
        <f t="shared" si="34"/>
        <v>3.3898305084745763E-2</v>
      </c>
      <c r="AA25" s="46">
        <f t="shared" si="35"/>
        <v>0.19178082191780821</v>
      </c>
      <c r="AB25" s="24"/>
      <c r="AC25" s="24">
        <f>'2017-18_working'!T25+'2017-18_working'!U25</f>
        <v>5</v>
      </c>
      <c r="AD25" s="24">
        <f>'2017-18_working'!V25</f>
        <v>0</v>
      </c>
      <c r="AE25" s="24">
        <f>'2017-18_working'!W25</f>
        <v>0</v>
      </c>
      <c r="AF25" s="24">
        <f>'2017-18_working'!X25</f>
        <v>0</v>
      </c>
      <c r="AG25" s="24">
        <f>'2017-18_working'!Y25+'2017-18_working'!Z25</f>
        <v>0</v>
      </c>
      <c r="AH25" s="24">
        <f>'2017-18_working'!AA25</f>
        <v>1</v>
      </c>
      <c r="AI25" s="46">
        <f t="shared" si="41"/>
        <v>0</v>
      </c>
      <c r="AJ25" s="46">
        <f t="shared" si="42"/>
        <v>0.16666666666666666</v>
      </c>
      <c r="AK25" s="24"/>
      <c r="AL25" s="24">
        <f>'2017-18_working'!AC25+'2017-18_working'!AD25</f>
        <v>6</v>
      </c>
      <c r="AM25" s="24">
        <f>'2017-18_working'!AE25</f>
        <v>0</v>
      </c>
      <c r="AN25" s="24">
        <f>'2017-18_working'!AF25</f>
        <v>0</v>
      </c>
      <c r="AO25" s="24">
        <f>'2017-18_working'!AG25</f>
        <v>0</v>
      </c>
      <c r="AP25" s="24">
        <f>'2017-18_working'!AH25+'2017-18_working'!AI25</f>
        <v>0</v>
      </c>
      <c r="AQ25" s="24">
        <f>'2017-18_working'!AJ25</f>
        <v>3</v>
      </c>
      <c r="AR25" s="46">
        <f t="shared" si="48"/>
        <v>0</v>
      </c>
      <c r="AS25" s="46">
        <f t="shared" si="49"/>
        <v>0.33333333333333331</v>
      </c>
      <c r="AT25" s="24"/>
      <c r="AU25" s="22">
        <f t="shared" si="50"/>
        <v>68</v>
      </c>
      <c r="AV25" s="22">
        <f t="shared" si="51"/>
        <v>1</v>
      </c>
      <c r="AW25" s="22">
        <f t="shared" si="52"/>
        <v>1</v>
      </c>
      <c r="AX25" s="22">
        <f t="shared" si="53"/>
        <v>0</v>
      </c>
      <c r="AY25" s="22">
        <f t="shared" si="54"/>
        <v>0</v>
      </c>
      <c r="AZ25" s="22">
        <f t="shared" si="55"/>
        <v>18</v>
      </c>
      <c r="BA25" s="46">
        <f t="shared" si="56"/>
        <v>2.8571428571428571E-2</v>
      </c>
      <c r="BB25" s="46">
        <f t="shared" si="57"/>
        <v>0.20454545454545456</v>
      </c>
      <c r="BC25" s="19"/>
      <c r="BD25" s="20">
        <f t="shared" si="58"/>
        <v>88</v>
      </c>
      <c r="BE25" s="20">
        <v>88</v>
      </c>
      <c r="BF25" s="53">
        <f t="shared" si="59"/>
        <v>0</v>
      </c>
      <c r="BG25" s="19"/>
      <c r="BH25" s="19"/>
      <c r="BI25" s="19"/>
      <c r="BJ25" s="19"/>
      <c r="BK25" s="19"/>
    </row>
    <row r="26" spans="1:63" s="8" customFormat="1" ht="15" customHeight="1" x14ac:dyDescent="0.35">
      <c r="A26" s="2" t="s">
        <v>33</v>
      </c>
      <c r="B26" s="24">
        <f>'2017-18_working'!B26+'2017-18_working'!C26</f>
        <v>43</v>
      </c>
      <c r="C26" s="24">
        <f>'2017-18_working'!D26</f>
        <v>0</v>
      </c>
      <c r="D26" s="24">
        <f>'2017-18_working'!E26</f>
        <v>0</v>
      </c>
      <c r="E26" s="24">
        <f>'2017-18_working'!F26</f>
        <v>0</v>
      </c>
      <c r="F26" s="24">
        <f>'2017-18_working'!G26+'2017-18_working'!H26</f>
        <v>0</v>
      </c>
      <c r="G26" s="24">
        <f>'2017-18_working'!I26</f>
        <v>13</v>
      </c>
      <c r="H26" s="46">
        <f t="shared" si="19"/>
        <v>0</v>
      </c>
      <c r="I26" s="46">
        <f t="shared" si="20"/>
        <v>0.23214285714285715</v>
      </c>
      <c r="J26" s="24"/>
      <c r="K26" s="24">
        <f>'2017-18_working'!K26+'2017-18_working'!L26</f>
        <v>90</v>
      </c>
      <c r="L26" s="24">
        <f>'2017-18_working'!M26</f>
        <v>1</v>
      </c>
      <c r="M26" s="24">
        <f>'2017-18_working'!N26</f>
        <v>0</v>
      </c>
      <c r="N26" s="24">
        <f>'2017-18_working'!O26</f>
        <v>0</v>
      </c>
      <c r="O26" s="24">
        <f>'2017-18_working'!P26+'2017-18_working'!Q26</f>
        <v>0</v>
      </c>
      <c r="P26" s="24">
        <f>'2017-18_working'!R26</f>
        <v>8</v>
      </c>
      <c r="Q26" s="46">
        <f t="shared" si="26"/>
        <v>1.098901098901099E-2</v>
      </c>
      <c r="R26" s="46">
        <f t="shared" si="27"/>
        <v>8.0808080808080815E-2</v>
      </c>
      <c r="S26" s="24"/>
      <c r="T26" s="22">
        <f t="shared" si="28"/>
        <v>133</v>
      </c>
      <c r="U26" s="22">
        <f t="shared" si="29"/>
        <v>1</v>
      </c>
      <c r="V26" s="22">
        <f t="shared" si="30"/>
        <v>0</v>
      </c>
      <c r="W26" s="22">
        <f t="shared" si="31"/>
        <v>0</v>
      </c>
      <c r="X26" s="22">
        <f t="shared" si="32"/>
        <v>0</v>
      </c>
      <c r="Y26" s="22">
        <f t="shared" si="33"/>
        <v>21</v>
      </c>
      <c r="Z26" s="46">
        <f t="shared" si="34"/>
        <v>7.462686567164179E-3</v>
      </c>
      <c r="AA26" s="46">
        <f t="shared" si="35"/>
        <v>0.13548387096774195</v>
      </c>
      <c r="AB26" s="24"/>
      <c r="AC26" s="24">
        <f>'2017-18_working'!T26+'2017-18_working'!U26</f>
        <v>2</v>
      </c>
      <c r="AD26" s="24">
        <f>'2017-18_working'!V26</f>
        <v>0</v>
      </c>
      <c r="AE26" s="24">
        <f>'2017-18_working'!W26</f>
        <v>0</v>
      </c>
      <c r="AF26" s="24">
        <f>'2017-18_working'!X26</f>
        <v>0</v>
      </c>
      <c r="AG26" s="24">
        <f>'2017-18_working'!Y26+'2017-18_working'!Z26</f>
        <v>0</v>
      </c>
      <c r="AH26" s="24">
        <f>'2017-18_working'!AA26</f>
        <v>0</v>
      </c>
      <c r="AI26" s="46">
        <f t="shared" si="41"/>
        <v>0</v>
      </c>
      <c r="AJ26" s="46">
        <f t="shared" si="42"/>
        <v>0</v>
      </c>
      <c r="AK26" s="24"/>
      <c r="AL26" s="24">
        <f>'2017-18_working'!AC26+'2017-18_working'!AD26</f>
        <v>46</v>
      </c>
      <c r="AM26" s="24">
        <f>'2017-18_working'!AE26</f>
        <v>1</v>
      </c>
      <c r="AN26" s="24">
        <f>'2017-18_working'!AF26</f>
        <v>1</v>
      </c>
      <c r="AO26" s="24">
        <f>'2017-18_working'!AG26</f>
        <v>1</v>
      </c>
      <c r="AP26" s="24">
        <f>'2017-18_working'!AH26+'2017-18_working'!AI26</f>
        <v>0</v>
      </c>
      <c r="AQ26" s="24">
        <f>'2017-18_working'!AJ26</f>
        <v>3</v>
      </c>
      <c r="AR26" s="46">
        <f t="shared" si="48"/>
        <v>6.1224489795918366E-2</v>
      </c>
      <c r="AS26" s="46">
        <f t="shared" si="49"/>
        <v>5.7692307692307696E-2</v>
      </c>
      <c r="AT26" s="24"/>
      <c r="AU26" s="22">
        <f t="shared" si="50"/>
        <v>181</v>
      </c>
      <c r="AV26" s="22">
        <f t="shared" si="51"/>
        <v>2</v>
      </c>
      <c r="AW26" s="22">
        <f t="shared" si="52"/>
        <v>1</v>
      </c>
      <c r="AX26" s="22">
        <f t="shared" si="53"/>
        <v>1</v>
      </c>
      <c r="AY26" s="22">
        <f t="shared" si="54"/>
        <v>0</v>
      </c>
      <c r="AZ26" s="22">
        <f t="shared" si="55"/>
        <v>24</v>
      </c>
      <c r="BA26" s="46">
        <f t="shared" si="56"/>
        <v>2.1621621621621623E-2</v>
      </c>
      <c r="BB26" s="46">
        <f t="shared" si="57"/>
        <v>0.11483253588516747</v>
      </c>
      <c r="BC26" s="19"/>
      <c r="BD26" s="20">
        <f t="shared" si="58"/>
        <v>209</v>
      </c>
      <c r="BE26" s="20">
        <v>209</v>
      </c>
      <c r="BF26" s="53">
        <f t="shared" si="59"/>
        <v>0</v>
      </c>
      <c r="BG26" s="19"/>
      <c r="BH26" s="19"/>
      <c r="BI26" s="19"/>
      <c r="BJ26" s="19"/>
      <c r="BK26" s="19"/>
    </row>
    <row r="27" spans="1:63" s="8" customFormat="1" ht="15" customHeight="1" x14ac:dyDescent="0.35">
      <c r="A27" s="2" t="s">
        <v>34</v>
      </c>
      <c r="B27" s="24">
        <f>'2017-18_working'!B27+'2017-18_working'!C27</f>
        <v>21</v>
      </c>
      <c r="C27" s="24">
        <f>'2017-18_working'!D27</f>
        <v>0</v>
      </c>
      <c r="D27" s="24">
        <f>'2017-18_working'!E27</f>
        <v>0</v>
      </c>
      <c r="E27" s="24">
        <f>'2017-18_working'!F27</f>
        <v>0</v>
      </c>
      <c r="F27" s="24">
        <f>'2017-18_working'!G27+'2017-18_working'!H27</f>
        <v>0</v>
      </c>
      <c r="G27" s="24">
        <f>'2017-18_working'!I27</f>
        <v>0</v>
      </c>
      <c r="H27" s="46">
        <f t="shared" si="19"/>
        <v>0</v>
      </c>
      <c r="I27" s="46">
        <f t="shared" si="20"/>
        <v>0</v>
      </c>
      <c r="J27" s="24"/>
      <c r="K27" s="24">
        <f>'2017-18_working'!K27+'2017-18_working'!L27</f>
        <v>34</v>
      </c>
      <c r="L27" s="24">
        <f>'2017-18_working'!M27</f>
        <v>1</v>
      </c>
      <c r="M27" s="24">
        <f>'2017-18_working'!N27</f>
        <v>0</v>
      </c>
      <c r="N27" s="24">
        <f>'2017-18_working'!O27</f>
        <v>0</v>
      </c>
      <c r="O27" s="24">
        <f>'2017-18_working'!P27+'2017-18_working'!Q27</f>
        <v>0</v>
      </c>
      <c r="P27" s="24">
        <f>'2017-18_working'!R27</f>
        <v>2</v>
      </c>
      <c r="Q27" s="46">
        <f t="shared" si="26"/>
        <v>2.8571428571428571E-2</v>
      </c>
      <c r="R27" s="46">
        <f t="shared" si="27"/>
        <v>5.4054054054054057E-2</v>
      </c>
      <c r="S27" s="24"/>
      <c r="T27" s="22">
        <f t="shared" si="28"/>
        <v>55</v>
      </c>
      <c r="U27" s="22">
        <f t="shared" si="29"/>
        <v>1</v>
      </c>
      <c r="V27" s="22">
        <f t="shared" si="30"/>
        <v>0</v>
      </c>
      <c r="W27" s="22">
        <f t="shared" si="31"/>
        <v>0</v>
      </c>
      <c r="X27" s="22">
        <f t="shared" si="32"/>
        <v>0</v>
      </c>
      <c r="Y27" s="22">
        <f t="shared" si="33"/>
        <v>2</v>
      </c>
      <c r="Z27" s="46">
        <f t="shared" si="34"/>
        <v>1.7857142857142856E-2</v>
      </c>
      <c r="AA27" s="46">
        <f t="shared" si="35"/>
        <v>3.4482758620689655E-2</v>
      </c>
      <c r="AB27" s="24"/>
      <c r="AC27" s="24">
        <f>'2017-18_working'!T27+'2017-18_working'!U27</f>
        <v>2</v>
      </c>
      <c r="AD27" s="24">
        <f>'2017-18_working'!V27</f>
        <v>0</v>
      </c>
      <c r="AE27" s="24">
        <f>'2017-18_working'!W27</f>
        <v>0</v>
      </c>
      <c r="AF27" s="24">
        <f>'2017-18_working'!X27</f>
        <v>0</v>
      </c>
      <c r="AG27" s="24">
        <f>'2017-18_working'!Y27+'2017-18_working'!Z27</f>
        <v>0</v>
      </c>
      <c r="AH27" s="24">
        <f>'2017-18_working'!AA27</f>
        <v>0</v>
      </c>
      <c r="AI27" s="46">
        <f t="shared" si="41"/>
        <v>0</v>
      </c>
      <c r="AJ27" s="46">
        <f t="shared" si="42"/>
        <v>0</v>
      </c>
      <c r="AK27" s="24"/>
      <c r="AL27" s="24">
        <f>'2017-18_working'!AC27+'2017-18_working'!AD27</f>
        <v>12</v>
      </c>
      <c r="AM27" s="24">
        <f>'2017-18_working'!AE27</f>
        <v>0</v>
      </c>
      <c r="AN27" s="24">
        <f>'2017-18_working'!AF27</f>
        <v>0</v>
      </c>
      <c r="AO27" s="24">
        <f>'2017-18_working'!AG27</f>
        <v>0</v>
      </c>
      <c r="AP27" s="24">
        <f>'2017-18_working'!AH27+'2017-18_working'!AI27</f>
        <v>0</v>
      </c>
      <c r="AQ27" s="24">
        <f>'2017-18_working'!AJ27</f>
        <v>2</v>
      </c>
      <c r="AR27" s="46">
        <f t="shared" si="48"/>
        <v>0</v>
      </c>
      <c r="AS27" s="46">
        <f t="shared" si="49"/>
        <v>0.14285714285714285</v>
      </c>
      <c r="AT27" s="24"/>
      <c r="AU27" s="22">
        <f t="shared" si="50"/>
        <v>69</v>
      </c>
      <c r="AV27" s="22">
        <f t="shared" si="51"/>
        <v>1</v>
      </c>
      <c r="AW27" s="22">
        <f t="shared" si="52"/>
        <v>0</v>
      </c>
      <c r="AX27" s="22">
        <f t="shared" si="53"/>
        <v>0</v>
      </c>
      <c r="AY27" s="22">
        <f t="shared" si="54"/>
        <v>0</v>
      </c>
      <c r="AZ27" s="22">
        <f t="shared" si="55"/>
        <v>4</v>
      </c>
      <c r="BA27" s="46">
        <f t="shared" si="56"/>
        <v>1.4285714285714285E-2</v>
      </c>
      <c r="BB27" s="46">
        <f t="shared" si="57"/>
        <v>5.4054054054054057E-2</v>
      </c>
      <c r="BC27" s="19"/>
      <c r="BD27" s="20">
        <f t="shared" si="58"/>
        <v>74</v>
      </c>
      <c r="BE27" s="20">
        <v>74</v>
      </c>
      <c r="BF27" s="53">
        <f t="shared" si="59"/>
        <v>0</v>
      </c>
      <c r="BG27" s="19"/>
      <c r="BH27" s="19"/>
      <c r="BI27" s="19"/>
      <c r="BJ27" s="19"/>
      <c r="BK27" s="19"/>
    </row>
    <row r="28" spans="1:63" s="8" customFormat="1" ht="15" customHeight="1" x14ac:dyDescent="0.35">
      <c r="A28" s="2" t="s">
        <v>35</v>
      </c>
      <c r="B28" s="24">
        <f>'2017-18_working'!B28+'2017-18_working'!C28</f>
        <v>34</v>
      </c>
      <c r="C28" s="24">
        <f>'2017-18_working'!D28</f>
        <v>2</v>
      </c>
      <c r="D28" s="24">
        <f>'2017-18_working'!E28</f>
        <v>0</v>
      </c>
      <c r="E28" s="24">
        <f>'2017-18_working'!F28</f>
        <v>0</v>
      </c>
      <c r="F28" s="24">
        <f>'2017-18_working'!G28+'2017-18_working'!H28</f>
        <v>0</v>
      </c>
      <c r="G28" s="24">
        <f>'2017-18_working'!I28</f>
        <v>1</v>
      </c>
      <c r="H28" s="46">
        <f t="shared" si="19"/>
        <v>5.5555555555555552E-2</v>
      </c>
      <c r="I28" s="46">
        <f t="shared" si="20"/>
        <v>2.7027027027027029E-2</v>
      </c>
      <c r="J28" s="24"/>
      <c r="K28" s="24">
        <f>'2017-18_working'!K28+'2017-18_working'!L28</f>
        <v>35</v>
      </c>
      <c r="L28" s="24">
        <f>'2017-18_working'!M28</f>
        <v>0</v>
      </c>
      <c r="M28" s="24">
        <f>'2017-18_working'!N28</f>
        <v>0</v>
      </c>
      <c r="N28" s="24">
        <f>'2017-18_working'!O28</f>
        <v>0</v>
      </c>
      <c r="O28" s="24">
        <f>'2017-18_working'!P28+'2017-18_working'!Q28</f>
        <v>0</v>
      </c>
      <c r="P28" s="24">
        <f>'2017-18_working'!R28</f>
        <v>0</v>
      </c>
      <c r="Q28" s="46">
        <f t="shared" si="26"/>
        <v>0</v>
      </c>
      <c r="R28" s="46">
        <f t="shared" si="27"/>
        <v>0</v>
      </c>
      <c r="S28" s="24"/>
      <c r="T28" s="22">
        <f t="shared" si="28"/>
        <v>69</v>
      </c>
      <c r="U28" s="22">
        <f t="shared" si="29"/>
        <v>2</v>
      </c>
      <c r="V28" s="22">
        <f t="shared" si="30"/>
        <v>0</v>
      </c>
      <c r="W28" s="22">
        <f t="shared" si="31"/>
        <v>0</v>
      </c>
      <c r="X28" s="22">
        <f t="shared" si="32"/>
        <v>0</v>
      </c>
      <c r="Y28" s="22">
        <f t="shared" si="33"/>
        <v>1</v>
      </c>
      <c r="Z28" s="46">
        <f t="shared" si="34"/>
        <v>2.8169014084507043E-2</v>
      </c>
      <c r="AA28" s="46">
        <f t="shared" si="35"/>
        <v>1.3888888888888888E-2</v>
      </c>
      <c r="AB28" s="24"/>
      <c r="AC28" s="24">
        <f>'2017-18_working'!T28+'2017-18_working'!U28</f>
        <v>0</v>
      </c>
      <c r="AD28" s="24">
        <f>'2017-18_working'!V28</f>
        <v>0</v>
      </c>
      <c r="AE28" s="24">
        <f>'2017-18_working'!W28</f>
        <v>0</v>
      </c>
      <c r="AF28" s="24">
        <f>'2017-18_working'!X28</f>
        <v>0</v>
      </c>
      <c r="AG28" s="24">
        <f>'2017-18_working'!Y28+'2017-18_working'!Z28</f>
        <v>0</v>
      </c>
      <c r="AH28" s="24">
        <f>'2017-18_working'!AA28</f>
        <v>0</v>
      </c>
      <c r="AI28" s="46" t="str">
        <f t="shared" si="41"/>
        <v>-</v>
      </c>
      <c r="AJ28" s="46" t="str">
        <f t="shared" si="42"/>
        <v>-</v>
      </c>
      <c r="AK28" s="24"/>
      <c r="AL28" s="24">
        <f>'2017-18_working'!AC28+'2017-18_working'!AD28</f>
        <v>16</v>
      </c>
      <c r="AM28" s="24">
        <f>'2017-18_working'!AE28</f>
        <v>2</v>
      </c>
      <c r="AN28" s="24">
        <f>'2017-18_working'!AF28</f>
        <v>0</v>
      </c>
      <c r="AO28" s="24">
        <f>'2017-18_working'!AG28</f>
        <v>1</v>
      </c>
      <c r="AP28" s="24">
        <f>'2017-18_working'!AH28+'2017-18_working'!AI28</f>
        <v>1</v>
      </c>
      <c r="AQ28" s="24">
        <f>'2017-18_working'!AJ28</f>
        <v>0</v>
      </c>
      <c r="AR28" s="46">
        <f t="shared" si="48"/>
        <v>0.2</v>
      </c>
      <c r="AS28" s="46">
        <f t="shared" si="49"/>
        <v>0</v>
      </c>
      <c r="AT28" s="24"/>
      <c r="AU28" s="22">
        <f t="shared" si="50"/>
        <v>85</v>
      </c>
      <c r="AV28" s="22">
        <f t="shared" si="51"/>
        <v>4</v>
      </c>
      <c r="AW28" s="22">
        <f t="shared" si="52"/>
        <v>0</v>
      </c>
      <c r="AX28" s="22">
        <f t="shared" si="53"/>
        <v>1</v>
      </c>
      <c r="AY28" s="22">
        <f t="shared" si="54"/>
        <v>1</v>
      </c>
      <c r="AZ28" s="22">
        <f t="shared" si="55"/>
        <v>1</v>
      </c>
      <c r="BA28" s="46">
        <f t="shared" si="56"/>
        <v>6.5934065934065936E-2</v>
      </c>
      <c r="BB28" s="46">
        <f t="shared" si="57"/>
        <v>1.0869565217391304E-2</v>
      </c>
      <c r="BC28" s="19"/>
      <c r="BD28" s="20">
        <f t="shared" si="58"/>
        <v>92</v>
      </c>
      <c r="BE28" s="20">
        <v>92</v>
      </c>
      <c r="BF28" s="53">
        <f t="shared" si="59"/>
        <v>0</v>
      </c>
      <c r="BG28" s="19"/>
      <c r="BH28" s="19"/>
      <c r="BI28" s="19"/>
      <c r="BJ28" s="19"/>
      <c r="BK28" s="19"/>
    </row>
    <row r="29" spans="1:63" s="8" customFormat="1" ht="15" customHeight="1" x14ac:dyDescent="0.35">
      <c r="A29" s="2" t="s">
        <v>36</v>
      </c>
      <c r="B29" s="24">
        <f>'2017-18_working'!B29+'2017-18_working'!C29</f>
        <v>22</v>
      </c>
      <c r="C29" s="24">
        <f>'2017-18_working'!D29</f>
        <v>0</v>
      </c>
      <c r="D29" s="24">
        <f>'2017-18_working'!E29</f>
        <v>0</v>
      </c>
      <c r="E29" s="24">
        <f>'2017-18_working'!F29</f>
        <v>0</v>
      </c>
      <c r="F29" s="24">
        <f>'2017-18_working'!G29+'2017-18_working'!H29</f>
        <v>0</v>
      </c>
      <c r="G29" s="24">
        <f>'2017-18_working'!I29</f>
        <v>0</v>
      </c>
      <c r="H29" s="46">
        <f t="shared" si="19"/>
        <v>0</v>
      </c>
      <c r="I29" s="46">
        <f t="shared" si="20"/>
        <v>0</v>
      </c>
      <c r="J29" s="24"/>
      <c r="K29" s="24">
        <f>'2017-18_working'!K29+'2017-18_working'!L29</f>
        <v>46</v>
      </c>
      <c r="L29" s="24">
        <f>'2017-18_working'!M29</f>
        <v>0</v>
      </c>
      <c r="M29" s="24">
        <f>'2017-18_working'!N29</f>
        <v>0</v>
      </c>
      <c r="N29" s="24">
        <f>'2017-18_working'!O29</f>
        <v>0</v>
      </c>
      <c r="O29" s="24">
        <f>'2017-18_working'!P29+'2017-18_working'!Q29</f>
        <v>0</v>
      </c>
      <c r="P29" s="24">
        <f>'2017-18_working'!R29</f>
        <v>0</v>
      </c>
      <c r="Q29" s="46">
        <f t="shared" si="26"/>
        <v>0</v>
      </c>
      <c r="R29" s="46">
        <f t="shared" si="27"/>
        <v>0</v>
      </c>
      <c r="S29" s="24"/>
      <c r="T29" s="22">
        <f t="shared" si="28"/>
        <v>68</v>
      </c>
      <c r="U29" s="22">
        <f t="shared" si="29"/>
        <v>0</v>
      </c>
      <c r="V29" s="22">
        <f t="shared" si="30"/>
        <v>0</v>
      </c>
      <c r="W29" s="22">
        <f t="shared" si="31"/>
        <v>0</v>
      </c>
      <c r="X29" s="22">
        <f t="shared" si="32"/>
        <v>0</v>
      </c>
      <c r="Y29" s="22">
        <f t="shared" si="33"/>
        <v>0</v>
      </c>
      <c r="Z29" s="46">
        <f t="shared" si="34"/>
        <v>0</v>
      </c>
      <c r="AA29" s="46">
        <f t="shared" si="35"/>
        <v>0</v>
      </c>
      <c r="AB29" s="24"/>
      <c r="AC29" s="24">
        <f>'2017-18_working'!T29+'2017-18_working'!U29</f>
        <v>2</v>
      </c>
      <c r="AD29" s="24">
        <f>'2017-18_working'!V29</f>
        <v>0</v>
      </c>
      <c r="AE29" s="24">
        <f>'2017-18_working'!W29</f>
        <v>0</v>
      </c>
      <c r="AF29" s="24">
        <f>'2017-18_working'!X29</f>
        <v>0</v>
      </c>
      <c r="AG29" s="24">
        <f>'2017-18_working'!Y29+'2017-18_working'!Z29</f>
        <v>0</v>
      </c>
      <c r="AH29" s="24">
        <f>'2017-18_working'!AA29</f>
        <v>0</v>
      </c>
      <c r="AI29" s="46">
        <f t="shared" si="41"/>
        <v>0</v>
      </c>
      <c r="AJ29" s="46">
        <f t="shared" si="42"/>
        <v>0</v>
      </c>
      <c r="AK29" s="24"/>
      <c r="AL29" s="24">
        <f>'2017-18_working'!AC29+'2017-18_working'!AD29</f>
        <v>27</v>
      </c>
      <c r="AM29" s="24">
        <f>'2017-18_working'!AE29</f>
        <v>5</v>
      </c>
      <c r="AN29" s="24">
        <f>'2017-18_working'!AF29</f>
        <v>2</v>
      </c>
      <c r="AO29" s="24">
        <f>'2017-18_working'!AG29</f>
        <v>0</v>
      </c>
      <c r="AP29" s="24">
        <f>'2017-18_working'!AH29+'2017-18_working'!AI29</f>
        <v>0</v>
      </c>
      <c r="AQ29" s="24">
        <f>'2017-18_working'!AJ29</f>
        <v>0</v>
      </c>
      <c r="AR29" s="46">
        <f t="shared" si="48"/>
        <v>0.20588235294117646</v>
      </c>
      <c r="AS29" s="46">
        <f t="shared" si="49"/>
        <v>0</v>
      </c>
      <c r="AT29" s="24"/>
      <c r="AU29" s="22">
        <f t="shared" si="50"/>
        <v>97</v>
      </c>
      <c r="AV29" s="22">
        <f t="shared" si="51"/>
        <v>5</v>
      </c>
      <c r="AW29" s="22">
        <f t="shared" si="52"/>
        <v>2</v>
      </c>
      <c r="AX29" s="22">
        <f t="shared" si="53"/>
        <v>0</v>
      </c>
      <c r="AY29" s="22">
        <f t="shared" si="54"/>
        <v>0</v>
      </c>
      <c r="AZ29" s="22">
        <f t="shared" si="55"/>
        <v>0</v>
      </c>
      <c r="BA29" s="46">
        <f t="shared" si="56"/>
        <v>6.7307692307692304E-2</v>
      </c>
      <c r="BB29" s="46">
        <f t="shared" si="57"/>
        <v>0</v>
      </c>
      <c r="BC29" s="19"/>
      <c r="BD29" s="20">
        <f t="shared" si="58"/>
        <v>104</v>
      </c>
      <c r="BE29" s="20">
        <v>104</v>
      </c>
      <c r="BF29" s="53">
        <f t="shared" si="59"/>
        <v>0</v>
      </c>
      <c r="BG29" s="19"/>
      <c r="BH29" s="19"/>
      <c r="BI29" s="19"/>
      <c r="BJ29" s="19"/>
      <c r="BK29" s="19"/>
    </row>
    <row r="30" spans="1:63" s="8" customFormat="1" ht="15" customHeight="1" x14ac:dyDescent="0.35">
      <c r="A30" s="2" t="s">
        <v>37</v>
      </c>
      <c r="B30" s="24">
        <f>'2017-18_working'!B30+'2017-18_working'!C30</f>
        <v>0</v>
      </c>
      <c r="C30" s="24">
        <f>'2017-18_working'!D30</f>
        <v>0</v>
      </c>
      <c r="D30" s="24">
        <f>'2017-18_working'!E30</f>
        <v>0</v>
      </c>
      <c r="E30" s="24">
        <f>'2017-18_working'!F30</f>
        <v>0</v>
      </c>
      <c r="F30" s="24">
        <f>'2017-18_working'!G30+'2017-18_working'!H30</f>
        <v>0</v>
      </c>
      <c r="G30" s="24">
        <f>'2017-18_working'!I30</f>
        <v>0</v>
      </c>
      <c r="H30" s="46" t="str">
        <f t="shared" si="19"/>
        <v>-</v>
      </c>
      <c r="I30" s="46" t="str">
        <f t="shared" si="20"/>
        <v>-</v>
      </c>
      <c r="J30" s="24"/>
      <c r="K30" s="24">
        <f>'2017-18_working'!K30+'2017-18_working'!L30</f>
        <v>0</v>
      </c>
      <c r="L30" s="24">
        <f>'2017-18_working'!M30</f>
        <v>0</v>
      </c>
      <c r="M30" s="24">
        <f>'2017-18_working'!N30</f>
        <v>0</v>
      </c>
      <c r="N30" s="24">
        <f>'2017-18_working'!O30</f>
        <v>0</v>
      </c>
      <c r="O30" s="24">
        <f>'2017-18_working'!P30+'2017-18_working'!Q30</f>
        <v>0</v>
      </c>
      <c r="P30" s="24">
        <f>'2017-18_working'!R30</f>
        <v>0</v>
      </c>
      <c r="Q30" s="46" t="str">
        <f t="shared" si="26"/>
        <v>-</v>
      </c>
      <c r="R30" s="46" t="str">
        <f t="shared" si="27"/>
        <v>-</v>
      </c>
      <c r="S30" s="24"/>
      <c r="T30" s="22">
        <f t="shared" si="28"/>
        <v>0</v>
      </c>
      <c r="U30" s="22">
        <f t="shared" si="29"/>
        <v>0</v>
      </c>
      <c r="V30" s="22">
        <f t="shared" si="30"/>
        <v>0</v>
      </c>
      <c r="W30" s="22">
        <f t="shared" si="31"/>
        <v>0</v>
      </c>
      <c r="X30" s="22">
        <f t="shared" si="32"/>
        <v>0</v>
      </c>
      <c r="Y30" s="22">
        <f t="shared" si="33"/>
        <v>0</v>
      </c>
      <c r="Z30" s="46" t="str">
        <f t="shared" si="34"/>
        <v>-</v>
      </c>
      <c r="AA30" s="46" t="str">
        <f t="shared" si="35"/>
        <v>-</v>
      </c>
      <c r="AB30" s="24"/>
      <c r="AC30" s="24">
        <f>'2017-18_working'!T30+'2017-18_working'!U30</f>
        <v>0</v>
      </c>
      <c r="AD30" s="24">
        <f>'2017-18_working'!V30</f>
        <v>0</v>
      </c>
      <c r="AE30" s="24">
        <f>'2017-18_working'!W30</f>
        <v>0</v>
      </c>
      <c r="AF30" s="24">
        <f>'2017-18_working'!X30</f>
        <v>0</v>
      </c>
      <c r="AG30" s="24">
        <f>'2017-18_working'!Y30+'2017-18_working'!Z30</f>
        <v>0</v>
      </c>
      <c r="AH30" s="24">
        <f>'2017-18_working'!AA30</f>
        <v>0</v>
      </c>
      <c r="AI30" s="46" t="str">
        <f t="shared" si="41"/>
        <v>-</v>
      </c>
      <c r="AJ30" s="46" t="str">
        <f t="shared" si="42"/>
        <v>-</v>
      </c>
      <c r="AK30" s="24"/>
      <c r="AL30" s="24">
        <f>'2017-18_working'!AC30+'2017-18_working'!AD30</f>
        <v>2</v>
      </c>
      <c r="AM30" s="24">
        <f>'2017-18_working'!AE30</f>
        <v>0</v>
      </c>
      <c r="AN30" s="24">
        <f>'2017-18_working'!AF30</f>
        <v>0</v>
      </c>
      <c r="AO30" s="24">
        <f>'2017-18_working'!AG30</f>
        <v>0</v>
      </c>
      <c r="AP30" s="24">
        <f>'2017-18_working'!AH30+'2017-18_working'!AI30</f>
        <v>0</v>
      </c>
      <c r="AQ30" s="24">
        <f>'2017-18_working'!AJ30</f>
        <v>0</v>
      </c>
      <c r="AR30" s="46">
        <f t="shared" si="48"/>
        <v>0</v>
      </c>
      <c r="AS30" s="46">
        <f t="shared" si="49"/>
        <v>0</v>
      </c>
      <c r="AT30" s="24"/>
      <c r="AU30" s="22">
        <f t="shared" si="50"/>
        <v>2</v>
      </c>
      <c r="AV30" s="22">
        <f t="shared" si="51"/>
        <v>0</v>
      </c>
      <c r="AW30" s="22">
        <f t="shared" si="52"/>
        <v>0</v>
      </c>
      <c r="AX30" s="22">
        <f t="shared" si="53"/>
        <v>0</v>
      </c>
      <c r="AY30" s="22">
        <f t="shared" si="54"/>
        <v>0</v>
      </c>
      <c r="AZ30" s="22">
        <f t="shared" si="55"/>
        <v>0</v>
      </c>
      <c r="BA30" s="46">
        <f t="shared" si="56"/>
        <v>0</v>
      </c>
      <c r="BB30" s="46">
        <f t="shared" si="57"/>
        <v>0</v>
      </c>
      <c r="BC30" s="19"/>
      <c r="BD30" s="20">
        <f t="shared" si="58"/>
        <v>2</v>
      </c>
      <c r="BE30" s="20">
        <v>2</v>
      </c>
      <c r="BF30" s="53">
        <f t="shared" si="59"/>
        <v>0</v>
      </c>
      <c r="BG30" s="19"/>
      <c r="BH30" s="19"/>
      <c r="BI30" s="19"/>
      <c r="BJ30" s="19"/>
      <c r="BK30" s="19"/>
    </row>
    <row r="31" spans="1:63" s="8" customFormat="1" ht="15" customHeight="1" x14ac:dyDescent="0.35">
      <c r="A31" s="3" t="s">
        <v>38</v>
      </c>
      <c r="B31" s="24">
        <f>'2017-18_working'!B31+'2017-18_working'!C31</f>
        <v>4</v>
      </c>
      <c r="C31" s="24">
        <f>'2017-18_working'!D31</f>
        <v>0</v>
      </c>
      <c r="D31" s="24">
        <f>'2017-18_working'!E31</f>
        <v>0</v>
      </c>
      <c r="E31" s="24">
        <f>'2017-18_working'!F31</f>
        <v>0</v>
      </c>
      <c r="F31" s="24">
        <f>'2017-18_working'!G31+'2017-18_working'!H31</f>
        <v>0</v>
      </c>
      <c r="G31" s="24">
        <f>'2017-18_working'!I31</f>
        <v>25</v>
      </c>
      <c r="H31" s="46">
        <f t="shared" si="19"/>
        <v>0</v>
      </c>
      <c r="I31" s="46">
        <f t="shared" si="20"/>
        <v>0.86206896551724133</v>
      </c>
      <c r="J31" s="24"/>
      <c r="K31" s="24">
        <f>'2017-18_working'!K31+'2017-18_working'!L31</f>
        <v>8</v>
      </c>
      <c r="L31" s="24">
        <f>'2017-18_working'!M31</f>
        <v>0</v>
      </c>
      <c r="M31" s="24">
        <f>'2017-18_working'!N31</f>
        <v>0</v>
      </c>
      <c r="N31" s="24">
        <f>'2017-18_working'!O31</f>
        <v>0</v>
      </c>
      <c r="O31" s="24">
        <f>'2017-18_working'!P31+'2017-18_working'!Q31</f>
        <v>0</v>
      </c>
      <c r="P31" s="24">
        <f>'2017-18_working'!R31</f>
        <v>48</v>
      </c>
      <c r="Q31" s="46">
        <f t="shared" si="26"/>
        <v>0</v>
      </c>
      <c r="R31" s="46">
        <f t="shared" si="27"/>
        <v>0.8571428571428571</v>
      </c>
      <c r="S31" s="24"/>
      <c r="T31" s="22">
        <f t="shared" si="28"/>
        <v>12</v>
      </c>
      <c r="U31" s="22">
        <f t="shared" si="29"/>
        <v>0</v>
      </c>
      <c r="V31" s="22">
        <f t="shared" si="30"/>
        <v>0</v>
      </c>
      <c r="W31" s="22">
        <f t="shared" si="31"/>
        <v>0</v>
      </c>
      <c r="X31" s="22">
        <f t="shared" si="32"/>
        <v>0</v>
      </c>
      <c r="Y31" s="22">
        <f t="shared" si="33"/>
        <v>73</v>
      </c>
      <c r="Z31" s="46">
        <f t="shared" si="34"/>
        <v>0</v>
      </c>
      <c r="AA31" s="46">
        <f t="shared" si="35"/>
        <v>0.85882352941176465</v>
      </c>
      <c r="AB31" s="24"/>
      <c r="AC31" s="24">
        <f>'2017-18_working'!T31+'2017-18_working'!U31</f>
        <v>1</v>
      </c>
      <c r="AD31" s="24">
        <f>'2017-18_working'!V31</f>
        <v>0</v>
      </c>
      <c r="AE31" s="24">
        <f>'2017-18_working'!W31</f>
        <v>0</v>
      </c>
      <c r="AF31" s="24">
        <f>'2017-18_working'!X31</f>
        <v>0</v>
      </c>
      <c r="AG31" s="24">
        <f>'2017-18_working'!Y31+'2017-18_working'!Z31</f>
        <v>0</v>
      </c>
      <c r="AH31" s="24">
        <f>'2017-18_working'!AA31</f>
        <v>7</v>
      </c>
      <c r="AI31" s="46">
        <f t="shared" si="41"/>
        <v>0</v>
      </c>
      <c r="AJ31" s="46">
        <f t="shared" si="42"/>
        <v>0.875</v>
      </c>
      <c r="AK31" s="24"/>
      <c r="AL31" s="24">
        <f>'2017-18_working'!AC31+'2017-18_working'!AD31</f>
        <v>13</v>
      </c>
      <c r="AM31" s="24">
        <f>'2017-18_working'!AE31</f>
        <v>1</v>
      </c>
      <c r="AN31" s="24">
        <f>'2017-18_working'!AF31</f>
        <v>1</v>
      </c>
      <c r="AO31" s="24">
        <f>'2017-18_working'!AG31</f>
        <v>0</v>
      </c>
      <c r="AP31" s="24">
        <f>'2017-18_working'!AH31+'2017-18_working'!AI31</f>
        <v>0</v>
      </c>
      <c r="AQ31" s="24">
        <f>'2017-18_working'!AJ31</f>
        <v>37</v>
      </c>
      <c r="AR31" s="46">
        <f t="shared" si="48"/>
        <v>0.13333333333333333</v>
      </c>
      <c r="AS31" s="46">
        <f t="shared" si="49"/>
        <v>0.71153846153846156</v>
      </c>
      <c r="AT31" s="24"/>
      <c r="AU31" s="22">
        <f t="shared" si="50"/>
        <v>26</v>
      </c>
      <c r="AV31" s="22">
        <f t="shared" si="51"/>
        <v>1</v>
      </c>
      <c r="AW31" s="22">
        <f t="shared" si="52"/>
        <v>1</v>
      </c>
      <c r="AX31" s="22">
        <f t="shared" si="53"/>
        <v>0</v>
      </c>
      <c r="AY31" s="22">
        <f t="shared" si="54"/>
        <v>0</v>
      </c>
      <c r="AZ31" s="22">
        <f t="shared" si="55"/>
        <v>117</v>
      </c>
      <c r="BA31" s="46">
        <f t="shared" si="56"/>
        <v>7.1428571428571425E-2</v>
      </c>
      <c r="BB31" s="46">
        <f t="shared" si="57"/>
        <v>0.80689655172413788</v>
      </c>
      <c r="BC31" s="19"/>
      <c r="BD31" s="20">
        <f t="shared" si="58"/>
        <v>145</v>
      </c>
      <c r="BE31" s="20">
        <v>145</v>
      </c>
      <c r="BF31" s="53">
        <f t="shared" si="59"/>
        <v>0</v>
      </c>
      <c r="BG31" s="19"/>
      <c r="BH31" s="19"/>
      <c r="BI31" s="19"/>
      <c r="BJ31" s="19"/>
      <c r="BK31" s="19"/>
    </row>
    <row r="32" spans="1:63" s="8" customFormat="1" ht="15" customHeight="1" x14ac:dyDescent="0.35">
      <c r="A32" s="3" t="s">
        <v>39</v>
      </c>
      <c r="B32" s="24">
        <f>'2017-18_working'!B32+'2017-18_working'!C32</f>
        <v>52</v>
      </c>
      <c r="C32" s="24">
        <f>'2017-18_working'!D32</f>
        <v>2</v>
      </c>
      <c r="D32" s="24">
        <f>'2017-18_working'!E32</f>
        <v>2</v>
      </c>
      <c r="E32" s="24">
        <f>'2017-18_working'!F32</f>
        <v>0</v>
      </c>
      <c r="F32" s="24">
        <f>'2017-18_working'!G32+'2017-18_working'!H32</f>
        <v>0</v>
      </c>
      <c r="G32" s="24">
        <f>'2017-18_working'!I32</f>
        <v>0</v>
      </c>
      <c r="H32" s="46">
        <f t="shared" si="19"/>
        <v>7.1428571428571425E-2</v>
      </c>
      <c r="I32" s="46">
        <f t="shared" si="20"/>
        <v>0</v>
      </c>
      <c r="J32" s="24"/>
      <c r="K32" s="24">
        <f>'2017-18_working'!K32+'2017-18_working'!L32</f>
        <v>47</v>
      </c>
      <c r="L32" s="24">
        <f>'2017-18_working'!M32</f>
        <v>1</v>
      </c>
      <c r="M32" s="24">
        <f>'2017-18_working'!N32</f>
        <v>0</v>
      </c>
      <c r="N32" s="24">
        <f>'2017-18_working'!O32</f>
        <v>0</v>
      </c>
      <c r="O32" s="24">
        <f>'2017-18_working'!P32+'2017-18_working'!Q32</f>
        <v>0</v>
      </c>
      <c r="P32" s="24">
        <f>'2017-18_working'!R32</f>
        <v>9</v>
      </c>
      <c r="Q32" s="46">
        <f t="shared" si="26"/>
        <v>2.0833333333333332E-2</v>
      </c>
      <c r="R32" s="46">
        <f t="shared" si="27"/>
        <v>0.15789473684210525</v>
      </c>
      <c r="S32" s="24"/>
      <c r="T32" s="22">
        <f t="shared" si="28"/>
        <v>99</v>
      </c>
      <c r="U32" s="22">
        <f t="shared" si="29"/>
        <v>3</v>
      </c>
      <c r="V32" s="22">
        <f t="shared" si="30"/>
        <v>2</v>
      </c>
      <c r="W32" s="22">
        <f t="shared" si="31"/>
        <v>0</v>
      </c>
      <c r="X32" s="22">
        <f t="shared" si="32"/>
        <v>0</v>
      </c>
      <c r="Y32" s="22">
        <f t="shared" si="33"/>
        <v>9</v>
      </c>
      <c r="Z32" s="46">
        <f t="shared" si="34"/>
        <v>4.807692307692308E-2</v>
      </c>
      <c r="AA32" s="46">
        <f t="shared" si="35"/>
        <v>7.9646017699115043E-2</v>
      </c>
      <c r="AB32" s="24"/>
      <c r="AC32" s="24">
        <f>'2017-18_working'!T32+'2017-18_working'!U32</f>
        <v>0</v>
      </c>
      <c r="AD32" s="24">
        <f>'2017-18_working'!V32</f>
        <v>0</v>
      </c>
      <c r="AE32" s="24">
        <f>'2017-18_working'!W32</f>
        <v>0</v>
      </c>
      <c r="AF32" s="24">
        <f>'2017-18_working'!X32</f>
        <v>0</v>
      </c>
      <c r="AG32" s="24">
        <f>'2017-18_working'!Y32+'2017-18_working'!Z32</f>
        <v>0</v>
      </c>
      <c r="AH32" s="24">
        <f>'2017-18_working'!AA32</f>
        <v>0</v>
      </c>
      <c r="AI32" s="46" t="str">
        <f t="shared" si="41"/>
        <v>-</v>
      </c>
      <c r="AJ32" s="46" t="str">
        <f t="shared" si="42"/>
        <v>-</v>
      </c>
      <c r="AK32" s="24"/>
      <c r="AL32" s="24">
        <f>'2017-18_working'!AC32+'2017-18_working'!AD32</f>
        <v>39</v>
      </c>
      <c r="AM32" s="24">
        <f>'2017-18_working'!AE32</f>
        <v>1</v>
      </c>
      <c r="AN32" s="24">
        <f>'2017-18_working'!AF32</f>
        <v>2</v>
      </c>
      <c r="AO32" s="24">
        <f>'2017-18_working'!AG32</f>
        <v>1</v>
      </c>
      <c r="AP32" s="24">
        <f>'2017-18_working'!AH32+'2017-18_working'!AI32</f>
        <v>0</v>
      </c>
      <c r="AQ32" s="24">
        <f>'2017-18_working'!AJ32</f>
        <v>2</v>
      </c>
      <c r="AR32" s="46">
        <f t="shared" si="48"/>
        <v>9.3023255813953487E-2</v>
      </c>
      <c r="AS32" s="46">
        <f t="shared" si="49"/>
        <v>4.4444444444444446E-2</v>
      </c>
      <c r="AT32" s="24"/>
      <c r="AU32" s="22">
        <f t="shared" si="50"/>
        <v>138</v>
      </c>
      <c r="AV32" s="22">
        <f t="shared" si="51"/>
        <v>4</v>
      </c>
      <c r="AW32" s="22">
        <f t="shared" si="52"/>
        <v>4</v>
      </c>
      <c r="AX32" s="22">
        <f t="shared" si="53"/>
        <v>1</v>
      </c>
      <c r="AY32" s="22">
        <f t="shared" si="54"/>
        <v>0</v>
      </c>
      <c r="AZ32" s="22">
        <f t="shared" si="55"/>
        <v>11</v>
      </c>
      <c r="BA32" s="46">
        <f t="shared" si="56"/>
        <v>6.1224489795918366E-2</v>
      </c>
      <c r="BB32" s="46">
        <f t="shared" si="57"/>
        <v>6.9620253164556958E-2</v>
      </c>
      <c r="BC32" s="19"/>
      <c r="BD32" s="20">
        <f t="shared" si="58"/>
        <v>158</v>
      </c>
      <c r="BE32" s="20">
        <v>158</v>
      </c>
      <c r="BF32" s="53">
        <f t="shared" si="59"/>
        <v>0</v>
      </c>
      <c r="BG32" s="19"/>
      <c r="BH32" s="19"/>
      <c r="BI32" s="19"/>
      <c r="BJ32" s="19"/>
      <c r="BK32" s="19"/>
    </row>
    <row r="33" spans="1:63" s="8" customFormat="1" ht="15" customHeight="1" x14ac:dyDescent="0.35">
      <c r="A33" s="2" t="s">
        <v>40</v>
      </c>
      <c r="B33" s="24">
        <f>'2017-18_working'!B33+'2017-18_working'!C33</f>
        <v>12</v>
      </c>
      <c r="C33" s="24">
        <f>'2017-18_working'!D33</f>
        <v>4</v>
      </c>
      <c r="D33" s="24">
        <f>'2017-18_working'!E33</f>
        <v>1</v>
      </c>
      <c r="E33" s="24">
        <f>'2017-18_working'!F33</f>
        <v>0</v>
      </c>
      <c r="F33" s="24">
        <f>'2017-18_working'!G33+'2017-18_working'!H33</f>
        <v>0</v>
      </c>
      <c r="G33" s="24">
        <f>'2017-18_working'!I33</f>
        <v>8</v>
      </c>
      <c r="H33" s="46">
        <f t="shared" si="19"/>
        <v>0.29411764705882354</v>
      </c>
      <c r="I33" s="46">
        <f t="shared" si="20"/>
        <v>0.32</v>
      </c>
      <c r="J33" s="24"/>
      <c r="K33" s="24">
        <f>'2017-18_working'!K33+'2017-18_working'!L33</f>
        <v>18</v>
      </c>
      <c r="L33" s="24">
        <f>'2017-18_working'!M33</f>
        <v>0</v>
      </c>
      <c r="M33" s="24">
        <f>'2017-18_working'!N33</f>
        <v>0</v>
      </c>
      <c r="N33" s="24">
        <f>'2017-18_working'!O33</f>
        <v>0</v>
      </c>
      <c r="O33" s="24">
        <f>'2017-18_working'!P33+'2017-18_working'!Q33</f>
        <v>0</v>
      </c>
      <c r="P33" s="24">
        <f>'2017-18_working'!R33</f>
        <v>9</v>
      </c>
      <c r="Q33" s="46">
        <f t="shared" si="26"/>
        <v>0</v>
      </c>
      <c r="R33" s="46">
        <f t="shared" si="27"/>
        <v>0.33333333333333331</v>
      </c>
      <c r="S33" s="24"/>
      <c r="T33" s="22">
        <f t="shared" si="28"/>
        <v>30</v>
      </c>
      <c r="U33" s="22">
        <f t="shared" si="29"/>
        <v>4</v>
      </c>
      <c r="V33" s="22">
        <f t="shared" si="30"/>
        <v>1</v>
      </c>
      <c r="W33" s="22">
        <f t="shared" si="31"/>
        <v>0</v>
      </c>
      <c r="X33" s="22">
        <f t="shared" si="32"/>
        <v>0</v>
      </c>
      <c r="Y33" s="22">
        <f t="shared" si="33"/>
        <v>17</v>
      </c>
      <c r="Z33" s="46">
        <f t="shared" si="34"/>
        <v>0.14285714285714285</v>
      </c>
      <c r="AA33" s="46">
        <f t="shared" si="35"/>
        <v>0.32692307692307693</v>
      </c>
      <c r="AB33" s="24"/>
      <c r="AC33" s="24">
        <f>'2017-18_working'!T33+'2017-18_working'!U33</f>
        <v>2</v>
      </c>
      <c r="AD33" s="24">
        <f>'2017-18_working'!V33</f>
        <v>0</v>
      </c>
      <c r="AE33" s="24">
        <f>'2017-18_working'!W33</f>
        <v>0</v>
      </c>
      <c r="AF33" s="24">
        <f>'2017-18_working'!X33</f>
        <v>0</v>
      </c>
      <c r="AG33" s="24">
        <f>'2017-18_working'!Y33+'2017-18_working'!Z33</f>
        <v>0</v>
      </c>
      <c r="AH33" s="24">
        <f>'2017-18_working'!AA33</f>
        <v>0</v>
      </c>
      <c r="AI33" s="46">
        <f t="shared" si="41"/>
        <v>0</v>
      </c>
      <c r="AJ33" s="46">
        <f t="shared" si="42"/>
        <v>0</v>
      </c>
      <c r="AK33" s="24"/>
      <c r="AL33" s="24">
        <f>'2017-18_working'!AC33+'2017-18_working'!AD33</f>
        <v>6</v>
      </c>
      <c r="AM33" s="24">
        <f>'2017-18_working'!AE33</f>
        <v>1</v>
      </c>
      <c r="AN33" s="24">
        <f>'2017-18_working'!AF33</f>
        <v>1</v>
      </c>
      <c r="AO33" s="24">
        <f>'2017-18_working'!AG33</f>
        <v>0</v>
      </c>
      <c r="AP33" s="24">
        <f>'2017-18_working'!AH33+'2017-18_working'!AI33</f>
        <v>0</v>
      </c>
      <c r="AQ33" s="24">
        <f>'2017-18_working'!AJ33</f>
        <v>4</v>
      </c>
      <c r="AR33" s="46">
        <f t="shared" si="48"/>
        <v>0.25</v>
      </c>
      <c r="AS33" s="46">
        <f t="shared" si="49"/>
        <v>0.33333333333333331</v>
      </c>
      <c r="AT33" s="24"/>
      <c r="AU33" s="22">
        <f t="shared" si="50"/>
        <v>38</v>
      </c>
      <c r="AV33" s="22">
        <f t="shared" si="51"/>
        <v>5</v>
      </c>
      <c r="AW33" s="22">
        <f t="shared" si="52"/>
        <v>2</v>
      </c>
      <c r="AX33" s="22">
        <f t="shared" si="53"/>
        <v>0</v>
      </c>
      <c r="AY33" s="22">
        <f t="shared" si="54"/>
        <v>0</v>
      </c>
      <c r="AZ33" s="22">
        <f t="shared" si="55"/>
        <v>21</v>
      </c>
      <c r="BA33" s="46">
        <f t="shared" si="56"/>
        <v>0.15555555555555556</v>
      </c>
      <c r="BB33" s="46">
        <f t="shared" si="57"/>
        <v>0.31818181818181818</v>
      </c>
      <c r="BC33" s="19"/>
      <c r="BD33" s="20">
        <f t="shared" si="58"/>
        <v>66</v>
      </c>
      <c r="BE33" s="20">
        <v>66</v>
      </c>
      <c r="BF33" s="53">
        <f t="shared" si="59"/>
        <v>0</v>
      </c>
      <c r="BG33" s="19"/>
      <c r="BH33" s="19"/>
      <c r="BI33" s="19"/>
      <c r="BJ33" s="19"/>
      <c r="BK33" s="19"/>
    </row>
    <row r="34" spans="1:63" s="8" customFormat="1" ht="15" customHeight="1" x14ac:dyDescent="0.35">
      <c r="A34" s="3" t="s">
        <v>41</v>
      </c>
      <c r="B34" s="24">
        <f>'2017-18_working'!B34+'2017-18_working'!C34</f>
        <v>10</v>
      </c>
      <c r="C34" s="24">
        <f>'2017-18_working'!D34</f>
        <v>0</v>
      </c>
      <c r="D34" s="24">
        <f>'2017-18_working'!E34</f>
        <v>0</v>
      </c>
      <c r="E34" s="24">
        <f>'2017-18_working'!F34</f>
        <v>0</v>
      </c>
      <c r="F34" s="24">
        <f>'2017-18_working'!G34+'2017-18_working'!H34</f>
        <v>0</v>
      </c>
      <c r="G34" s="24">
        <f>'2017-18_working'!I34</f>
        <v>0</v>
      </c>
      <c r="H34" s="46">
        <f t="shared" si="19"/>
        <v>0</v>
      </c>
      <c r="I34" s="46">
        <f t="shared" si="20"/>
        <v>0</v>
      </c>
      <c r="J34" s="24"/>
      <c r="K34" s="24">
        <f>'2017-18_working'!K34+'2017-18_working'!L34</f>
        <v>44</v>
      </c>
      <c r="L34" s="24">
        <f>'2017-18_working'!M34</f>
        <v>1</v>
      </c>
      <c r="M34" s="24">
        <f>'2017-18_working'!N34</f>
        <v>0</v>
      </c>
      <c r="N34" s="24">
        <f>'2017-18_working'!O34</f>
        <v>0</v>
      </c>
      <c r="O34" s="24">
        <f>'2017-18_working'!P34+'2017-18_working'!Q34</f>
        <v>0</v>
      </c>
      <c r="P34" s="24">
        <f>'2017-18_working'!R34</f>
        <v>0</v>
      </c>
      <c r="Q34" s="46">
        <f t="shared" si="26"/>
        <v>2.2222222222222223E-2</v>
      </c>
      <c r="R34" s="46">
        <f t="shared" si="27"/>
        <v>0</v>
      </c>
      <c r="S34" s="24"/>
      <c r="T34" s="22">
        <f t="shared" si="28"/>
        <v>54</v>
      </c>
      <c r="U34" s="22">
        <f t="shared" si="29"/>
        <v>1</v>
      </c>
      <c r="V34" s="22">
        <f t="shared" si="30"/>
        <v>0</v>
      </c>
      <c r="W34" s="22">
        <f t="shared" si="31"/>
        <v>0</v>
      </c>
      <c r="X34" s="22">
        <f t="shared" si="32"/>
        <v>0</v>
      </c>
      <c r="Y34" s="22">
        <f t="shared" si="33"/>
        <v>0</v>
      </c>
      <c r="Z34" s="46">
        <f t="shared" si="34"/>
        <v>1.8181818181818181E-2</v>
      </c>
      <c r="AA34" s="46">
        <f t="shared" si="35"/>
        <v>0</v>
      </c>
      <c r="AB34" s="24"/>
      <c r="AC34" s="24">
        <f>'2017-18_working'!T34+'2017-18_working'!U34</f>
        <v>2</v>
      </c>
      <c r="AD34" s="24">
        <f>'2017-18_working'!V34</f>
        <v>0</v>
      </c>
      <c r="AE34" s="24">
        <f>'2017-18_working'!W34</f>
        <v>0</v>
      </c>
      <c r="AF34" s="24">
        <f>'2017-18_working'!X34</f>
        <v>0</v>
      </c>
      <c r="AG34" s="24">
        <f>'2017-18_working'!Y34+'2017-18_working'!Z34</f>
        <v>0</v>
      </c>
      <c r="AH34" s="24">
        <f>'2017-18_working'!AA34</f>
        <v>0</v>
      </c>
      <c r="AI34" s="46">
        <f t="shared" si="41"/>
        <v>0</v>
      </c>
      <c r="AJ34" s="46">
        <f t="shared" si="42"/>
        <v>0</v>
      </c>
      <c r="AK34" s="24"/>
      <c r="AL34" s="24">
        <f>'2017-18_working'!AC34+'2017-18_working'!AD34</f>
        <v>3</v>
      </c>
      <c r="AM34" s="24">
        <f>'2017-18_working'!AE34</f>
        <v>0</v>
      </c>
      <c r="AN34" s="24">
        <f>'2017-18_working'!AF34</f>
        <v>0</v>
      </c>
      <c r="AO34" s="24">
        <f>'2017-18_working'!AG34</f>
        <v>0</v>
      </c>
      <c r="AP34" s="24">
        <f>'2017-18_working'!AH34+'2017-18_working'!AI34</f>
        <v>0</v>
      </c>
      <c r="AQ34" s="24">
        <f>'2017-18_working'!AJ34</f>
        <v>0</v>
      </c>
      <c r="AR34" s="46">
        <f t="shared" si="48"/>
        <v>0</v>
      </c>
      <c r="AS34" s="46">
        <f t="shared" si="49"/>
        <v>0</v>
      </c>
      <c r="AT34" s="24"/>
      <c r="AU34" s="22">
        <f t="shared" si="50"/>
        <v>59</v>
      </c>
      <c r="AV34" s="22">
        <f t="shared" si="51"/>
        <v>1</v>
      </c>
      <c r="AW34" s="22">
        <f t="shared" si="52"/>
        <v>0</v>
      </c>
      <c r="AX34" s="22">
        <f t="shared" si="53"/>
        <v>0</v>
      </c>
      <c r="AY34" s="22">
        <f t="shared" si="54"/>
        <v>0</v>
      </c>
      <c r="AZ34" s="22">
        <f t="shared" si="55"/>
        <v>0</v>
      </c>
      <c r="BA34" s="46">
        <f t="shared" si="56"/>
        <v>1.6666666666666666E-2</v>
      </c>
      <c r="BB34" s="46">
        <f t="shared" si="57"/>
        <v>0</v>
      </c>
      <c r="BC34" s="19"/>
      <c r="BD34" s="20">
        <f t="shared" si="58"/>
        <v>60</v>
      </c>
      <c r="BE34" s="20">
        <v>60</v>
      </c>
      <c r="BF34" s="53">
        <f t="shared" si="59"/>
        <v>0</v>
      </c>
      <c r="BG34" s="19"/>
      <c r="BH34" s="19"/>
      <c r="BI34" s="19"/>
      <c r="BJ34" s="19"/>
      <c r="BK34" s="19"/>
    </row>
    <row r="35" spans="1:63" s="8" customFormat="1" ht="15" customHeight="1" x14ac:dyDescent="0.35">
      <c r="A35" s="3" t="s">
        <v>42</v>
      </c>
      <c r="B35" s="24">
        <f>'2017-18_working'!B35+'2017-18_working'!C35</f>
        <v>16</v>
      </c>
      <c r="C35" s="24">
        <f>'2017-18_working'!D35</f>
        <v>0</v>
      </c>
      <c r="D35" s="24">
        <f>'2017-18_working'!E35</f>
        <v>0</v>
      </c>
      <c r="E35" s="24">
        <f>'2017-18_working'!F35</f>
        <v>0</v>
      </c>
      <c r="F35" s="24">
        <f>'2017-18_working'!G35+'2017-18_working'!H35</f>
        <v>0</v>
      </c>
      <c r="G35" s="24">
        <f>'2017-18_working'!I35</f>
        <v>3</v>
      </c>
      <c r="H35" s="46">
        <f t="shared" si="19"/>
        <v>0</v>
      </c>
      <c r="I35" s="46">
        <f t="shared" si="20"/>
        <v>0.15789473684210525</v>
      </c>
      <c r="J35" s="24"/>
      <c r="K35" s="24">
        <f>'2017-18_working'!K35+'2017-18_working'!L35</f>
        <v>44</v>
      </c>
      <c r="L35" s="24">
        <f>'2017-18_working'!M35</f>
        <v>0</v>
      </c>
      <c r="M35" s="24">
        <f>'2017-18_working'!N35</f>
        <v>0</v>
      </c>
      <c r="N35" s="24">
        <f>'2017-18_working'!O35</f>
        <v>0</v>
      </c>
      <c r="O35" s="24">
        <f>'2017-18_working'!P35+'2017-18_working'!Q35</f>
        <v>0</v>
      </c>
      <c r="P35" s="24">
        <f>'2017-18_working'!R35</f>
        <v>12</v>
      </c>
      <c r="Q35" s="46">
        <f t="shared" si="26"/>
        <v>0</v>
      </c>
      <c r="R35" s="46">
        <f t="shared" si="27"/>
        <v>0.21428571428571427</v>
      </c>
      <c r="S35" s="24"/>
      <c r="T35" s="22">
        <f t="shared" si="28"/>
        <v>60</v>
      </c>
      <c r="U35" s="22">
        <f t="shared" si="29"/>
        <v>0</v>
      </c>
      <c r="V35" s="22">
        <f t="shared" si="30"/>
        <v>0</v>
      </c>
      <c r="W35" s="22">
        <f t="shared" si="31"/>
        <v>0</v>
      </c>
      <c r="X35" s="22">
        <f t="shared" si="32"/>
        <v>0</v>
      </c>
      <c r="Y35" s="22">
        <f t="shared" si="33"/>
        <v>15</v>
      </c>
      <c r="Z35" s="46">
        <f t="shared" si="34"/>
        <v>0</v>
      </c>
      <c r="AA35" s="46">
        <f t="shared" si="35"/>
        <v>0.2</v>
      </c>
      <c r="AB35" s="24"/>
      <c r="AC35" s="24">
        <f>'2017-18_working'!T35+'2017-18_working'!U35</f>
        <v>4</v>
      </c>
      <c r="AD35" s="24">
        <f>'2017-18_working'!V35</f>
        <v>0</v>
      </c>
      <c r="AE35" s="24">
        <f>'2017-18_working'!W35</f>
        <v>0</v>
      </c>
      <c r="AF35" s="24">
        <f>'2017-18_working'!X35</f>
        <v>0</v>
      </c>
      <c r="AG35" s="24">
        <f>'2017-18_working'!Y35+'2017-18_working'!Z35</f>
        <v>0</v>
      </c>
      <c r="AH35" s="24">
        <f>'2017-18_working'!AA35</f>
        <v>0</v>
      </c>
      <c r="AI35" s="46">
        <f t="shared" si="41"/>
        <v>0</v>
      </c>
      <c r="AJ35" s="46">
        <f t="shared" si="42"/>
        <v>0</v>
      </c>
      <c r="AK35" s="24"/>
      <c r="AL35" s="24">
        <f>'2017-18_working'!AC35+'2017-18_working'!AD35</f>
        <v>13</v>
      </c>
      <c r="AM35" s="24">
        <f>'2017-18_working'!AE35</f>
        <v>0</v>
      </c>
      <c r="AN35" s="24">
        <f>'2017-18_working'!AF35</f>
        <v>0</v>
      </c>
      <c r="AO35" s="24">
        <f>'2017-18_working'!AG35</f>
        <v>0</v>
      </c>
      <c r="AP35" s="24">
        <f>'2017-18_working'!AH35+'2017-18_working'!AI35</f>
        <v>0</v>
      </c>
      <c r="AQ35" s="24">
        <f>'2017-18_working'!AJ35</f>
        <v>3</v>
      </c>
      <c r="AR35" s="46">
        <f t="shared" si="48"/>
        <v>0</v>
      </c>
      <c r="AS35" s="46">
        <f t="shared" si="49"/>
        <v>0.1875</v>
      </c>
      <c r="AT35" s="24"/>
      <c r="AU35" s="22">
        <f t="shared" si="50"/>
        <v>77</v>
      </c>
      <c r="AV35" s="22">
        <f t="shared" si="51"/>
        <v>0</v>
      </c>
      <c r="AW35" s="22">
        <f t="shared" si="52"/>
        <v>0</v>
      </c>
      <c r="AX35" s="22">
        <f t="shared" si="53"/>
        <v>0</v>
      </c>
      <c r="AY35" s="22">
        <f t="shared" si="54"/>
        <v>0</v>
      </c>
      <c r="AZ35" s="22">
        <f t="shared" si="55"/>
        <v>18</v>
      </c>
      <c r="BA35" s="46">
        <f t="shared" si="56"/>
        <v>0</v>
      </c>
      <c r="BB35" s="46">
        <f t="shared" si="57"/>
        <v>0.18947368421052632</v>
      </c>
      <c r="BC35" s="19"/>
      <c r="BD35" s="20">
        <f t="shared" si="58"/>
        <v>95</v>
      </c>
      <c r="BE35" s="20">
        <v>95</v>
      </c>
      <c r="BF35" s="53">
        <f t="shared" si="59"/>
        <v>0</v>
      </c>
      <c r="BG35" s="19"/>
      <c r="BH35" s="19"/>
      <c r="BI35" s="19"/>
      <c r="BJ35" s="19"/>
      <c r="BK35" s="19"/>
    </row>
    <row r="36" spans="1:63" s="8" customFormat="1" ht="15" customHeight="1" x14ac:dyDescent="0.35">
      <c r="A36" s="2" t="s">
        <v>43</v>
      </c>
      <c r="B36" s="24">
        <f>'2017-18_working'!B36+'2017-18_working'!C36</f>
        <v>0</v>
      </c>
      <c r="C36" s="24">
        <f>'2017-18_working'!D36</f>
        <v>0</v>
      </c>
      <c r="D36" s="24">
        <f>'2017-18_working'!E36</f>
        <v>0</v>
      </c>
      <c r="E36" s="24">
        <f>'2017-18_working'!F36</f>
        <v>0</v>
      </c>
      <c r="F36" s="24">
        <f>'2017-18_working'!G36+'2017-18_working'!H36</f>
        <v>0</v>
      </c>
      <c r="G36" s="24">
        <f>'2017-18_working'!I36</f>
        <v>0</v>
      </c>
      <c r="H36" s="46" t="str">
        <f t="shared" si="19"/>
        <v>-</v>
      </c>
      <c r="I36" s="46" t="str">
        <f t="shared" si="20"/>
        <v>-</v>
      </c>
      <c r="J36" s="24"/>
      <c r="K36" s="24">
        <f>'2017-18_working'!K36+'2017-18_working'!L36</f>
        <v>0</v>
      </c>
      <c r="L36" s="24">
        <f>'2017-18_working'!M36</f>
        <v>0</v>
      </c>
      <c r="M36" s="24">
        <f>'2017-18_working'!N36</f>
        <v>0</v>
      </c>
      <c r="N36" s="24">
        <f>'2017-18_working'!O36</f>
        <v>0</v>
      </c>
      <c r="O36" s="24">
        <f>'2017-18_working'!P36+'2017-18_working'!Q36</f>
        <v>0</v>
      </c>
      <c r="P36" s="24">
        <f>'2017-18_working'!R36</f>
        <v>0</v>
      </c>
      <c r="Q36" s="46" t="str">
        <f t="shared" si="26"/>
        <v>-</v>
      </c>
      <c r="R36" s="46" t="str">
        <f t="shared" si="27"/>
        <v>-</v>
      </c>
      <c r="S36" s="24"/>
      <c r="T36" s="22">
        <f t="shared" si="28"/>
        <v>0</v>
      </c>
      <c r="U36" s="22">
        <f t="shared" si="29"/>
        <v>0</v>
      </c>
      <c r="V36" s="22">
        <f t="shared" si="30"/>
        <v>0</v>
      </c>
      <c r="W36" s="22">
        <f t="shared" si="31"/>
        <v>0</v>
      </c>
      <c r="X36" s="22">
        <f t="shared" si="32"/>
        <v>0</v>
      </c>
      <c r="Y36" s="22">
        <f t="shared" si="33"/>
        <v>0</v>
      </c>
      <c r="Z36" s="46" t="str">
        <f t="shared" si="34"/>
        <v>-</v>
      </c>
      <c r="AA36" s="46" t="str">
        <f t="shared" si="35"/>
        <v>-</v>
      </c>
      <c r="AB36" s="24"/>
      <c r="AC36" s="24">
        <f>'2017-18_working'!T36+'2017-18_working'!U36</f>
        <v>10</v>
      </c>
      <c r="AD36" s="24">
        <f>'2017-18_working'!V36</f>
        <v>0</v>
      </c>
      <c r="AE36" s="24">
        <f>'2017-18_working'!W36</f>
        <v>0</v>
      </c>
      <c r="AF36" s="24">
        <f>'2017-18_working'!X36</f>
        <v>0</v>
      </c>
      <c r="AG36" s="24">
        <f>'2017-18_working'!Y36+'2017-18_working'!Z36</f>
        <v>0</v>
      </c>
      <c r="AH36" s="24">
        <f>'2017-18_working'!AA36</f>
        <v>0</v>
      </c>
      <c r="AI36" s="46">
        <f t="shared" si="41"/>
        <v>0</v>
      </c>
      <c r="AJ36" s="46">
        <f t="shared" si="42"/>
        <v>0</v>
      </c>
      <c r="AK36" s="24"/>
      <c r="AL36" s="24">
        <f>'2017-18_working'!AC36+'2017-18_working'!AD36</f>
        <v>0</v>
      </c>
      <c r="AM36" s="24">
        <f>'2017-18_working'!AE36</f>
        <v>0</v>
      </c>
      <c r="AN36" s="24">
        <f>'2017-18_working'!AF36</f>
        <v>0</v>
      </c>
      <c r="AO36" s="24">
        <f>'2017-18_working'!AG36</f>
        <v>0</v>
      </c>
      <c r="AP36" s="24">
        <f>'2017-18_working'!AH36+'2017-18_working'!AI36</f>
        <v>0</v>
      </c>
      <c r="AQ36" s="24">
        <f>'2017-18_working'!AJ36</f>
        <v>0</v>
      </c>
      <c r="AR36" s="46" t="str">
        <f t="shared" si="48"/>
        <v>-</v>
      </c>
      <c r="AS36" s="46" t="str">
        <f t="shared" si="49"/>
        <v>-</v>
      </c>
      <c r="AT36" s="24"/>
      <c r="AU36" s="22">
        <f t="shared" si="50"/>
        <v>10</v>
      </c>
      <c r="AV36" s="22">
        <f t="shared" si="51"/>
        <v>0</v>
      </c>
      <c r="AW36" s="22">
        <f t="shared" si="52"/>
        <v>0</v>
      </c>
      <c r="AX36" s="22">
        <f t="shared" si="53"/>
        <v>0</v>
      </c>
      <c r="AY36" s="22">
        <f t="shared" si="54"/>
        <v>0</v>
      </c>
      <c r="AZ36" s="22">
        <f t="shared" si="55"/>
        <v>0</v>
      </c>
      <c r="BA36" s="46">
        <f t="shared" si="56"/>
        <v>0</v>
      </c>
      <c r="BB36" s="46">
        <f t="shared" si="57"/>
        <v>0</v>
      </c>
      <c r="BC36" s="19"/>
      <c r="BD36" s="20">
        <f t="shared" si="58"/>
        <v>10</v>
      </c>
      <c r="BE36" s="20">
        <v>10</v>
      </c>
      <c r="BF36" s="53">
        <f t="shared" si="59"/>
        <v>0</v>
      </c>
      <c r="BG36" s="19"/>
      <c r="BH36" s="19"/>
      <c r="BI36" s="19"/>
      <c r="BJ36" s="19"/>
      <c r="BK36" s="19"/>
    </row>
    <row r="37" spans="1:63" s="8" customFormat="1" ht="15" customHeight="1" x14ac:dyDescent="0.35">
      <c r="A37" s="3" t="s">
        <v>44</v>
      </c>
      <c r="B37" s="24">
        <f>'2017-18_working'!B37+'2017-18_working'!C37</f>
        <v>4</v>
      </c>
      <c r="C37" s="24">
        <f>'2017-18_working'!D37</f>
        <v>0</v>
      </c>
      <c r="D37" s="24">
        <f>'2017-18_working'!E37</f>
        <v>0</v>
      </c>
      <c r="E37" s="24">
        <f>'2017-18_working'!F37</f>
        <v>0</v>
      </c>
      <c r="F37" s="24">
        <f>'2017-18_working'!G37+'2017-18_working'!H37</f>
        <v>0</v>
      </c>
      <c r="G37" s="24">
        <f>'2017-18_working'!I37</f>
        <v>0</v>
      </c>
      <c r="H37" s="46">
        <f t="shared" si="19"/>
        <v>0</v>
      </c>
      <c r="I37" s="46">
        <f t="shared" si="20"/>
        <v>0</v>
      </c>
      <c r="J37" s="24"/>
      <c r="K37" s="24">
        <f>'2017-18_working'!K37+'2017-18_working'!L37</f>
        <v>49</v>
      </c>
      <c r="L37" s="24">
        <f>'2017-18_working'!M37</f>
        <v>0</v>
      </c>
      <c r="M37" s="24">
        <f>'2017-18_working'!N37</f>
        <v>0</v>
      </c>
      <c r="N37" s="24">
        <f>'2017-18_working'!O37</f>
        <v>0</v>
      </c>
      <c r="O37" s="24">
        <f>'2017-18_working'!P37+'2017-18_working'!Q37</f>
        <v>0</v>
      </c>
      <c r="P37" s="24">
        <f>'2017-18_working'!R37</f>
        <v>4</v>
      </c>
      <c r="Q37" s="46">
        <f t="shared" si="26"/>
        <v>0</v>
      </c>
      <c r="R37" s="46">
        <f t="shared" si="27"/>
        <v>7.5471698113207544E-2</v>
      </c>
      <c r="S37" s="24"/>
      <c r="T37" s="22">
        <f t="shared" si="28"/>
        <v>53</v>
      </c>
      <c r="U37" s="22">
        <f t="shared" si="29"/>
        <v>0</v>
      </c>
      <c r="V37" s="22">
        <f t="shared" si="30"/>
        <v>0</v>
      </c>
      <c r="W37" s="22">
        <f t="shared" si="31"/>
        <v>0</v>
      </c>
      <c r="X37" s="22">
        <f t="shared" si="32"/>
        <v>0</v>
      </c>
      <c r="Y37" s="22">
        <f t="shared" si="33"/>
        <v>4</v>
      </c>
      <c r="Z37" s="46">
        <f t="shared" si="34"/>
        <v>0</v>
      </c>
      <c r="AA37" s="46">
        <f t="shared" si="35"/>
        <v>7.0175438596491224E-2</v>
      </c>
      <c r="AB37" s="24"/>
      <c r="AC37" s="24">
        <f>'2017-18_working'!T37+'2017-18_working'!U37</f>
        <v>3</v>
      </c>
      <c r="AD37" s="24">
        <f>'2017-18_working'!V37</f>
        <v>0</v>
      </c>
      <c r="AE37" s="24">
        <f>'2017-18_working'!W37</f>
        <v>0</v>
      </c>
      <c r="AF37" s="24">
        <f>'2017-18_working'!X37</f>
        <v>0</v>
      </c>
      <c r="AG37" s="24">
        <f>'2017-18_working'!Y37+'2017-18_working'!Z37</f>
        <v>0</v>
      </c>
      <c r="AH37" s="24">
        <f>'2017-18_working'!AA37</f>
        <v>0</v>
      </c>
      <c r="AI37" s="46">
        <f t="shared" si="41"/>
        <v>0</v>
      </c>
      <c r="AJ37" s="46">
        <f t="shared" si="42"/>
        <v>0</v>
      </c>
      <c r="AK37" s="24"/>
      <c r="AL37" s="24">
        <f>'2017-18_working'!AC37+'2017-18_working'!AD37</f>
        <v>19</v>
      </c>
      <c r="AM37" s="24">
        <f>'2017-18_working'!AE37</f>
        <v>0</v>
      </c>
      <c r="AN37" s="24">
        <f>'2017-18_working'!AF37</f>
        <v>0</v>
      </c>
      <c r="AO37" s="24">
        <f>'2017-18_working'!AG37</f>
        <v>1</v>
      </c>
      <c r="AP37" s="24">
        <f>'2017-18_working'!AH37+'2017-18_working'!AI37</f>
        <v>0</v>
      </c>
      <c r="AQ37" s="24">
        <f>'2017-18_working'!AJ37</f>
        <v>0</v>
      </c>
      <c r="AR37" s="46">
        <f t="shared" si="48"/>
        <v>0.05</v>
      </c>
      <c r="AS37" s="46">
        <f t="shared" si="49"/>
        <v>0</v>
      </c>
      <c r="AT37" s="24"/>
      <c r="AU37" s="22">
        <f t="shared" si="50"/>
        <v>75</v>
      </c>
      <c r="AV37" s="22">
        <f t="shared" si="51"/>
        <v>0</v>
      </c>
      <c r="AW37" s="22">
        <f t="shared" si="52"/>
        <v>0</v>
      </c>
      <c r="AX37" s="22">
        <f t="shared" si="53"/>
        <v>1</v>
      </c>
      <c r="AY37" s="22">
        <f t="shared" si="54"/>
        <v>0</v>
      </c>
      <c r="AZ37" s="22">
        <f t="shared" si="55"/>
        <v>4</v>
      </c>
      <c r="BA37" s="46">
        <f t="shared" si="56"/>
        <v>1.3157894736842105E-2</v>
      </c>
      <c r="BB37" s="46">
        <f t="shared" si="57"/>
        <v>0.05</v>
      </c>
      <c r="BC37" s="19"/>
      <c r="BD37" s="20">
        <f t="shared" si="58"/>
        <v>80</v>
      </c>
      <c r="BE37" s="20">
        <v>80</v>
      </c>
      <c r="BF37" s="53">
        <f t="shared" si="59"/>
        <v>0</v>
      </c>
      <c r="BG37" s="19"/>
      <c r="BH37" s="19"/>
      <c r="BI37" s="19"/>
      <c r="BJ37" s="19"/>
      <c r="BK37" s="19"/>
    </row>
    <row r="38" spans="1:63" s="8" customFormat="1" ht="15" customHeight="1" x14ac:dyDescent="0.35">
      <c r="A38" s="3" t="s">
        <v>45</v>
      </c>
      <c r="B38" s="24">
        <f>'2017-18_working'!B38+'2017-18_working'!C38</f>
        <v>1</v>
      </c>
      <c r="C38" s="24">
        <f>'2017-18_working'!D38</f>
        <v>0</v>
      </c>
      <c r="D38" s="24">
        <f>'2017-18_working'!E38</f>
        <v>0</v>
      </c>
      <c r="E38" s="24">
        <f>'2017-18_working'!F38</f>
        <v>0</v>
      </c>
      <c r="F38" s="24">
        <f>'2017-18_working'!G38+'2017-18_working'!H38</f>
        <v>0</v>
      </c>
      <c r="G38" s="24">
        <f>'2017-18_working'!I38</f>
        <v>12</v>
      </c>
      <c r="H38" s="46">
        <f t="shared" si="19"/>
        <v>0</v>
      </c>
      <c r="I38" s="46">
        <f t="shared" si="20"/>
        <v>0.92307692307692313</v>
      </c>
      <c r="J38" s="24"/>
      <c r="K38" s="24">
        <f>'2017-18_working'!K38+'2017-18_working'!L38</f>
        <v>5</v>
      </c>
      <c r="L38" s="24">
        <f>'2017-18_working'!M38</f>
        <v>0</v>
      </c>
      <c r="M38" s="24">
        <f>'2017-18_working'!N38</f>
        <v>0</v>
      </c>
      <c r="N38" s="24">
        <f>'2017-18_working'!O38</f>
        <v>0</v>
      </c>
      <c r="O38" s="24">
        <f>'2017-18_working'!P38+'2017-18_working'!Q38</f>
        <v>0</v>
      </c>
      <c r="P38" s="24">
        <f>'2017-18_working'!R38</f>
        <v>29</v>
      </c>
      <c r="Q38" s="46">
        <f t="shared" si="26"/>
        <v>0</v>
      </c>
      <c r="R38" s="46">
        <f t="shared" si="27"/>
        <v>0.8529411764705882</v>
      </c>
      <c r="S38" s="24"/>
      <c r="T38" s="22">
        <f t="shared" si="28"/>
        <v>6</v>
      </c>
      <c r="U38" s="22">
        <f t="shared" si="29"/>
        <v>0</v>
      </c>
      <c r="V38" s="22">
        <f t="shared" si="30"/>
        <v>0</v>
      </c>
      <c r="W38" s="22">
        <f t="shared" si="31"/>
        <v>0</v>
      </c>
      <c r="X38" s="22">
        <f t="shared" si="32"/>
        <v>0</v>
      </c>
      <c r="Y38" s="22">
        <f t="shared" si="33"/>
        <v>41</v>
      </c>
      <c r="Z38" s="46">
        <f t="shared" si="34"/>
        <v>0</v>
      </c>
      <c r="AA38" s="46">
        <f t="shared" si="35"/>
        <v>0.87234042553191493</v>
      </c>
      <c r="AB38" s="24"/>
      <c r="AC38" s="24">
        <f>'2017-18_working'!T38+'2017-18_working'!U38</f>
        <v>0</v>
      </c>
      <c r="AD38" s="24">
        <f>'2017-18_working'!V38</f>
        <v>0</v>
      </c>
      <c r="AE38" s="24">
        <f>'2017-18_working'!W38</f>
        <v>0</v>
      </c>
      <c r="AF38" s="24">
        <f>'2017-18_working'!X38</f>
        <v>0</v>
      </c>
      <c r="AG38" s="24">
        <f>'2017-18_working'!Y38+'2017-18_working'!Z38</f>
        <v>0</v>
      </c>
      <c r="AH38" s="24">
        <f>'2017-18_working'!AA38</f>
        <v>0</v>
      </c>
      <c r="AI38" s="46" t="str">
        <f t="shared" si="41"/>
        <v>-</v>
      </c>
      <c r="AJ38" s="46" t="str">
        <f t="shared" si="42"/>
        <v>-</v>
      </c>
      <c r="AK38" s="24"/>
      <c r="AL38" s="24">
        <f>'2017-18_working'!AC38+'2017-18_working'!AD38</f>
        <v>2</v>
      </c>
      <c r="AM38" s="24">
        <f>'2017-18_working'!AE38</f>
        <v>0</v>
      </c>
      <c r="AN38" s="24">
        <f>'2017-18_working'!AF38</f>
        <v>0</v>
      </c>
      <c r="AO38" s="24">
        <f>'2017-18_working'!AG38</f>
        <v>1</v>
      </c>
      <c r="AP38" s="24">
        <f>'2017-18_working'!AH38+'2017-18_working'!AI38</f>
        <v>0</v>
      </c>
      <c r="AQ38" s="24">
        <f>'2017-18_working'!AJ38</f>
        <v>7</v>
      </c>
      <c r="AR38" s="46">
        <f t="shared" si="48"/>
        <v>0.33333333333333331</v>
      </c>
      <c r="AS38" s="46">
        <f t="shared" si="49"/>
        <v>0.7</v>
      </c>
      <c r="AT38" s="24"/>
      <c r="AU38" s="22">
        <f t="shared" si="50"/>
        <v>8</v>
      </c>
      <c r="AV38" s="22">
        <f t="shared" si="51"/>
        <v>0</v>
      </c>
      <c r="AW38" s="22">
        <f t="shared" si="52"/>
        <v>0</v>
      </c>
      <c r="AX38" s="22">
        <f t="shared" si="53"/>
        <v>1</v>
      </c>
      <c r="AY38" s="22">
        <f t="shared" si="54"/>
        <v>0</v>
      </c>
      <c r="AZ38" s="22">
        <f t="shared" si="55"/>
        <v>48</v>
      </c>
      <c r="BA38" s="46">
        <f t="shared" si="56"/>
        <v>0.1111111111111111</v>
      </c>
      <c r="BB38" s="46">
        <f t="shared" si="57"/>
        <v>0.84210526315789469</v>
      </c>
      <c r="BC38" s="19"/>
      <c r="BD38" s="20">
        <f t="shared" si="58"/>
        <v>57</v>
      </c>
      <c r="BE38" s="20">
        <v>57</v>
      </c>
      <c r="BF38" s="53">
        <f t="shared" si="59"/>
        <v>0</v>
      </c>
      <c r="BG38" s="19"/>
      <c r="BH38" s="19"/>
      <c r="BI38" s="19"/>
      <c r="BJ38" s="19"/>
      <c r="BK38" s="19"/>
    </row>
    <row r="39" spans="1:63" s="8" customFormat="1" ht="15" customHeight="1" x14ac:dyDescent="0.35">
      <c r="A39" s="3" t="s">
        <v>46</v>
      </c>
      <c r="B39" s="24">
        <f>'2017-18_working'!B39+'2017-18_working'!C39</f>
        <v>1</v>
      </c>
      <c r="C39" s="24">
        <f>'2017-18_working'!D39</f>
        <v>0</v>
      </c>
      <c r="D39" s="24">
        <f>'2017-18_working'!E39</f>
        <v>0</v>
      </c>
      <c r="E39" s="24">
        <f>'2017-18_working'!F39</f>
        <v>0</v>
      </c>
      <c r="F39" s="24">
        <f>'2017-18_working'!G39+'2017-18_working'!H39</f>
        <v>0</v>
      </c>
      <c r="G39" s="24">
        <f>'2017-18_working'!I39</f>
        <v>0</v>
      </c>
      <c r="H39" s="46">
        <f t="shared" si="19"/>
        <v>0</v>
      </c>
      <c r="I39" s="46">
        <f t="shared" si="20"/>
        <v>0</v>
      </c>
      <c r="J39" s="24"/>
      <c r="K39" s="24">
        <f>'2017-18_working'!K39+'2017-18_working'!L39</f>
        <v>18</v>
      </c>
      <c r="L39" s="24">
        <f>'2017-18_working'!M39</f>
        <v>0</v>
      </c>
      <c r="M39" s="24">
        <f>'2017-18_working'!N39</f>
        <v>0</v>
      </c>
      <c r="N39" s="24">
        <f>'2017-18_working'!O39</f>
        <v>0</v>
      </c>
      <c r="O39" s="24">
        <f>'2017-18_working'!P39+'2017-18_working'!Q39</f>
        <v>0</v>
      </c>
      <c r="P39" s="24">
        <f>'2017-18_working'!R39</f>
        <v>0</v>
      </c>
      <c r="Q39" s="46">
        <f t="shared" si="26"/>
        <v>0</v>
      </c>
      <c r="R39" s="46">
        <f t="shared" si="27"/>
        <v>0</v>
      </c>
      <c r="S39" s="24"/>
      <c r="T39" s="22">
        <f t="shared" si="28"/>
        <v>19</v>
      </c>
      <c r="U39" s="22">
        <f t="shared" si="29"/>
        <v>0</v>
      </c>
      <c r="V39" s="22">
        <f t="shared" si="30"/>
        <v>0</v>
      </c>
      <c r="W39" s="22">
        <f t="shared" si="31"/>
        <v>0</v>
      </c>
      <c r="X39" s="22">
        <f t="shared" si="32"/>
        <v>0</v>
      </c>
      <c r="Y39" s="22">
        <f t="shared" si="33"/>
        <v>0</v>
      </c>
      <c r="Z39" s="46">
        <f t="shared" si="34"/>
        <v>0</v>
      </c>
      <c r="AA39" s="46">
        <f t="shared" si="35"/>
        <v>0</v>
      </c>
      <c r="AB39" s="24"/>
      <c r="AC39" s="24">
        <f>'2017-18_working'!T39+'2017-18_working'!U39</f>
        <v>1</v>
      </c>
      <c r="AD39" s="24">
        <f>'2017-18_working'!V39</f>
        <v>0</v>
      </c>
      <c r="AE39" s="24">
        <f>'2017-18_working'!W39</f>
        <v>0</v>
      </c>
      <c r="AF39" s="24">
        <f>'2017-18_working'!X39</f>
        <v>0</v>
      </c>
      <c r="AG39" s="24">
        <f>'2017-18_working'!Y39+'2017-18_working'!Z39</f>
        <v>0</v>
      </c>
      <c r="AH39" s="24">
        <f>'2017-18_working'!AA39</f>
        <v>0</v>
      </c>
      <c r="AI39" s="46">
        <f t="shared" si="41"/>
        <v>0</v>
      </c>
      <c r="AJ39" s="46">
        <f t="shared" si="42"/>
        <v>0</v>
      </c>
      <c r="AK39" s="24"/>
      <c r="AL39" s="24">
        <f>'2017-18_working'!AC39+'2017-18_working'!AD39</f>
        <v>1</v>
      </c>
      <c r="AM39" s="24">
        <f>'2017-18_working'!AE39</f>
        <v>0</v>
      </c>
      <c r="AN39" s="24">
        <f>'2017-18_working'!AF39</f>
        <v>0</v>
      </c>
      <c r="AO39" s="24">
        <f>'2017-18_working'!AG39</f>
        <v>0</v>
      </c>
      <c r="AP39" s="24">
        <f>'2017-18_working'!AH39+'2017-18_working'!AI39</f>
        <v>0</v>
      </c>
      <c r="AQ39" s="24">
        <f>'2017-18_working'!AJ39</f>
        <v>3</v>
      </c>
      <c r="AR39" s="46">
        <f t="shared" si="48"/>
        <v>0</v>
      </c>
      <c r="AS39" s="46">
        <f t="shared" si="49"/>
        <v>0.75</v>
      </c>
      <c r="AT39" s="24"/>
      <c r="AU39" s="22">
        <f t="shared" si="50"/>
        <v>21</v>
      </c>
      <c r="AV39" s="22">
        <f t="shared" si="51"/>
        <v>0</v>
      </c>
      <c r="AW39" s="22">
        <f t="shared" si="52"/>
        <v>0</v>
      </c>
      <c r="AX39" s="22">
        <f t="shared" si="53"/>
        <v>0</v>
      </c>
      <c r="AY39" s="22">
        <f t="shared" si="54"/>
        <v>0</v>
      </c>
      <c r="AZ39" s="22">
        <f t="shared" si="55"/>
        <v>3</v>
      </c>
      <c r="BA39" s="46">
        <f t="shared" si="56"/>
        <v>0</v>
      </c>
      <c r="BB39" s="46">
        <f t="shared" si="57"/>
        <v>0.125</v>
      </c>
      <c r="BC39" s="19"/>
      <c r="BD39" s="20">
        <f t="shared" si="58"/>
        <v>24</v>
      </c>
      <c r="BE39" s="20">
        <v>24</v>
      </c>
      <c r="BF39" s="53">
        <f t="shared" si="59"/>
        <v>0</v>
      </c>
      <c r="BG39" s="19"/>
      <c r="BH39" s="19"/>
      <c r="BI39" s="19"/>
      <c r="BJ39" s="19"/>
      <c r="BK39" s="19"/>
    </row>
    <row r="40" spans="1:63" s="8" customFormat="1" ht="15" customHeight="1" x14ac:dyDescent="0.35">
      <c r="A40" s="2" t="s">
        <v>47</v>
      </c>
      <c r="B40" s="24">
        <f>'2017-18_working'!B40+'2017-18_working'!C40</f>
        <v>13</v>
      </c>
      <c r="C40" s="24">
        <f>'2017-18_working'!D40</f>
        <v>0</v>
      </c>
      <c r="D40" s="24">
        <f>'2017-18_working'!E40</f>
        <v>0</v>
      </c>
      <c r="E40" s="24">
        <f>'2017-18_working'!F40</f>
        <v>0</v>
      </c>
      <c r="F40" s="24">
        <f>'2017-18_working'!G40+'2017-18_working'!H40</f>
        <v>0</v>
      </c>
      <c r="G40" s="24">
        <f>'2017-18_working'!I40</f>
        <v>0</v>
      </c>
      <c r="H40" s="46">
        <f t="shared" si="19"/>
        <v>0</v>
      </c>
      <c r="I40" s="46">
        <f t="shared" si="20"/>
        <v>0</v>
      </c>
      <c r="J40" s="24"/>
      <c r="K40" s="24">
        <f>'2017-18_working'!K40+'2017-18_working'!L40</f>
        <v>33</v>
      </c>
      <c r="L40" s="24">
        <f>'2017-18_working'!M40</f>
        <v>0</v>
      </c>
      <c r="M40" s="24">
        <f>'2017-18_working'!N40</f>
        <v>0</v>
      </c>
      <c r="N40" s="24">
        <f>'2017-18_working'!O40</f>
        <v>0</v>
      </c>
      <c r="O40" s="24">
        <f>'2017-18_working'!P40+'2017-18_working'!Q40</f>
        <v>0</v>
      </c>
      <c r="P40" s="24">
        <f>'2017-18_working'!R40</f>
        <v>3</v>
      </c>
      <c r="Q40" s="46">
        <f t="shared" si="26"/>
        <v>0</v>
      </c>
      <c r="R40" s="46">
        <f t="shared" si="27"/>
        <v>8.3333333333333329E-2</v>
      </c>
      <c r="S40" s="24"/>
      <c r="T40" s="22">
        <f t="shared" si="28"/>
        <v>46</v>
      </c>
      <c r="U40" s="22">
        <f t="shared" si="29"/>
        <v>0</v>
      </c>
      <c r="V40" s="22">
        <f t="shared" si="30"/>
        <v>0</v>
      </c>
      <c r="W40" s="22">
        <f t="shared" si="31"/>
        <v>0</v>
      </c>
      <c r="X40" s="22">
        <f t="shared" si="32"/>
        <v>0</v>
      </c>
      <c r="Y40" s="22">
        <f t="shared" si="33"/>
        <v>3</v>
      </c>
      <c r="Z40" s="46">
        <f t="shared" si="34"/>
        <v>0</v>
      </c>
      <c r="AA40" s="46">
        <f t="shared" si="35"/>
        <v>6.1224489795918366E-2</v>
      </c>
      <c r="AB40" s="24"/>
      <c r="AC40" s="24">
        <f>'2017-18_working'!T40+'2017-18_working'!U40</f>
        <v>1</v>
      </c>
      <c r="AD40" s="24">
        <f>'2017-18_working'!V40</f>
        <v>0</v>
      </c>
      <c r="AE40" s="24">
        <f>'2017-18_working'!W40</f>
        <v>0</v>
      </c>
      <c r="AF40" s="24">
        <f>'2017-18_working'!X40</f>
        <v>0</v>
      </c>
      <c r="AG40" s="24">
        <f>'2017-18_working'!Y40+'2017-18_working'!Z40</f>
        <v>0</v>
      </c>
      <c r="AH40" s="24">
        <f>'2017-18_working'!AA40</f>
        <v>0</v>
      </c>
      <c r="AI40" s="46">
        <f t="shared" si="41"/>
        <v>0</v>
      </c>
      <c r="AJ40" s="46">
        <f t="shared" si="42"/>
        <v>0</v>
      </c>
      <c r="AK40" s="24"/>
      <c r="AL40" s="24">
        <f>'2017-18_working'!AC40+'2017-18_working'!AD40</f>
        <v>10</v>
      </c>
      <c r="AM40" s="24">
        <f>'2017-18_working'!AE40</f>
        <v>0</v>
      </c>
      <c r="AN40" s="24">
        <f>'2017-18_working'!AF40</f>
        <v>0</v>
      </c>
      <c r="AO40" s="24">
        <f>'2017-18_working'!AG40</f>
        <v>2</v>
      </c>
      <c r="AP40" s="24">
        <f>'2017-18_working'!AH40+'2017-18_working'!AI40</f>
        <v>0</v>
      </c>
      <c r="AQ40" s="24">
        <f>'2017-18_working'!AJ40</f>
        <v>7</v>
      </c>
      <c r="AR40" s="46">
        <f t="shared" si="48"/>
        <v>0.16666666666666666</v>
      </c>
      <c r="AS40" s="46">
        <f t="shared" si="49"/>
        <v>0.36842105263157893</v>
      </c>
      <c r="AT40" s="24"/>
      <c r="AU40" s="22">
        <f t="shared" si="50"/>
        <v>57</v>
      </c>
      <c r="AV40" s="22">
        <f t="shared" si="51"/>
        <v>0</v>
      </c>
      <c r="AW40" s="22">
        <f t="shared" si="52"/>
        <v>0</v>
      </c>
      <c r="AX40" s="22">
        <f t="shared" si="53"/>
        <v>2</v>
      </c>
      <c r="AY40" s="22">
        <f t="shared" si="54"/>
        <v>0</v>
      </c>
      <c r="AZ40" s="22">
        <f t="shared" si="55"/>
        <v>10</v>
      </c>
      <c r="BA40" s="46">
        <f t="shared" si="56"/>
        <v>3.3898305084745763E-2</v>
      </c>
      <c r="BB40" s="46">
        <f t="shared" si="57"/>
        <v>0.14492753623188406</v>
      </c>
      <c r="BC40" s="19"/>
      <c r="BD40" s="20">
        <f t="shared" si="58"/>
        <v>69</v>
      </c>
      <c r="BE40" s="20">
        <v>69</v>
      </c>
      <c r="BF40" s="53">
        <f t="shared" si="59"/>
        <v>0</v>
      </c>
      <c r="BG40" s="19"/>
      <c r="BH40" s="19"/>
      <c r="BI40" s="19"/>
      <c r="BJ40" s="19"/>
      <c r="BK40" s="19"/>
    </row>
    <row r="41" spans="1:63" s="8" customFormat="1" ht="15" customHeight="1" x14ac:dyDescent="0.35">
      <c r="A41" s="2" t="s">
        <v>48</v>
      </c>
      <c r="B41" s="24">
        <f>'2017-18_working'!B41+'2017-18_working'!C41</f>
        <v>0</v>
      </c>
      <c r="C41" s="24">
        <f>'2017-18_working'!D41</f>
        <v>0</v>
      </c>
      <c r="D41" s="24">
        <f>'2017-18_working'!E41</f>
        <v>0</v>
      </c>
      <c r="E41" s="24">
        <f>'2017-18_working'!F41</f>
        <v>0</v>
      </c>
      <c r="F41" s="24">
        <f>'2017-18_working'!G41+'2017-18_working'!H41</f>
        <v>0</v>
      </c>
      <c r="G41" s="24">
        <f>'2017-18_working'!I41</f>
        <v>0</v>
      </c>
      <c r="H41" s="46" t="str">
        <f t="shared" si="19"/>
        <v>-</v>
      </c>
      <c r="I41" s="46" t="str">
        <f t="shared" si="20"/>
        <v>-</v>
      </c>
      <c r="J41" s="24"/>
      <c r="K41" s="24">
        <f>'2017-18_working'!K41+'2017-18_working'!L41</f>
        <v>66</v>
      </c>
      <c r="L41" s="24">
        <f>'2017-18_working'!M41</f>
        <v>0</v>
      </c>
      <c r="M41" s="24">
        <f>'2017-18_working'!N41</f>
        <v>0</v>
      </c>
      <c r="N41" s="24">
        <f>'2017-18_working'!O41</f>
        <v>0</v>
      </c>
      <c r="O41" s="24">
        <f>'2017-18_working'!P41+'2017-18_working'!Q41</f>
        <v>1</v>
      </c>
      <c r="P41" s="24">
        <f>'2017-18_working'!R41</f>
        <v>7</v>
      </c>
      <c r="Q41" s="46">
        <f t="shared" si="26"/>
        <v>1.4925373134328358E-2</v>
      </c>
      <c r="R41" s="46">
        <f t="shared" si="27"/>
        <v>9.45945945945946E-2</v>
      </c>
      <c r="S41" s="24"/>
      <c r="T41" s="22">
        <f t="shared" si="28"/>
        <v>66</v>
      </c>
      <c r="U41" s="22">
        <f t="shared" si="29"/>
        <v>0</v>
      </c>
      <c r="V41" s="22">
        <f t="shared" si="30"/>
        <v>0</v>
      </c>
      <c r="W41" s="22">
        <f t="shared" si="31"/>
        <v>0</v>
      </c>
      <c r="X41" s="22">
        <f t="shared" si="32"/>
        <v>1</v>
      </c>
      <c r="Y41" s="22">
        <f t="shared" si="33"/>
        <v>7</v>
      </c>
      <c r="Z41" s="46">
        <f t="shared" si="34"/>
        <v>1.4925373134328358E-2</v>
      </c>
      <c r="AA41" s="46">
        <f t="shared" si="35"/>
        <v>9.45945945945946E-2</v>
      </c>
      <c r="AB41" s="24"/>
      <c r="AC41" s="24">
        <f>'2017-18_working'!T41+'2017-18_working'!U41</f>
        <v>0</v>
      </c>
      <c r="AD41" s="24">
        <f>'2017-18_working'!V41</f>
        <v>0</v>
      </c>
      <c r="AE41" s="24">
        <f>'2017-18_working'!W41</f>
        <v>0</v>
      </c>
      <c r="AF41" s="24">
        <f>'2017-18_working'!X41</f>
        <v>0</v>
      </c>
      <c r="AG41" s="24">
        <f>'2017-18_working'!Y41+'2017-18_working'!Z41</f>
        <v>0</v>
      </c>
      <c r="AH41" s="24">
        <f>'2017-18_working'!AA41</f>
        <v>0</v>
      </c>
      <c r="AI41" s="46" t="str">
        <f t="shared" si="41"/>
        <v>-</v>
      </c>
      <c r="AJ41" s="46" t="str">
        <f t="shared" si="42"/>
        <v>-</v>
      </c>
      <c r="AK41" s="24"/>
      <c r="AL41" s="24">
        <f>'2017-18_working'!AC41+'2017-18_working'!AD41</f>
        <v>4</v>
      </c>
      <c r="AM41" s="24">
        <f>'2017-18_working'!AE41</f>
        <v>0</v>
      </c>
      <c r="AN41" s="24">
        <f>'2017-18_working'!AF41</f>
        <v>0</v>
      </c>
      <c r="AO41" s="24">
        <f>'2017-18_working'!AG41</f>
        <v>0</v>
      </c>
      <c r="AP41" s="24">
        <f>'2017-18_working'!AH41+'2017-18_working'!AI41</f>
        <v>0</v>
      </c>
      <c r="AQ41" s="24">
        <f>'2017-18_working'!AJ41</f>
        <v>0</v>
      </c>
      <c r="AR41" s="46">
        <f t="shared" si="48"/>
        <v>0</v>
      </c>
      <c r="AS41" s="46">
        <f t="shared" si="49"/>
        <v>0</v>
      </c>
      <c r="AT41" s="24"/>
      <c r="AU41" s="22">
        <f t="shared" si="50"/>
        <v>70</v>
      </c>
      <c r="AV41" s="22">
        <f t="shared" si="51"/>
        <v>0</v>
      </c>
      <c r="AW41" s="22">
        <f t="shared" si="52"/>
        <v>0</v>
      </c>
      <c r="AX41" s="22">
        <f t="shared" si="53"/>
        <v>0</v>
      </c>
      <c r="AY41" s="22">
        <f t="shared" si="54"/>
        <v>1</v>
      </c>
      <c r="AZ41" s="22">
        <f t="shared" si="55"/>
        <v>7</v>
      </c>
      <c r="BA41" s="46">
        <f t="shared" si="56"/>
        <v>1.4084507042253521E-2</v>
      </c>
      <c r="BB41" s="46">
        <f t="shared" si="57"/>
        <v>8.9743589743589744E-2</v>
      </c>
      <c r="BC41" s="19"/>
      <c r="BD41" s="20">
        <f t="shared" si="58"/>
        <v>78</v>
      </c>
      <c r="BE41" s="20">
        <v>78</v>
      </c>
      <c r="BF41" s="53">
        <f t="shared" si="59"/>
        <v>0</v>
      </c>
      <c r="BG41" s="19"/>
      <c r="BH41" s="19"/>
      <c r="BI41" s="19"/>
      <c r="BJ41" s="19"/>
      <c r="BK41" s="19"/>
    </row>
    <row r="42" spans="1:63" s="8" customFormat="1" ht="15" customHeight="1" x14ac:dyDescent="0.35">
      <c r="A42" s="2" t="s">
        <v>49</v>
      </c>
      <c r="B42" s="24">
        <f>'2017-18_working'!B42+'2017-18_working'!C42</f>
        <v>5</v>
      </c>
      <c r="C42" s="24">
        <f>'2017-18_working'!D42</f>
        <v>0</v>
      </c>
      <c r="D42" s="24">
        <f>'2017-18_working'!E42</f>
        <v>0</v>
      </c>
      <c r="E42" s="24">
        <f>'2017-18_working'!F42</f>
        <v>0</v>
      </c>
      <c r="F42" s="24">
        <f>'2017-18_working'!G42+'2017-18_working'!H42</f>
        <v>0</v>
      </c>
      <c r="G42" s="24">
        <f>'2017-18_working'!I42</f>
        <v>0</v>
      </c>
      <c r="H42" s="46">
        <f t="shared" si="19"/>
        <v>0</v>
      </c>
      <c r="I42" s="46">
        <f t="shared" si="20"/>
        <v>0</v>
      </c>
      <c r="J42" s="24"/>
      <c r="K42" s="24">
        <f>'2017-18_working'!K42+'2017-18_working'!L42</f>
        <v>23</v>
      </c>
      <c r="L42" s="24">
        <f>'2017-18_working'!M42</f>
        <v>0</v>
      </c>
      <c r="M42" s="24">
        <f>'2017-18_working'!N42</f>
        <v>0</v>
      </c>
      <c r="N42" s="24">
        <f>'2017-18_working'!O42</f>
        <v>0</v>
      </c>
      <c r="O42" s="24">
        <f>'2017-18_working'!P42+'2017-18_working'!Q42</f>
        <v>0</v>
      </c>
      <c r="P42" s="24">
        <f>'2017-18_working'!R42</f>
        <v>3</v>
      </c>
      <c r="Q42" s="46">
        <f t="shared" si="26"/>
        <v>0</v>
      </c>
      <c r="R42" s="46">
        <f t="shared" si="27"/>
        <v>0.11538461538461539</v>
      </c>
      <c r="S42" s="24"/>
      <c r="T42" s="22">
        <f t="shared" si="28"/>
        <v>28</v>
      </c>
      <c r="U42" s="22">
        <f t="shared" si="29"/>
        <v>0</v>
      </c>
      <c r="V42" s="22">
        <f t="shared" si="30"/>
        <v>0</v>
      </c>
      <c r="W42" s="22">
        <f t="shared" si="31"/>
        <v>0</v>
      </c>
      <c r="X42" s="22">
        <f t="shared" si="32"/>
        <v>0</v>
      </c>
      <c r="Y42" s="22">
        <f t="shared" si="33"/>
        <v>3</v>
      </c>
      <c r="Z42" s="46">
        <f t="shared" si="34"/>
        <v>0</v>
      </c>
      <c r="AA42" s="46">
        <f t="shared" si="35"/>
        <v>9.6774193548387094E-2</v>
      </c>
      <c r="AB42" s="24"/>
      <c r="AC42" s="24">
        <f>'2017-18_working'!T42+'2017-18_working'!U42</f>
        <v>0</v>
      </c>
      <c r="AD42" s="24">
        <f>'2017-18_working'!V42</f>
        <v>0</v>
      </c>
      <c r="AE42" s="24">
        <f>'2017-18_working'!W42</f>
        <v>0</v>
      </c>
      <c r="AF42" s="24">
        <f>'2017-18_working'!X42</f>
        <v>0</v>
      </c>
      <c r="AG42" s="24">
        <f>'2017-18_working'!Y42+'2017-18_working'!Z42</f>
        <v>0</v>
      </c>
      <c r="AH42" s="24">
        <f>'2017-18_working'!AA42</f>
        <v>1</v>
      </c>
      <c r="AI42" s="46" t="str">
        <f t="shared" si="41"/>
        <v>-</v>
      </c>
      <c r="AJ42" s="46">
        <f t="shared" si="42"/>
        <v>1</v>
      </c>
      <c r="AK42" s="24"/>
      <c r="AL42" s="24">
        <f>'2017-18_working'!AC42+'2017-18_working'!AD42</f>
        <v>7</v>
      </c>
      <c r="AM42" s="24">
        <f>'2017-18_working'!AE42</f>
        <v>0</v>
      </c>
      <c r="AN42" s="24">
        <f>'2017-18_working'!AF42</f>
        <v>0</v>
      </c>
      <c r="AO42" s="24">
        <f>'2017-18_working'!AG42</f>
        <v>0</v>
      </c>
      <c r="AP42" s="24">
        <f>'2017-18_working'!AH42+'2017-18_working'!AI42</f>
        <v>1</v>
      </c>
      <c r="AQ42" s="24">
        <f>'2017-18_working'!AJ42</f>
        <v>1</v>
      </c>
      <c r="AR42" s="46">
        <f t="shared" si="48"/>
        <v>0.125</v>
      </c>
      <c r="AS42" s="46">
        <f t="shared" si="49"/>
        <v>0.1111111111111111</v>
      </c>
      <c r="AT42" s="24"/>
      <c r="AU42" s="22">
        <f t="shared" si="50"/>
        <v>35</v>
      </c>
      <c r="AV42" s="22">
        <f t="shared" si="51"/>
        <v>0</v>
      </c>
      <c r="AW42" s="22">
        <f t="shared" si="52"/>
        <v>0</v>
      </c>
      <c r="AX42" s="22">
        <f t="shared" si="53"/>
        <v>0</v>
      </c>
      <c r="AY42" s="22">
        <f t="shared" si="54"/>
        <v>1</v>
      </c>
      <c r="AZ42" s="22">
        <f t="shared" si="55"/>
        <v>5</v>
      </c>
      <c r="BA42" s="46">
        <f t="shared" si="56"/>
        <v>2.7777777777777776E-2</v>
      </c>
      <c r="BB42" s="46">
        <f t="shared" si="57"/>
        <v>0.12195121951219512</v>
      </c>
      <c r="BC42" s="19"/>
      <c r="BD42" s="20">
        <f t="shared" si="58"/>
        <v>41</v>
      </c>
      <c r="BE42" s="20">
        <v>41</v>
      </c>
      <c r="BF42" s="53">
        <f t="shared" si="59"/>
        <v>0</v>
      </c>
      <c r="BG42" s="19"/>
      <c r="BH42" s="19"/>
      <c r="BI42" s="19"/>
      <c r="BJ42" s="19"/>
      <c r="BK42" s="19"/>
    </row>
    <row r="43" spans="1:63" s="8" customFormat="1" ht="15" customHeight="1" x14ac:dyDescent="0.35">
      <c r="A43" s="2" t="s">
        <v>50</v>
      </c>
      <c r="B43" s="24">
        <f>'2017-18_working'!B43+'2017-18_working'!C43</f>
        <v>8</v>
      </c>
      <c r="C43" s="24">
        <f>'2017-18_working'!D43</f>
        <v>0</v>
      </c>
      <c r="D43" s="24">
        <f>'2017-18_working'!E43</f>
        <v>0</v>
      </c>
      <c r="E43" s="24">
        <f>'2017-18_working'!F43</f>
        <v>0</v>
      </c>
      <c r="F43" s="24">
        <f>'2017-18_working'!G43+'2017-18_working'!H43</f>
        <v>0</v>
      </c>
      <c r="G43" s="24">
        <f>'2017-18_working'!I43</f>
        <v>0</v>
      </c>
      <c r="H43" s="46">
        <f t="shared" si="19"/>
        <v>0</v>
      </c>
      <c r="I43" s="46">
        <f t="shared" si="20"/>
        <v>0</v>
      </c>
      <c r="J43" s="24"/>
      <c r="K43" s="24">
        <f>'2017-18_working'!K43+'2017-18_working'!L43</f>
        <v>16</v>
      </c>
      <c r="L43" s="24">
        <f>'2017-18_working'!M43</f>
        <v>0</v>
      </c>
      <c r="M43" s="24">
        <f>'2017-18_working'!N43</f>
        <v>0</v>
      </c>
      <c r="N43" s="24">
        <f>'2017-18_working'!O43</f>
        <v>0</v>
      </c>
      <c r="O43" s="24">
        <f>'2017-18_working'!P43+'2017-18_working'!Q43</f>
        <v>0</v>
      </c>
      <c r="P43" s="24">
        <f>'2017-18_working'!R43</f>
        <v>0</v>
      </c>
      <c r="Q43" s="46">
        <f t="shared" si="26"/>
        <v>0</v>
      </c>
      <c r="R43" s="46">
        <f t="shared" si="27"/>
        <v>0</v>
      </c>
      <c r="S43" s="24"/>
      <c r="T43" s="22">
        <f t="shared" si="28"/>
        <v>24</v>
      </c>
      <c r="U43" s="22">
        <f t="shared" si="29"/>
        <v>0</v>
      </c>
      <c r="V43" s="22">
        <f t="shared" si="30"/>
        <v>0</v>
      </c>
      <c r="W43" s="22">
        <f t="shared" si="31"/>
        <v>0</v>
      </c>
      <c r="X43" s="22">
        <f t="shared" si="32"/>
        <v>0</v>
      </c>
      <c r="Y43" s="22">
        <f t="shared" si="33"/>
        <v>0</v>
      </c>
      <c r="Z43" s="46">
        <f t="shared" si="34"/>
        <v>0</v>
      </c>
      <c r="AA43" s="46">
        <f t="shared" si="35"/>
        <v>0</v>
      </c>
      <c r="AB43" s="24"/>
      <c r="AC43" s="24">
        <f>'2017-18_working'!T43+'2017-18_working'!U43</f>
        <v>0</v>
      </c>
      <c r="AD43" s="24">
        <f>'2017-18_working'!V43</f>
        <v>0</v>
      </c>
      <c r="AE43" s="24">
        <f>'2017-18_working'!W43</f>
        <v>0</v>
      </c>
      <c r="AF43" s="24">
        <f>'2017-18_working'!X43</f>
        <v>0</v>
      </c>
      <c r="AG43" s="24">
        <f>'2017-18_working'!Y43+'2017-18_working'!Z43</f>
        <v>0</v>
      </c>
      <c r="AH43" s="24">
        <f>'2017-18_working'!AA43</f>
        <v>0</v>
      </c>
      <c r="AI43" s="46" t="str">
        <f t="shared" si="41"/>
        <v>-</v>
      </c>
      <c r="AJ43" s="46" t="str">
        <f t="shared" si="42"/>
        <v>-</v>
      </c>
      <c r="AK43" s="24"/>
      <c r="AL43" s="24">
        <f>'2017-18_working'!AC43+'2017-18_working'!AD43</f>
        <v>10</v>
      </c>
      <c r="AM43" s="24">
        <f>'2017-18_working'!AE43</f>
        <v>0</v>
      </c>
      <c r="AN43" s="24">
        <f>'2017-18_working'!AF43</f>
        <v>0</v>
      </c>
      <c r="AO43" s="24">
        <f>'2017-18_working'!AG43</f>
        <v>0</v>
      </c>
      <c r="AP43" s="24">
        <f>'2017-18_working'!AH43+'2017-18_working'!AI43</f>
        <v>0</v>
      </c>
      <c r="AQ43" s="24">
        <f>'2017-18_working'!AJ43</f>
        <v>0</v>
      </c>
      <c r="AR43" s="46">
        <f t="shared" si="48"/>
        <v>0</v>
      </c>
      <c r="AS43" s="46">
        <f t="shared" si="49"/>
        <v>0</v>
      </c>
      <c r="AT43" s="24"/>
      <c r="AU43" s="22">
        <f t="shared" si="50"/>
        <v>34</v>
      </c>
      <c r="AV43" s="22">
        <f t="shared" si="51"/>
        <v>0</v>
      </c>
      <c r="AW43" s="22">
        <f t="shared" si="52"/>
        <v>0</v>
      </c>
      <c r="AX43" s="22">
        <f t="shared" si="53"/>
        <v>0</v>
      </c>
      <c r="AY43" s="22">
        <f t="shared" si="54"/>
        <v>0</v>
      </c>
      <c r="AZ43" s="22">
        <f t="shared" si="55"/>
        <v>0</v>
      </c>
      <c r="BA43" s="46">
        <f t="shared" si="56"/>
        <v>0</v>
      </c>
      <c r="BB43" s="46">
        <f t="shared" si="57"/>
        <v>0</v>
      </c>
      <c r="BC43" s="19"/>
      <c r="BD43" s="20">
        <f t="shared" si="58"/>
        <v>34</v>
      </c>
      <c r="BE43" s="20">
        <v>34</v>
      </c>
      <c r="BF43" s="53">
        <f t="shared" si="59"/>
        <v>0</v>
      </c>
      <c r="BG43" s="19"/>
      <c r="BH43" s="19"/>
      <c r="BI43" s="19"/>
      <c r="BJ43" s="19"/>
      <c r="BK43" s="19"/>
    </row>
    <row r="44" spans="1:63" s="8" customFormat="1" ht="15" customHeight="1" x14ac:dyDescent="0.35">
      <c r="A44" s="2" t="s">
        <v>51</v>
      </c>
      <c r="B44" s="24">
        <f>'2017-18_working'!B44+'2017-18_working'!C44</f>
        <v>1</v>
      </c>
      <c r="C44" s="24">
        <f>'2017-18_working'!D44</f>
        <v>0</v>
      </c>
      <c r="D44" s="24">
        <f>'2017-18_working'!E44</f>
        <v>0</v>
      </c>
      <c r="E44" s="24">
        <f>'2017-18_working'!F44</f>
        <v>0</v>
      </c>
      <c r="F44" s="24">
        <f>'2017-18_working'!G44+'2017-18_working'!H44</f>
        <v>0</v>
      </c>
      <c r="G44" s="24">
        <f>'2017-18_working'!I44</f>
        <v>1</v>
      </c>
      <c r="H44" s="46">
        <f t="shared" si="19"/>
        <v>0</v>
      </c>
      <c r="I44" s="46">
        <f t="shared" si="20"/>
        <v>0.5</v>
      </c>
      <c r="J44" s="24"/>
      <c r="K44" s="24">
        <f>'2017-18_working'!K44+'2017-18_working'!L44</f>
        <v>2</v>
      </c>
      <c r="L44" s="24">
        <f>'2017-18_working'!M44</f>
        <v>0</v>
      </c>
      <c r="M44" s="24">
        <f>'2017-18_working'!N44</f>
        <v>0</v>
      </c>
      <c r="N44" s="24">
        <f>'2017-18_working'!O44</f>
        <v>0</v>
      </c>
      <c r="O44" s="24">
        <f>'2017-18_working'!P44+'2017-18_working'!Q44</f>
        <v>0</v>
      </c>
      <c r="P44" s="24">
        <f>'2017-18_working'!R44</f>
        <v>47</v>
      </c>
      <c r="Q44" s="46">
        <f t="shared" si="26"/>
        <v>0</v>
      </c>
      <c r="R44" s="46">
        <f t="shared" si="27"/>
        <v>0.95918367346938771</v>
      </c>
      <c r="S44" s="24"/>
      <c r="T44" s="22">
        <f t="shared" si="28"/>
        <v>3</v>
      </c>
      <c r="U44" s="22">
        <f t="shared" si="29"/>
        <v>0</v>
      </c>
      <c r="V44" s="22">
        <f t="shared" si="30"/>
        <v>0</v>
      </c>
      <c r="W44" s="22">
        <f t="shared" si="31"/>
        <v>0</v>
      </c>
      <c r="X44" s="22">
        <f t="shared" si="32"/>
        <v>0</v>
      </c>
      <c r="Y44" s="22">
        <f t="shared" si="33"/>
        <v>48</v>
      </c>
      <c r="Z44" s="46">
        <f t="shared" si="34"/>
        <v>0</v>
      </c>
      <c r="AA44" s="46">
        <f t="shared" si="35"/>
        <v>0.94117647058823528</v>
      </c>
      <c r="AB44" s="24"/>
      <c r="AC44" s="24">
        <f>'2017-18_working'!T44+'2017-18_working'!U44</f>
        <v>0</v>
      </c>
      <c r="AD44" s="24">
        <f>'2017-18_working'!V44</f>
        <v>0</v>
      </c>
      <c r="AE44" s="24">
        <f>'2017-18_working'!W44</f>
        <v>0</v>
      </c>
      <c r="AF44" s="24">
        <f>'2017-18_working'!X44</f>
        <v>0</v>
      </c>
      <c r="AG44" s="24">
        <f>'2017-18_working'!Y44+'2017-18_working'!Z44</f>
        <v>0</v>
      </c>
      <c r="AH44" s="24">
        <f>'2017-18_working'!AA44</f>
        <v>0</v>
      </c>
      <c r="AI44" s="46" t="str">
        <f t="shared" si="41"/>
        <v>-</v>
      </c>
      <c r="AJ44" s="46" t="str">
        <f t="shared" si="42"/>
        <v>-</v>
      </c>
      <c r="AK44" s="24"/>
      <c r="AL44" s="24">
        <f>'2017-18_working'!AC44+'2017-18_working'!AD44</f>
        <v>5</v>
      </c>
      <c r="AM44" s="24">
        <f>'2017-18_working'!AE44</f>
        <v>0</v>
      </c>
      <c r="AN44" s="24">
        <f>'2017-18_working'!AF44</f>
        <v>0</v>
      </c>
      <c r="AO44" s="24">
        <f>'2017-18_working'!AG44</f>
        <v>0</v>
      </c>
      <c r="AP44" s="24">
        <f>'2017-18_working'!AH44+'2017-18_working'!AI44</f>
        <v>0</v>
      </c>
      <c r="AQ44" s="24">
        <f>'2017-18_working'!AJ44</f>
        <v>1</v>
      </c>
      <c r="AR44" s="46">
        <f t="shared" si="48"/>
        <v>0</v>
      </c>
      <c r="AS44" s="46">
        <f t="shared" si="49"/>
        <v>0.16666666666666666</v>
      </c>
      <c r="AT44" s="24"/>
      <c r="AU44" s="22">
        <f t="shared" si="50"/>
        <v>8</v>
      </c>
      <c r="AV44" s="22">
        <f t="shared" si="51"/>
        <v>0</v>
      </c>
      <c r="AW44" s="22">
        <f t="shared" si="52"/>
        <v>0</v>
      </c>
      <c r="AX44" s="22">
        <f t="shared" si="53"/>
        <v>0</v>
      </c>
      <c r="AY44" s="22">
        <f t="shared" si="54"/>
        <v>0</v>
      </c>
      <c r="AZ44" s="22">
        <f t="shared" si="55"/>
        <v>49</v>
      </c>
      <c r="BA44" s="46">
        <f t="shared" si="56"/>
        <v>0</v>
      </c>
      <c r="BB44" s="46">
        <f t="shared" si="57"/>
        <v>0.85964912280701755</v>
      </c>
      <c r="BC44" s="19"/>
      <c r="BD44" s="20">
        <f t="shared" si="58"/>
        <v>57</v>
      </c>
      <c r="BE44" s="20">
        <v>57</v>
      </c>
      <c r="BF44" s="53">
        <f t="shared" si="59"/>
        <v>0</v>
      </c>
      <c r="BG44" s="19"/>
      <c r="BH44" s="19"/>
      <c r="BI44" s="19"/>
      <c r="BJ44" s="19"/>
      <c r="BK44" s="19"/>
    </row>
    <row r="45" spans="1:63" s="8" customFormat="1" ht="15" customHeight="1" x14ac:dyDescent="0.35">
      <c r="A45" s="2" t="s">
        <v>52</v>
      </c>
      <c r="B45" s="24">
        <f>'2017-18_working'!B45+'2017-18_working'!C45</f>
        <v>5</v>
      </c>
      <c r="C45" s="24">
        <f>'2017-18_working'!D45</f>
        <v>0</v>
      </c>
      <c r="D45" s="24">
        <f>'2017-18_working'!E45</f>
        <v>0</v>
      </c>
      <c r="E45" s="24">
        <f>'2017-18_working'!F45</f>
        <v>0</v>
      </c>
      <c r="F45" s="24">
        <f>'2017-18_working'!G45+'2017-18_working'!H45</f>
        <v>0</v>
      </c>
      <c r="G45" s="24">
        <f>'2017-18_working'!I45</f>
        <v>3</v>
      </c>
      <c r="H45" s="46">
        <f t="shared" si="19"/>
        <v>0</v>
      </c>
      <c r="I45" s="46">
        <f t="shared" si="20"/>
        <v>0.375</v>
      </c>
      <c r="J45" s="24"/>
      <c r="K45" s="24">
        <f>'2017-18_working'!K45+'2017-18_working'!L45</f>
        <v>5</v>
      </c>
      <c r="L45" s="24">
        <f>'2017-18_working'!M45</f>
        <v>0</v>
      </c>
      <c r="M45" s="24">
        <f>'2017-18_working'!N45</f>
        <v>0</v>
      </c>
      <c r="N45" s="24">
        <f>'2017-18_working'!O45</f>
        <v>0</v>
      </c>
      <c r="O45" s="24">
        <f>'2017-18_working'!P45+'2017-18_working'!Q45</f>
        <v>0</v>
      </c>
      <c r="P45" s="24">
        <f>'2017-18_working'!R45</f>
        <v>4</v>
      </c>
      <c r="Q45" s="46">
        <f t="shared" si="26"/>
        <v>0</v>
      </c>
      <c r="R45" s="46">
        <f t="shared" si="27"/>
        <v>0.44444444444444442</v>
      </c>
      <c r="S45" s="24"/>
      <c r="T45" s="22">
        <f t="shared" si="28"/>
        <v>10</v>
      </c>
      <c r="U45" s="22">
        <f t="shared" si="29"/>
        <v>0</v>
      </c>
      <c r="V45" s="22">
        <f t="shared" si="30"/>
        <v>0</v>
      </c>
      <c r="W45" s="22">
        <f t="shared" si="31"/>
        <v>0</v>
      </c>
      <c r="X45" s="22">
        <f t="shared" si="32"/>
        <v>0</v>
      </c>
      <c r="Y45" s="22">
        <f t="shared" si="33"/>
        <v>7</v>
      </c>
      <c r="Z45" s="46">
        <f t="shared" si="34"/>
        <v>0</v>
      </c>
      <c r="AA45" s="46">
        <f t="shared" si="35"/>
        <v>0.41176470588235292</v>
      </c>
      <c r="AB45" s="24"/>
      <c r="AC45" s="24">
        <f>'2017-18_working'!T45+'2017-18_working'!U45</f>
        <v>1</v>
      </c>
      <c r="AD45" s="24">
        <f>'2017-18_working'!V45</f>
        <v>0</v>
      </c>
      <c r="AE45" s="24">
        <f>'2017-18_working'!W45</f>
        <v>0</v>
      </c>
      <c r="AF45" s="24">
        <f>'2017-18_working'!X45</f>
        <v>0</v>
      </c>
      <c r="AG45" s="24">
        <f>'2017-18_working'!Y45+'2017-18_working'!Z45</f>
        <v>0</v>
      </c>
      <c r="AH45" s="24">
        <f>'2017-18_working'!AA45</f>
        <v>2</v>
      </c>
      <c r="AI45" s="46">
        <f t="shared" si="41"/>
        <v>0</v>
      </c>
      <c r="AJ45" s="46">
        <f t="shared" si="42"/>
        <v>0.66666666666666663</v>
      </c>
      <c r="AK45" s="24"/>
      <c r="AL45" s="24">
        <f>'2017-18_working'!AC45+'2017-18_working'!AD45</f>
        <v>1</v>
      </c>
      <c r="AM45" s="24">
        <f>'2017-18_working'!AE45</f>
        <v>0</v>
      </c>
      <c r="AN45" s="24">
        <f>'2017-18_working'!AF45</f>
        <v>0</v>
      </c>
      <c r="AO45" s="24">
        <f>'2017-18_working'!AG45</f>
        <v>0</v>
      </c>
      <c r="AP45" s="24">
        <f>'2017-18_working'!AH45+'2017-18_working'!AI45</f>
        <v>0</v>
      </c>
      <c r="AQ45" s="24">
        <f>'2017-18_working'!AJ45</f>
        <v>0</v>
      </c>
      <c r="AR45" s="46">
        <f t="shared" si="48"/>
        <v>0</v>
      </c>
      <c r="AS45" s="46">
        <f t="shared" si="49"/>
        <v>0</v>
      </c>
      <c r="AT45" s="24"/>
      <c r="AU45" s="22">
        <f t="shared" si="50"/>
        <v>12</v>
      </c>
      <c r="AV45" s="22">
        <f t="shared" si="51"/>
        <v>0</v>
      </c>
      <c r="AW45" s="22">
        <f t="shared" si="52"/>
        <v>0</v>
      </c>
      <c r="AX45" s="22">
        <f t="shared" si="53"/>
        <v>0</v>
      </c>
      <c r="AY45" s="22">
        <f t="shared" si="54"/>
        <v>0</v>
      </c>
      <c r="AZ45" s="22">
        <f t="shared" si="55"/>
        <v>9</v>
      </c>
      <c r="BA45" s="46">
        <f t="shared" si="56"/>
        <v>0</v>
      </c>
      <c r="BB45" s="46">
        <f t="shared" si="57"/>
        <v>0.42857142857142855</v>
      </c>
      <c r="BC45" s="19"/>
      <c r="BD45" s="20">
        <f t="shared" si="58"/>
        <v>21</v>
      </c>
      <c r="BE45" s="20">
        <v>21</v>
      </c>
      <c r="BF45" s="53">
        <f t="shared" si="59"/>
        <v>0</v>
      </c>
      <c r="BG45" s="19"/>
      <c r="BH45" s="19"/>
      <c r="BI45" s="19"/>
      <c r="BJ45" s="19"/>
      <c r="BK45" s="19"/>
    </row>
    <row r="46" spans="1:63" s="8" customFormat="1" ht="15" customHeight="1" x14ac:dyDescent="0.35">
      <c r="A46" s="2" t="s">
        <v>53</v>
      </c>
      <c r="B46" s="24">
        <f>'2017-18_working'!B46+'2017-18_working'!C46</f>
        <v>7</v>
      </c>
      <c r="C46" s="24">
        <f>'2017-18_working'!D46</f>
        <v>0</v>
      </c>
      <c r="D46" s="24">
        <f>'2017-18_working'!E46</f>
        <v>0</v>
      </c>
      <c r="E46" s="24">
        <f>'2017-18_working'!F46</f>
        <v>0</v>
      </c>
      <c r="F46" s="24">
        <f>'2017-18_working'!G46+'2017-18_working'!H46</f>
        <v>0</v>
      </c>
      <c r="G46" s="24">
        <f>'2017-18_working'!I46</f>
        <v>24</v>
      </c>
      <c r="H46" s="46">
        <f t="shared" si="19"/>
        <v>0</v>
      </c>
      <c r="I46" s="46">
        <f t="shared" si="20"/>
        <v>0.77419354838709675</v>
      </c>
      <c r="J46" s="24"/>
      <c r="K46" s="24">
        <f>'2017-18_working'!K46+'2017-18_working'!L46</f>
        <v>12</v>
      </c>
      <c r="L46" s="24">
        <f>'2017-18_working'!M46</f>
        <v>0</v>
      </c>
      <c r="M46" s="24">
        <f>'2017-18_working'!N46</f>
        <v>0</v>
      </c>
      <c r="N46" s="24">
        <f>'2017-18_working'!O46</f>
        <v>0</v>
      </c>
      <c r="O46" s="24">
        <f>'2017-18_working'!P46+'2017-18_working'!Q46</f>
        <v>0</v>
      </c>
      <c r="P46" s="24">
        <f>'2017-18_working'!R46</f>
        <v>8</v>
      </c>
      <c r="Q46" s="46">
        <f t="shared" si="26"/>
        <v>0</v>
      </c>
      <c r="R46" s="46">
        <f t="shared" si="27"/>
        <v>0.4</v>
      </c>
      <c r="S46" s="24"/>
      <c r="T46" s="22">
        <f t="shared" si="28"/>
        <v>19</v>
      </c>
      <c r="U46" s="22">
        <f t="shared" si="29"/>
        <v>0</v>
      </c>
      <c r="V46" s="22">
        <f t="shared" si="30"/>
        <v>0</v>
      </c>
      <c r="W46" s="22">
        <f t="shared" si="31"/>
        <v>0</v>
      </c>
      <c r="X46" s="22">
        <f t="shared" si="32"/>
        <v>0</v>
      </c>
      <c r="Y46" s="22">
        <f t="shared" si="33"/>
        <v>32</v>
      </c>
      <c r="Z46" s="46">
        <f t="shared" si="34"/>
        <v>0</v>
      </c>
      <c r="AA46" s="46">
        <f t="shared" si="35"/>
        <v>0.62745098039215685</v>
      </c>
      <c r="AB46" s="24"/>
      <c r="AC46" s="24">
        <f>'2017-18_working'!T46+'2017-18_working'!U46</f>
        <v>3</v>
      </c>
      <c r="AD46" s="24">
        <f>'2017-18_working'!V46</f>
        <v>0</v>
      </c>
      <c r="AE46" s="24">
        <f>'2017-18_working'!W46</f>
        <v>0</v>
      </c>
      <c r="AF46" s="24">
        <f>'2017-18_working'!X46</f>
        <v>0</v>
      </c>
      <c r="AG46" s="24">
        <f>'2017-18_working'!Y46+'2017-18_working'!Z46</f>
        <v>0</v>
      </c>
      <c r="AH46" s="24">
        <f>'2017-18_working'!AA46</f>
        <v>0</v>
      </c>
      <c r="AI46" s="46">
        <f t="shared" si="41"/>
        <v>0</v>
      </c>
      <c r="AJ46" s="46">
        <f t="shared" si="42"/>
        <v>0</v>
      </c>
      <c r="AK46" s="24"/>
      <c r="AL46" s="24">
        <f>'2017-18_working'!AC46+'2017-18_working'!AD46</f>
        <v>12</v>
      </c>
      <c r="AM46" s="24">
        <f>'2017-18_working'!AE46</f>
        <v>0</v>
      </c>
      <c r="AN46" s="24">
        <f>'2017-18_working'!AF46</f>
        <v>1</v>
      </c>
      <c r="AO46" s="24">
        <f>'2017-18_working'!AG46</f>
        <v>0</v>
      </c>
      <c r="AP46" s="24">
        <f>'2017-18_working'!AH46+'2017-18_working'!AI46</f>
        <v>0</v>
      </c>
      <c r="AQ46" s="24">
        <f>'2017-18_working'!AJ46</f>
        <v>7</v>
      </c>
      <c r="AR46" s="46">
        <f t="shared" si="48"/>
        <v>7.6923076923076927E-2</v>
      </c>
      <c r="AS46" s="46">
        <f t="shared" si="49"/>
        <v>0.35</v>
      </c>
      <c r="AT46" s="24"/>
      <c r="AU46" s="22">
        <f t="shared" si="50"/>
        <v>34</v>
      </c>
      <c r="AV46" s="22">
        <f t="shared" si="51"/>
        <v>0</v>
      </c>
      <c r="AW46" s="22">
        <f t="shared" si="52"/>
        <v>1</v>
      </c>
      <c r="AX46" s="22">
        <f t="shared" si="53"/>
        <v>0</v>
      </c>
      <c r="AY46" s="22">
        <f t="shared" si="54"/>
        <v>0</v>
      </c>
      <c r="AZ46" s="22">
        <f t="shared" si="55"/>
        <v>39</v>
      </c>
      <c r="BA46" s="46">
        <f t="shared" si="56"/>
        <v>2.8571428571428571E-2</v>
      </c>
      <c r="BB46" s="46">
        <f t="shared" si="57"/>
        <v>0.52702702702702697</v>
      </c>
      <c r="BC46" s="19"/>
      <c r="BD46" s="20">
        <f t="shared" si="58"/>
        <v>74</v>
      </c>
      <c r="BE46" s="20">
        <v>74</v>
      </c>
      <c r="BF46" s="53">
        <f t="shared" si="59"/>
        <v>0</v>
      </c>
      <c r="BG46" s="19"/>
      <c r="BH46" s="19"/>
      <c r="BI46" s="19"/>
      <c r="BJ46" s="19"/>
      <c r="BK46" s="19"/>
    </row>
    <row r="47" spans="1:63" s="8" customFormat="1" ht="15" customHeight="1" x14ac:dyDescent="0.35">
      <c r="A47" s="2" t="s">
        <v>54</v>
      </c>
      <c r="B47" s="24">
        <f>'2017-18_working'!B47+'2017-18_working'!C47</f>
        <v>12</v>
      </c>
      <c r="C47" s="24">
        <f>'2017-18_working'!D47</f>
        <v>0</v>
      </c>
      <c r="D47" s="24">
        <f>'2017-18_working'!E47</f>
        <v>0</v>
      </c>
      <c r="E47" s="24">
        <f>'2017-18_working'!F47</f>
        <v>0</v>
      </c>
      <c r="F47" s="24">
        <f>'2017-18_working'!G47+'2017-18_working'!H47</f>
        <v>0</v>
      </c>
      <c r="G47" s="24">
        <f>'2017-18_working'!I47</f>
        <v>12</v>
      </c>
      <c r="H47" s="46">
        <f t="shared" si="19"/>
        <v>0</v>
      </c>
      <c r="I47" s="46">
        <f t="shared" si="20"/>
        <v>0.5</v>
      </c>
      <c r="J47" s="24"/>
      <c r="K47" s="24">
        <f>'2017-18_working'!K47+'2017-18_working'!L47</f>
        <v>37</v>
      </c>
      <c r="L47" s="24">
        <f>'2017-18_working'!M47</f>
        <v>1</v>
      </c>
      <c r="M47" s="24">
        <f>'2017-18_working'!N47</f>
        <v>0</v>
      </c>
      <c r="N47" s="24">
        <f>'2017-18_working'!O47</f>
        <v>0</v>
      </c>
      <c r="O47" s="24">
        <f>'2017-18_working'!P47+'2017-18_working'!Q47</f>
        <v>0</v>
      </c>
      <c r="P47" s="24">
        <f>'2017-18_working'!R47</f>
        <v>9</v>
      </c>
      <c r="Q47" s="46">
        <f t="shared" si="26"/>
        <v>2.6315789473684209E-2</v>
      </c>
      <c r="R47" s="46">
        <f t="shared" si="27"/>
        <v>0.19148936170212766</v>
      </c>
      <c r="S47" s="24"/>
      <c r="T47" s="22">
        <f t="shared" si="28"/>
        <v>49</v>
      </c>
      <c r="U47" s="22">
        <f t="shared" si="29"/>
        <v>1</v>
      </c>
      <c r="V47" s="22">
        <f t="shared" si="30"/>
        <v>0</v>
      </c>
      <c r="W47" s="22">
        <f t="shared" si="31"/>
        <v>0</v>
      </c>
      <c r="X47" s="22">
        <f t="shared" si="32"/>
        <v>0</v>
      </c>
      <c r="Y47" s="22">
        <f t="shared" si="33"/>
        <v>21</v>
      </c>
      <c r="Z47" s="46">
        <f t="shared" si="34"/>
        <v>0.02</v>
      </c>
      <c r="AA47" s="46">
        <f t="shared" si="35"/>
        <v>0.29577464788732394</v>
      </c>
      <c r="AB47" s="24"/>
      <c r="AC47" s="24">
        <f>'2017-18_working'!T47+'2017-18_working'!U47</f>
        <v>0</v>
      </c>
      <c r="AD47" s="24">
        <f>'2017-18_working'!V47</f>
        <v>0</v>
      </c>
      <c r="AE47" s="24">
        <f>'2017-18_working'!W47</f>
        <v>0</v>
      </c>
      <c r="AF47" s="24">
        <f>'2017-18_working'!X47</f>
        <v>0</v>
      </c>
      <c r="AG47" s="24">
        <f>'2017-18_working'!Y47+'2017-18_working'!Z47</f>
        <v>0</v>
      </c>
      <c r="AH47" s="24">
        <f>'2017-18_working'!AA47</f>
        <v>0</v>
      </c>
      <c r="AI47" s="46" t="str">
        <f t="shared" si="41"/>
        <v>-</v>
      </c>
      <c r="AJ47" s="46" t="str">
        <f t="shared" si="42"/>
        <v>-</v>
      </c>
      <c r="AK47" s="24"/>
      <c r="AL47" s="24">
        <f>'2017-18_working'!AC47+'2017-18_working'!AD47</f>
        <v>10</v>
      </c>
      <c r="AM47" s="24">
        <f>'2017-18_working'!AE47</f>
        <v>0</v>
      </c>
      <c r="AN47" s="24">
        <f>'2017-18_working'!AF47</f>
        <v>0</v>
      </c>
      <c r="AO47" s="24">
        <f>'2017-18_working'!AG47</f>
        <v>0</v>
      </c>
      <c r="AP47" s="24">
        <f>'2017-18_working'!AH47+'2017-18_working'!AI47</f>
        <v>0</v>
      </c>
      <c r="AQ47" s="24">
        <f>'2017-18_working'!AJ47</f>
        <v>0</v>
      </c>
      <c r="AR47" s="46">
        <f t="shared" si="48"/>
        <v>0</v>
      </c>
      <c r="AS47" s="46">
        <f t="shared" si="49"/>
        <v>0</v>
      </c>
      <c r="AT47" s="24"/>
      <c r="AU47" s="22">
        <f t="shared" si="50"/>
        <v>59</v>
      </c>
      <c r="AV47" s="22">
        <f t="shared" si="51"/>
        <v>1</v>
      </c>
      <c r="AW47" s="22">
        <f t="shared" si="52"/>
        <v>0</v>
      </c>
      <c r="AX47" s="22">
        <f t="shared" si="53"/>
        <v>0</v>
      </c>
      <c r="AY47" s="22">
        <f t="shared" si="54"/>
        <v>0</v>
      </c>
      <c r="AZ47" s="22">
        <f t="shared" si="55"/>
        <v>21</v>
      </c>
      <c r="BA47" s="46">
        <f t="shared" si="56"/>
        <v>1.6666666666666666E-2</v>
      </c>
      <c r="BB47" s="46">
        <f t="shared" si="57"/>
        <v>0.25925925925925924</v>
      </c>
      <c r="BC47" s="19"/>
      <c r="BD47" s="20">
        <f t="shared" si="58"/>
        <v>81</v>
      </c>
      <c r="BE47" s="20">
        <v>81</v>
      </c>
      <c r="BF47" s="53">
        <f t="shared" si="59"/>
        <v>0</v>
      </c>
      <c r="BG47" s="19"/>
      <c r="BH47" s="19"/>
      <c r="BI47" s="19"/>
      <c r="BJ47" s="19"/>
      <c r="BK47" s="19"/>
    </row>
    <row r="48" spans="1:63" s="8" customFormat="1" ht="15" customHeight="1" x14ac:dyDescent="0.35">
      <c r="A48" s="2" t="s">
        <v>55</v>
      </c>
      <c r="B48" s="24">
        <f>'2017-18_working'!B48+'2017-18_working'!C48</f>
        <v>0</v>
      </c>
      <c r="C48" s="24">
        <f>'2017-18_working'!D48</f>
        <v>0</v>
      </c>
      <c r="D48" s="24">
        <f>'2017-18_working'!E48</f>
        <v>0</v>
      </c>
      <c r="E48" s="24">
        <f>'2017-18_working'!F48</f>
        <v>0</v>
      </c>
      <c r="F48" s="24">
        <f>'2017-18_working'!G48+'2017-18_working'!H48</f>
        <v>0</v>
      </c>
      <c r="G48" s="24">
        <f>'2017-18_working'!I48</f>
        <v>0</v>
      </c>
      <c r="H48" s="46" t="str">
        <f t="shared" si="19"/>
        <v>-</v>
      </c>
      <c r="I48" s="46" t="str">
        <f t="shared" si="20"/>
        <v>-</v>
      </c>
      <c r="J48" s="24"/>
      <c r="K48" s="24">
        <f>'2017-18_working'!K48+'2017-18_working'!L48</f>
        <v>0</v>
      </c>
      <c r="L48" s="24">
        <f>'2017-18_working'!M48</f>
        <v>0</v>
      </c>
      <c r="M48" s="24">
        <f>'2017-18_working'!N48</f>
        <v>0</v>
      </c>
      <c r="N48" s="24">
        <f>'2017-18_working'!O48</f>
        <v>0</v>
      </c>
      <c r="O48" s="24">
        <f>'2017-18_working'!P48+'2017-18_working'!Q48</f>
        <v>0</v>
      </c>
      <c r="P48" s="24">
        <f>'2017-18_working'!R48</f>
        <v>2</v>
      </c>
      <c r="Q48" s="46" t="str">
        <f t="shared" si="26"/>
        <v>-</v>
      </c>
      <c r="R48" s="46">
        <f t="shared" si="27"/>
        <v>1</v>
      </c>
      <c r="S48" s="24"/>
      <c r="T48" s="22">
        <f t="shared" si="28"/>
        <v>0</v>
      </c>
      <c r="U48" s="22">
        <f t="shared" si="29"/>
        <v>0</v>
      </c>
      <c r="V48" s="22">
        <f t="shared" si="30"/>
        <v>0</v>
      </c>
      <c r="W48" s="22">
        <f t="shared" si="31"/>
        <v>0</v>
      </c>
      <c r="X48" s="22">
        <f t="shared" si="32"/>
        <v>0</v>
      </c>
      <c r="Y48" s="22">
        <f t="shared" si="33"/>
        <v>2</v>
      </c>
      <c r="Z48" s="46" t="str">
        <f t="shared" si="34"/>
        <v>-</v>
      </c>
      <c r="AA48" s="46">
        <f t="shared" si="35"/>
        <v>1</v>
      </c>
      <c r="AB48" s="24"/>
      <c r="AC48" s="24">
        <f>'2017-18_working'!T48+'2017-18_working'!U48</f>
        <v>0</v>
      </c>
      <c r="AD48" s="24">
        <f>'2017-18_working'!V48</f>
        <v>0</v>
      </c>
      <c r="AE48" s="24">
        <f>'2017-18_working'!W48</f>
        <v>0</v>
      </c>
      <c r="AF48" s="24">
        <f>'2017-18_working'!X48</f>
        <v>0</v>
      </c>
      <c r="AG48" s="24">
        <f>'2017-18_working'!Y48+'2017-18_working'!Z48</f>
        <v>0</v>
      </c>
      <c r="AH48" s="24">
        <f>'2017-18_working'!AA48</f>
        <v>0</v>
      </c>
      <c r="AI48" s="46" t="str">
        <f t="shared" si="41"/>
        <v>-</v>
      </c>
      <c r="AJ48" s="46" t="str">
        <f t="shared" si="42"/>
        <v>-</v>
      </c>
      <c r="AK48" s="24"/>
      <c r="AL48" s="24">
        <f>'2017-18_working'!AC48+'2017-18_working'!AD48</f>
        <v>0</v>
      </c>
      <c r="AM48" s="24">
        <f>'2017-18_working'!AE48</f>
        <v>0</v>
      </c>
      <c r="AN48" s="24">
        <f>'2017-18_working'!AF48</f>
        <v>0</v>
      </c>
      <c r="AO48" s="24">
        <f>'2017-18_working'!AG48</f>
        <v>0</v>
      </c>
      <c r="AP48" s="24">
        <f>'2017-18_working'!AH48+'2017-18_working'!AI48</f>
        <v>0</v>
      </c>
      <c r="AQ48" s="24">
        <f>'2017-18_working'!AJ48</f>
        <v>0</v>
      </c>
      <c r="AR48" s="46" t="str">
        <f t="shared" si="48"/>
        <v>-</v>
      </c>
      <c r="AS48" s="46" t="str">
        <f t="shared" si="49"/>
        <v>-</v>
      </c>
      <c r="AT48" s="24"/>
      <c r="AU48" s="22">
        <f t="shared" si="50"/>
        <v>0</v>
      </c>
      <c r="AV48" s="22">
        <f t="shared" si="51"/>
        <v>0</v>
      </c>
      <c r="AW48" s="22">
        <f t="shared" si="52"/>
        <v>0</v>
      </c>
      <c r="AX48" s="22">
        <f t="shared" si="53"/>
        <v>0</v>
      </c>
      <c r="AY48" s="22">
        <f t="shared" si="54"/>
        <v>0</v>
      </c>
      <c r="AZ48" s="22">
        <f t="shared" si="55"/>
        <v>2</v>
      </c>
      <c r="BA48" s="46" t="str">
        <f t="shared" si="56"/>
        <v>-</v>
      </c>
      <c r="BB48" s="46">
        <f t="shared" si="57"/>
        <v>1</v>
      </c>
      <c r="BC48" s="19"/>
      <c r="BD48" s="20">
        <f t="shared" si="58"/>
        <v>2</v>
      </c>
      <c r="BE48" s="20">
        <v>2</v>
      </c>
      <c r="BF48" s="53">
        <f t="shared" si="59"/>
        <v>0</v>
      </c>
      <c r="BG48" s="19"/>
      <c r="BH48" s="19"/>
      <c r="BI48" s="19"/>
      <c r="BJ48" s="19"/>
      <c r="BK48" s="19"/>
    </row>
    <row r="49" spans="1:63" s="8" customFormat="1" ht="15" customHeight="1" x14ac:dyDescent="0.35">
      <c r="A49" s="21" t="s">
        <v>56</v>
      </c>
      <c r="B49" s="22">
        <f>SUM(B50:B56)</f>
        <v>328</v>
      </c>
      <c r="C49" s="22">
        <f t="shared" ref="C49:G49" si="60">SUM(C50:C56)</f>
        <v>37</v>
      </c>
      <c r="D49" s="22">
        <f t="shared" si="60"/>
        <v>12</v>
      </c>
      <c r="E49" s="22">
        <f t="shared" si="60"/>
        <v>17</v>
      </c>
      <c r="F49" s="22">
        <f t="shared" si="60"/>
        <v>5</v>
      </c>
      <c r="G49" s="22">
        <f t="shared" si="60"/>
        <v>41</v>
      </c>
      <c r="H49" s="46">
        <f t="shared" si="19"/>
        <v>0.17794486215538846</v>
      </c>
      <c r="I49" s="46">
        <f t="shared" si="20"/>
        <v>9.3181818181818185E-2</v>
      </c>
      <c r="J49" s="22"/>
      <c r="K49" s="22">
        <f>SUM(K50:K56)</f>
        <v>53</v>
      </c>
      <c r="L49" s="22">
        <f t="shared" ref="L49" si="61">SUM(L50:L56)</f>
        <v>1</v>
      </c>
      <c r="M49" s="22">
        <f t="shared" ref="M49" si="62">SUM(M50:M56)</f>
        <v>0</v>
      </c>
      <c r="N49" s="22">
        <f t="shared" ref="N49" si="63">SUM(N50:N56)</f>
        <v>0</v>
      </c>
      <c r="O49" s="22">
        <f t="shared" ref="O49" si="64">SUM(O50:O56)</f>
        <v>0</v>
      </c>
      <c r="P49" s="22">
        <f t="shared" ref="P49" si="65">SUM(P50:P56)</f>
        <v>1</v>
      </c>
      <c r="Q49" s="46">
        <f t="shared" si="26"/>
        <v>1.8518518518518517E-2</v>
      </c>
      <c r="R49" s="46">
        <f t="shared" si="27"/>
        <v>1.8181818181818181E-2</v>
      </c>
      <c r="S49" s="22"/>
      <c r="T49" s="22">
        <f t="shared" si="28"/>
        <v>381</v>
      </c>
      <c r="U49" s="22">
        <f t="shared" si="29"/>
        <v>38</v>
      </c>
      <c r="V49" s="22">
        <f t="shared" si="30"/>
        <v>12</v>
      </c>
      <c r="W49" s="22">
        <f t="shared" si="31"/>
        <v>17</v>
      </c>
      <c r="X49" s="22">
        <f t="shared" si="32"/>
        <v>5</v>
      </c>
      <c r="Y49" s="22">
        <f t="shared" si="33"/>
        <v>42</v>
      </c>
      <c r="Z49" s="46">
        <f t="shared" si="34"/>
        <v>0.15894039735099338</v>
      </c>
      <c r="AA49" s="46">
        <f t="shared" si="35"/>
        <v>8.4848484848484854E-2</v>
      </c>
      <c r="AB49" s="22"/>
      <c r="AC49" s="22">
        <f>SUM(AC50:AC56)</f>
        <v>29</v>
      </c>
      <c r="AD49" s="22">
        <f t="shared" ref="AD49" si="66">SUM(AD50:AD56)</f>
        <v>2</v>
      </c>
      <c r="AE49" s="22">
        <f t="shared" ref="AE49" si="67">SUM(AE50:AE56)</f>
        <v>1</v>
      </c>
      <c r="AF49" s="22">
        <f t="shared" ref="AF49" si="68">SUM(AF50:AF56)</f>
        <v>1</v>
      </c>
      <c r="AG49" s="22">
        <f t="shared" ref="AG49" si="69">SUM(AG50:AG56)</f>
        <v>0</v>
      </c>
      <c r="AH49" s="22">
        <f t="shared" ref="AH49" si="70">SUM(AH50:AH56)</f>
        <v>0</v>
      </c>
      <c r="AI49" s="46">
        <f t="shared" si="41"/>
        <v>0.12121212121212122</v>
      </c>
      <c r="AJ49" s="46">
        <f t="shared" si="42"/>
        <v>0</v>
      </c>
      <c r="AK49" s="22"/>
      <c r="AL49" s="22">
        <f>SUM(AL50:AL56)</f>
        <v>210</v>
      </c>
      <c r="AM49" s="22">
        <f t="shared" ref="AM49" si="71">SUM(AM50:AM56)</f>
        <v>4</v>
      </c>
      <c r="AN49" s="22">
        <f t="shared" ref="AN49" si="72">SUM(AN50:AN56)</f>
        <v>16</v>
      </c>
      <c r="AO49" s="22">
        <f t="shared" ref="AO49" si="73">SUM(AO50:AO56)</f>
        <v>20</v>
      </c>
      <c r="AP49" s="22">
        <f t="shared" ref="AP49" si="74">SUM(AP50:AP56)</f>
        <v>10</v>
      </c>
      <c r="AQ49" s="22">
        <f t="shared" ref="AQ49" si="75">SUM(AQ50:AQ56)</f>
        <v>42</v>
      </c>
      <c r="AR49" s="46">
        <f t="shared" si="48"/>
        <v>0.19230769230769232</v>
      </c>
      <c r="AS49" s="46">
        <f t="shared" si="49"/>
        <v>0.13907284768211919</v>
      </c>
      <c r="AT49" s="22"/>
      <c r="AU49" s="22">
        <f t="shared" si="50"/>
        <v>620</v>
      </c>
      <c r="AV49" s="22">
        <f t="shared" si="51"/>
        <v>44</v>
      </c>
      <c r="AW49" s="22">
        <f t="shared" si="52"/>
        <v>29</v>
      </c>
      <c r="AX49" s="22">
        <f t="shared" si="53"/>
        <v>38</v>
      </c>
      <c r="AY49" s="22">
        <f t="shared" si="54"/>
        <v>15</v>
      </c>
      <c r="AZ49" s="22">
        <f t="shared" si="55"/>
        <v>84</v>
      </c>
      <c r="BA49" s="46">
        <f t="shared" si="56"/>
        <v>0.16890080428954424</v>
      </c>
      <c r="BB49" s="46">
        <f t="shared" si="57"/>
        <v>0.10120481927710843</v>
      </c>
      <c r="BC49" s="19"/>
      <c r="BD49" s="20">
        <f t="shared" si="58"/>
        <v>830</v>
      </c>
      <c r="BE49" s="20">
        <v>830</v>
      </c>
      <c r="BF49" s="53">
        <f t="shared" si="59"/>
        <v>0</v>
      </c>
      <c r="BG49" s="19"/>
      <c r="BH49" s="19"/>
      <c r="BI49" s="19"/>
      <c r="BJ49" s="19"/>
      <c r="BK49" s="19"/>
    </row>
    <row r="50" spans="1:63" s="8" customFormat="1" ht="15" customHeight="1" x14ac:dyDescent="0.35">
      <c r="A50" s="2" t="s">
        <v>57</v>
      </c>
      <c r="B50" s="24">
        <f>'2017-18_working'!B50+'2017-18_working'!C50</f>
        <v>16</v>
      </c>
      <c r="C50" s="24">
        <f>'2017-18_working'!D50</f>
        <v>7</v>
      </c>
      <c r="D50" s="24">
        <f>'2017-18_working'!E50</f>
        <v>2</v>
      </c>
      <c r="E50" s="24">
        <f>'2017-18_working'!F50</f>
        <v>1</v>
      </c>
      <c r="F50" s="24">
        <f>'2017-18_working'!G50+'2017-18_working'!H50</f>
        <v>1</v>
      </c>
      <c r="G50" s="24">
        <f>'2017-18_working'!I50</f>
        <v>28</v>
      </c>
      <c r="H50" s="46">
        <f t="shared" si="19"/>
        <v>0.40740740740740738</v>
      </c>
      <c r="I50" s="46">
        <f t="shared" si="20"/>
        <v>0.50909090909090904</v>
      </c>
      <c r="J50" s="24"/>
      <c r="K50" s="24">
        <f>'2017-18_working'!K50+'2017-18_working'!L50</f>
        <v>0</v>
      </c>
      <c r="L50" s="24">
        <f>'2017-18_working'!M50</f>
        <v>0</v>
      </c>
      <c r="M50" s="24">
        <f>'2017-18_working'!N50</f>
        <v>0</v>
      </c>
      <c r="N50" s="24">
        <f>'2017-18_working'!O50</f>
        <v>0</v>
      </c>
      <c r="O50" s="24">
        <f>'2017-18_working'!P50+'2017-18_working'!Q50</f>
        <v>0</v>
      </c>
      <c r="P50" s="24">
        <f>'2017-18_working'!R50</f>
        <v>0</v>
      </c>
      <c r="Q50" s="46" t="str">
        <f t="shared" si="26"/>
        <v>-</v>
      </c>
      <c r="R50" s="46" t="str">
        <f t="shared" si="27"/>
        <v>-</v>
      </c>
      <c r="S50" s="24"/>
      <c r="T50" s="22">
        <f t="shared" si="28"/>
        <v>16</v>
      </c>
      <c r="U50" s="22">
        <f t="shared" si="29"/>
        <v>7</v>
      </c>
      <c r="V50" s="22">
        <f t="shared" si="30"/>
        <v>2</v>
      </c>
      <c r="W50" s="22">
        <f t="shared" si="31"/>
        <v>1</v>
      </c>
      <c r="X50" s="22">
        <f t="shared" si="32"/>
        <v>1</v>
      </c>
      <c r="Y50" s="22">
        <f t="shared" si="33"/>
        <v>28</v>
      </c>
      <c r="Z50" s="46">
        <f t="shared" si="34"/>
        <v>0.40740740740740738</v>
      </c>
      <c r="AA50" s="46">
        <f t="shared" si="35"/>
        <v>0.50909090909090904</v>
      </c>
      <c r="AB50" s="24"/>
      <c r="AC50" s="24">
        <f>'2017-18_working'!T50+'2017-18_working'!U50</f>
        <v>0</v>
      </c>
      <c r="AD50" s="24">
        <f>'2017-18_working'!V50</f>
        <v>0</v>
      </c>
      <c r="AE50" s="24">
        <f>'2017-18_working'!W50</f>
        <v>0</v>
      </c>
      <c r="AF50" s="24">
        <f>'2017-18_working'!X50</f>
        <v>0</v>
      </c>
      <c r="AG50" s="24">
        <f>'2017-18_working'!Y50+'2017-18_working'!Z50</f>
        <v>0</v>
      </c>
      <c r="AH50" s="24">
        <f>'2017-18_working'!AA50</f>
        <v>0</v>
      </c>
      <c r="AI50" s="46" t="str">
        <f t="shared" si="41"/>
        <v>-</v>
      </c>
      <c r="AJ50" s="46" t="str">
        <f t="shared" si="42"/>
        <v>-</v>
      </c>
      <c r="AK50" s="24"/>
      <c r="AL50" s="24">
        <f>'2017-18_working'!AC50+'2017-18_working'!AD50</f>
        <v>51</v>
      </c>
      <c r="AM50" s="24">
        <f>'2017-18_working'!AE50</f>
        <v>1</v>
      </c>
      <c r="AN50" s="24">
        <f>'2017-18_working'!AF50</f>
        <v>1</v>
      </c>
      <c r="AO50" s="24">
        <f>'2017-18_working'!AG50</f>
        <v>2</v>
      </c>
      <c r="AP50" s="24">
        <f>'2017-18_working'!AH50+'2017-18_working'!AI50</f>
        <v>1</v>
      </c>
      <c r="AQ50" s="24">
        <f>'2017-18_working'!AJ50</f>
        <v>24</v>
      </c>
      <c r="AR50" s="46">
        <f t="shared" si="48"/>
        <v>8.9285714285714288E-2</v>
      </c>
      <c r="AS50" s="46">
        <f t="shared" si="49"/>
        <v>0.3</v>
      </c>
      <c r="AT50" s="24"/>
      <c r="AU50" s="22">
        <f t="shared" si="50"/>
        <v>67</v>
      </c>
      <c r="AV50" s="22">
        <f t="shared" si="51"/>
        <v>8</v>
      </c>
      <c r="AW50" s="22">
        <f t="shared" si="52"/>
        <v>3</v>
      </c>
      <c r="AX50" s="22">
        <f t="shared" si="53"/>
        <v>3</v>
      </c>
      <c r="AY50" s="22">
        <f t="shared" si="54"/>
        <v>2</v>
      </c>
      <c r="AZ50" s="22">
        <f t="shared" si="55"/>
        <v>52</v>
      </c>
      <c r="BA50" s="46">
        <f t="shared" si="56"/>
        <v>0.19277108433734941</v>
      </c>
      <c r="BB50" s="46">
        <f t="shared" si="57"/>
        <v>0.38518518518518519</v>
      </c>
      <c r="BC50" s="19"/>
      <c r="BD50" s="20">
        <f t="shared" si="58"/>
        <v>135</v>
      </c>
      <c r="BE50" s="20">
        <v>135</v>
      </c>
      <c r="BF50" s="53">
        <f t="shared" si="59"/>
        <v>0</v>
      </c>
      <c r="BG50" s="19"/>
      <c r="BH50" s="19"/>
      <c r="BI50" s="19"/>
      <c r="BJ50" s="19"/>
      <c r="BK50" s="19"/>
    </row>
    <row r="51" spans="1:63" s="8" customFormat="1" ht="15" customHeight="1" x14ac:dyDescent="0.35">
      <c r="A51" s="2" t="s">
        <v>58</v>
      </c>
      <c r="B51" s="24">
        <f>'2017-18_working'!B51+'2017-18_working'!C51</f>
        <v>26</v>
      </c>
      <c r="C51" s="24">
        <f>'2017-18_working'!D51</f>
        <v>5</v>
      </c>
      <c r="D51" s="24">
        <f>'2017-18_working'!E51</f>
        <v>0</v>
      </c>
      <c r="E51" s="24">
        <f>'2017-18_working'!F51</f>
        <v>0</v>
      </c>
      <c r="F51" s="24">
        <f>'2017-18_working'!G51+'2017-18_working'!H51</f>
        <v>0</v>
      </c>
      <c r="G51" s="24">
        <f>'2017-18_working'!I51</f>
        <v>1</v>
      </c>
      <c r="H51" s="46">
        <f t="shared" si="19"/>
        <v>0.16129032258064516</v>
      </c>
      <c r="I51" s="46">
        <f t="shared" si="20"/>
        <v>3.125E-2</v>
      </c>
      <c r="J51" s="24"/>
      <c r="K51" s="24">
        <f>'2017-18_working'!K51+'2017-18_working'!L51</f>
        <v>14</v>
      </c>
      <c r="L51" s="24">
        <f>'2017-18_working'!M51</f>
        <v>1</v>
      </c>
      <c r="M51" s="24">
        <f>'2017-18_working'!N51</f>
        <v>0</v>
      </c>
      <c r="N51" s="24">
        <f>'2017-18_working'!O51</f>
        <v>0</v>
      </c>
      <c r="O51" s="24">
        <f>'2017-18_working'!P51+'2017-18_working'!Q51</f>
        <v>0</v>
      </c>
      <c r="P51" s="24">
        <f>'2017-18_working'!R51</f>
        <v>1</v>
      </c>
      <c r="Q51" s="46">
        <f t="shared" si="26"/>
        <v>6.6666666666666666E-2</v>
      </c>
      <c r="R51" s="46">
        <f t="shared" si="27"/>
        <v>6.25E-2</v>
      </c>
      <c r="S51" s="24"/>
      <c r="T51" s="22">
        <f t="shared" si="28"/>
        <v>40</v>
      </c>
      <c r="U51" s="22">
        <f t="shared" si="29"/>
        <v>6</v>
      </c>
      <c r="V51" s="22">
        <f t="shared" si="30"/>
        <v>0</v>
      </c>
      <c r="W51" s="22">
        <f t="shared" si="31"/>
        <v>0</v>
      </c>
      <c r="X51" s="22">
        <f t="shared" si="32"/>
        <v>0</v>
      </c>
      <c r="Y51" s="22">
        <f t="shared" si="33"/>
        <v>2</v>
      </c>
      <c r="Z51" s="46">
        <f t="shared" si="34"/>
        <v>0.13043478260869565</v>
      </c>
      <c r="AA51" s="46">
        <f t="shared" si="35"/>
        <v>4.1666666666666664E-2</v>
      </c>
      <c r="AB51" s="24"/>
      <c r="AC51" s="24">
        <f>'2017-18_working'!T51+'2017-18_working'!U51</f>
        <v>7</v>
      </c>
      <c r="AD51" s="24">
        <f>'2017-18_working'!V51</f>
        <v>0</v>
      </c>
      <c r="AE51" s="24">
        <f>'2017-18_working'!W51</f>
        <v>0</v>
      </c>
      <c r="AF51" s="24">
        <f>'2017-18_working'!X51</f>
        <v>0</v>
      </c>
      <c r="AG51" s="24">
        <f>'2017-18_working'!Y51+'2017-18_working'!Z51</f>
        <v>0</v>
      </c>
      <c r="AH51" s="24">
        <f>'2017-18_working'!AA51</f>
        <v>0</v>
      </c>
      <c r="AI51" s="46">
        <f t="shared" si="41"/>
        <v>0</v>
      </c>
      <c r="AJ51" s="46">
        <f t="shared" si="42"/>
        <v>0</v>
      </c>
      <c r="AK51" s="24"/>
      <c r="AL51" s="24">
        <f>'2017-18_working'!AC51+'2017-18_working'!AD51</f>
        <v>16</v>
      </c>
      <c r="AM51" s="24">
        <f>'2017-18_working'!AE51</f>
        <v>0</v>
      </c>
      <c r="AN51" s="24">
        <f>'2017-18_working'!AF51</f>
        <v>0</v>
      </c>
      <c r="AO51" s="24">
        <f>'2017-18_working'!AG51</f>
        <v>0</v>
      </c>
      <c r="AP51" s="24">
        <f>'2017-18_working'!AH51+'2017-18_working'!AI51</f>
        <v>0</v>
      </c>
      <c r="AQ51" s="24">
        <f>'2017-18_working'!AJ51</f>
        <v>1</v>
      </c>
      <c r="AR51" s="46">
        <f t="shared" si="48"/>
        <v>0</v>
      </c>
      <c r="AS51" s="46">
        <f t="shared" si="49"/>
        <v>5.8823529411764705E-2</v>
      </c>
      <c r="AT51" s="24"/>
      <c r="AU51" s="22">
        <f t="shared" si="50"/>
        <v>63</v>
      </c>
      <c r="AV51" s="22">
        <f t="shared" si="51"/>
        <v>6</v>
      </c>
      <c r="AW51" s="22">
        <f t="shared" si="52"/>
        <v>0</v>
      </c>
      <c r="AX51" s="22">
        <f t="shared" si="53"/>
        <v>0</v>
      </c>
      <c r="AY51" s="22">
        <f t="shared" si="54"/>
        <v>0</v>
      </c>
      <c r="AZ51" s="22">
        <f t="shared" si="55"/>
        <v>3</v>
      </c>
      <c r="BA51" s="46">
        <f t="shared" si="56"/>
        <v>8.6956521739130432E-2</v>
      </c>
      <c r="BB51" s="46">
        <f t="shared" si="57"/>
        <v>4.1666666666666664E-2</v>
      </c>
      <c r="BC51" s="19"/>
      <c r="BD51" s="20">
        <f t="shared" si="58"/>
        <v>72</v>
      </c>
      <c r="BE51" s="20">
        <v>72</v>
      </c>
      <c r="BF51" s="53">
        <f t="shared" si="59"/>
        <v>0</v>
      </c>
      <c r="BG51" s="19"/>
      <c r="BH51" s="19"/>
      <c r="BI51" s="19"/>
      <c r="BJ51" s="19"/>
      <c r="BK51" s="19"/>
    </row>
    <row r="52" spans="1:63" s="8" customFormat="1" ht="15" customHeight="1" x14ac:dyDescent="0.35">
      <c r="A52" s="2" t="s">
        <v>59</v>
      </c>
      <c r="B52" s="24">
        <f>'2017-18_working'!B52+'2017-18_working'!C52</f>
        <v>27</v>
      </c>
      <c r="C52" s="24">
        <f>'2017-18_working'!D52</f>
        <v>4</v>
      </c>
      <c r="D52" s="24">
        <f>'2017-18_working'!E52</f>
        <v>0</v>
      </c>
      <c r="E52" s="24">
        <f>'2017-18_working'!F52</f>
        <v>0</v>
      </c>
      <c r="F52" s="24">
        <f>'2017-18_working'!G52+'2017-18_working'!H52</f>
        <v>0</v>
      </c>
      <c r="G52" s="24">
        <f>'2017-18_working'!I52</f>
        <v>1</v>
      </c>
      <c r="H52" s="46">
        <f t="shared" si="19"/>
        <v>0.12903225806451613</v>
      </c>
      <c r="I52" s="46">
        <f t="shared" si="20"/>
        <v>3.125E-2</v>
      </c>
      <c r="J52" s="24"/>
      <c r="K52" s="24">
        <f>'2017-18_working'!K52+'2017-18_working'!L52</f>
        <v>26</v>
      </c>
      <c r="L52" s="24">
        <f>'2017-18_working'!M52</f>
        <v>0</v>
      </c>
      <c r="M52" s="24">
        <f>'2017-18_working'!N52</f>
        <v>0</v>
      </c>
      <c r="N52" s="24">
        <f>'2017-18_working'!O52</f>
        <v>0</v>
      </c>
      <c r="O52" s="24">
        <f>'2017-18_working'!P52+'2017-18_working'!Q52</f>
        <v>0</v>
      </c>
      <c r="P52" s="24">
        <f>'2017-18_working'!R52</f>
        <v>0</v>
      </c>
      <c r="Q52" s="46">
        <f t="shared" si="26"/>
        <v>0</v>
      </c>
      <c r="R52" s="46">
        <f t="shared" si="27"/>
        <v>0</v>
      </c>
      <c r="S52" s="24"/>
      <c r="T52" s="22">
        <f t="shared" si="28"/>
        <v>53</v>
      </c>
      <c r="U52" s="22">
        <f t="shared" si="29"/>
        <v>4</v>
      </c>
      <c r="V52" s="22">
        <f t="shared" si="30"/>
        <v>0</v>
      </c>
      <c r="W52" s="22">
        <f t="shared" si="31"/>
        <v>0</v>
      </c>
      <c r="X52" s="22">
        <f t="shared" si="32"/>
        <v>0</v>
      </c>
      <c r="Y52" s="22">
        <f t="shared" si="33"/>
        <v>1</v>
      </c>
      <c r="Z52" s="46">
        <f t="shared" si="34"/>
        <v>7.0175438596491224E-2</v>
      </c>
      <c r="AA52" s="46">
        <f t="shared" si="35"/>
        <v>1.7241379310344827E-2</v>
      </c>
      <c r="AB52" s="24"/>
      <c r="AC52" s="24">
        <f>'2017-18_working'!T52+'2017-18_working'!U52</f>
        <v>3</v>
      </c>
      <c r="AD52" s="24">
        <f>'2017-18_working'!V52</f>
        <v>0</v>
      </c>
      <c r="AE52" s="24">
        <f>'2017-18_working'!W52</f>
        <v>0</v>
      </c>
      <c r="AF52" s="24">
        <f>'2017-18_working'!X52</f>
        <v>0</v>
      </c>
      <c r="AG52" s="24">
        <f>'2017-18_working'!Y52+'2017-18_working'!Z52</f>
        <v>0</v>
      </c>
      <c r="AH52" s="24">
        <f>'2017-18_working'!AA52</f>
        <v>0</v>
      </c>
      <c r="AI52" s="46">
        <f t="shared" si="41"/>
        <v>0</v>
      </c>
      <c r="AJ52" s="46">
        <f t="shared" si="42"/>
        <v>0</v>
      </c>
      <c r="AK52" s="24"/>
      <c r="AL52" s="24">
        <f>'2017-18_working'!AC52+'2017-18_working'!AD52</f>
        <v>35</v>
      </c>
      <c r="AM52" s="24">
        <f>'2017-18_working'!AE52</f>
        <v>0</v>
      </c>
      <c r="AN52" s="24">
        <f>'2017-18_working'!AF52</f>
        <v>2</v>
      </c>
      <c r="AO52" s="24">
        <f>'2017-18_working'!AG52</f>
        <v>0</v>
      </c>
      <c r="AP52" s="24">
        <f>'2017-18_working'!AH52+'2017-18_working'!AI52</f>
        <v>0</v>
      </c>
      <c r="AQ52" s="24">
        <f>'2017-18_working'!AJ52</f>
        <v>0</v>
      </c>
      <c r="AR52" s="46">
        <f t="shared" si="48"/>
        <v>5.4054054054054057E-2</v>
      </c>
      <c r="AS52" s="46">
        <f t="shared" si="49"/>
        <v>0</v>
      </c>
      <c r="AT52" s="24"/>
      <c r="AU52" s="22">
        <f t="shared" si="50"/>
        <v>91</v>
      </c>
      <c r="AV52" s="22">
        <f t="shared" si="51"/>
        <v>4</v>
      </c>
      <c r="AW52" s="22">
        <f t="shared" si="52"/>
        <v>2</v>
      </c>
      <c r="AX52" s="22">
        <f t="shared" si="53"/>
        <v>0</v>
      </c>
      <c r="AY52" s="22">
        <f t="shared" si="54"/>
        <v>0</v>
      </c>
      <c r="AZ52" s="22">
        <f t="shared" si="55"/>
        <v>1</v>
      </c>
      <c r="BA52" s="46">
        <f t="shared" si="56"/>
        <v>6.1855670103092786E-2</v>
      </c>
      <c r="BB52" s="46">
        <f t="shared" si="57"/>
        <v>1.020408163265306E-2</v>
      </c>
      <c r="BC52" s="19"/>
      <c r="BD52" s="20">
        <f t="shared" si="58"/>
        <v>98</v>
      </c>
      <c r="BE52" s="20">
        <v>98</v>
      </c>
      <c r="BF52" s="53">
        <f t="shared" si="59"/>
        <v>0</v>
      </c>
      <c r="BG52" s="19"/>
      <c r="BH52" s="19"/>
      <c r="BI52" s="19"/>
      <c r="BJ52" s="19"/>
      <c r="BK52" s="19"/>
    </row>
    <row r="53" spans="1:63" s="8" customFormat="1" ht="15" customHeight="1" x14ac:dyDescent="0.35">
      <c r="A53" s="2" t="s">
        <v>60</v>
      </c>
      <c r="B53" s="24">
        <f>'2017-18_working'!B53+'2017-18_working'!C53</f>
        <v>6</v>
      </c>
      <c r="C53" s="24">
        <f>'2017-18_working'!D53</f>
        <v>0</v>
      </c>
      <c r="D53" s="24">
        <f>'2017-18_working'!E53</f>
        <v>0</v>
      </c>
      <c r="E53" s="24">
        <f>'2017-18_working'!F53</f>
        <v>0</v>
      </c>
      <c r="F53" s="24">
        <f>'2017-18_working'!G53+'2017-18_working'!H53</f>
        <v>0</v>
      </c>
      <c r="G53" s="24">
        <f>'2017-18_working'!I53</f>
        <v>0</v>
      </c>
      <c r="H53" s="46">
        <f t="shared" si="19"/>
        <v>0</v>
      </c>
      <c r="I53" s="46">
        <f t="shared" si="20"/>
        <v>0</v>
      </c>
      <c r="J53" s="24"/>
      <c r="K53" s="24">
        <f>'2017-18_working'!K53+'2017-18_working'!L53</f>
        <v>6</v>
      </c>
      <c r="L53" s="24">
        <f>'2017-18_working'!M53</f>
        <v>0</v>
      </c>
      <c r="M53" s="24">
        <f>'2017-18_working'!N53</f>
        <v>0</v>
      </c>
      <c r="N53" s="24">
        <f>'2017-18_working'!O53</f>
        <v>0</v>
      </c>
      <c r="O53" s="24">
        <f>'2017-18_working'!P53+'2017-18_working'!Q53</f>
        <v>0</v>
      </c>
      <c r="P53" s="24">
        <f>'2017-18_working'!R53</f>
        <v>0</v>
      </c>
      <c r="Q53" s="46">
        <f t="shared" si="26"/>
        <v>0</v>
      </c>
      <c r="R53" s="46">
        <f t="shared" si="27"/>
        <v>0</v>
      </c>
      <c r="S53" s="24"/>
      <c r="T53" s="22">
        <f t="shared" si="28"/>
        <v>12</v>
      </c>
      <c r="U53" s="22">
        <f t="shared" si="29"/>
        <v>0</v>
      </c>
      <c r="V53" s="22">
        <f t="shared" si="30"/>
        <v>0</v>
      </c>
      <c r="W53" s="22">
        <f t="shared" si="31"/>
        <v>0</v>
      </c>
      <c r="X53" s="22">
        <f t="shared" si="32"/>
        <v>0</v>
      </c>
      <c r="Y53" s="22">
        <f t="shared" si="33"/>
        <v>0</v>
      </c>
      <c r="Z53" s="46">
        <f t="shared" si="34"/>
        <v>0</v>
      </c>
      <c r="AA53" s="46">
        <f t="shared" si="35"/>
        <v>0</v>
      </c>
      <c r="AB53" s="24"/>
      <c r="AC53" s="24">
        <f>'2017-18_working'!T53+'2017-18_working'!U53</f>
        <v>1</v>
      </c>
      <c r="AD53" s="24">
        <f>'2017-18_working'!V53</f>
        <v>0</v>
      </c>
      <c r="AE53" s="24">
        <f>'2017-18_working'!W53</f>
        <v>0</v>
      </c>
      <c r="AF53" s="24">
        <f>'2017-18_working'!X53</f>
        <v>0</v>
      </c>
      <c r="AG53" s="24">
        <f>'2017-18_working'!Y53+'2017-18_working'!Z53</f>
        <v>0</v>
      </c>
      <c r="AH53" s="24">
        <f>'2017-18_working'!AA53</f>
        <v>0</v>
      </c>
      <c r="AI53" s="46">
        <f t="shared" si="41"/>
        <v>0</v>
      </c>
      <c r="AJ53" s="46">
        <f t="shared" si="42"/>
        <v>0</v>
      </c>
      <c r="AK53" s="24"/>
      <c r="AL53" s="24">
        <f>'2017-18_working'!AC53+'2017-18_working'!AD53</f>
        <v>20</v>
      </c>
      <c r="AM53" s="24">
        <f>'2017-18_working'!AE53</f>
        <v>0</v>
      </c>
      <c r="AN53" s="24">
        <f>'2017-18_working'!AF53</f>
        <v>1</v>
      </c>
      <c r="AO53" s="24">
        <f>'2017-18_working'!AG53</f>
        <v>0</v>
      </c>
      <c r="AP53" s="24">
        <f>'2017-18_working'!AH53+'2017-18_working'!AI53</f>
        <v>0</v>
      </c>
      <c r="AQ53" s="24">
        <f>'2017-18_working'!AJ53</f>
        <v>4</v>
      </c>
      <c r="AR53" s="46">
        <f t="shared" si="48"/>
        <v>4.7619047619047616E-2</v>
      </c>
      <c r="AS53" s="46">
        <f t="shared" si="49"/>
        <v>0.16</v>
      </c>
      <c r="AT53" s="24"/>
      <c r="AU53" s="22">
        <f t="shared" si="50"/>
        <v>33</v>
      </c>
      <c r="AV53" s="22">
        <f t="shared" si="51"/>
        <v>0</v>
      </c>
      <c r="AW53" s="22">
        <f t="shared" si="52"/>
        <v>1</v>
      </c>
      <c r="AX53" s="22">
        <f t="shared" si="53"/>
        <v>0</v>
      </c>
      <c r="AY53" s="22">
        <f t="shared" si="54"/>
        <v>0</v>
      </c>
      <c r="AZ53" s="22">
        <f t="shared" si="55"/>
        <v>4</v>
      </c>
      <c r="BA53" s="46">
        <f t="shared" si="56"/>
        <v>2.9411764705882353E-2</v>
      </c>
      <c r="BB53" s="46">
        <f t="shared" si="57"/>
        <v>0.10526315789473684</v>
      </c>
      <c r="BC53" s="19"/>
      <c r="BD53" s="20">
        <f t="shared" si="58"/>
        <v>38</v>
      </c>
      <c r="BE53" s="20">
        <v>38</v>
      </c>
      <c r="BF53" s="53">
        <f t="shared" si="59"/>
        <v>0</v>
      </c>
      <c r="BG53" s="19"/>
      <c r="BH53" s="19"/>
      <c r="BI53" s="19"/>
      <c r="BJ53" s="19"/>
      <c r="BK53" s="19"/>
    </row>
    <row r="54" spans="1:63" s="8" customFormat="1" ht="15" customHeight="1" x14ac:dyDescent="0.35">
      <c r="A54" s="2" t="s">
        <v>61</v>
      </c>
      <c r="B54" s="24">
        <f>'2017-18_working'!B54+'2017-18_working'!C54</f>
        <v>53</v>
      </c>
      <c r="C54" s="24">
        <f>'2017-18_working'!D54</f>
        <v>12</v>
      </c>
      <c r="D54" s="24">
        <f>'2017-18_working'!E54</f>
        <v>3</v>
      </c>
      <c r="E54" s="24">
        <f>'2017-18_working'!F54</f>
        <v>4</v>
      </c>
      <c r="F54" s="24">
        <f>'2017-18_working'!G54+'2017-18_working'!H54</f>
        <v>0</v>
      </c>
      <c r="G54" s="24">
        <f>'2017-18_working'!I54</f>
        <v>1</v>
      </c>
      <c r="H54" s="46">
        <f t="shared" si="19"/>
        <v>0.2638888888888889</v>
      </c>
      <c r="I54" s="46">
        <f t="shared" si="20"/>
        <v>1.3698630136986301E-2</v>
      </c>
      <c r="J54" s="24"/>
      <c r="K54" s="24">
        <f>'2017-18_working'!K54+'2017-18_working'!L54</f>
        <v>0</v>
      </c>
      <c r="L54" s="24">
        <f>'2017-18_working'!M54</f>
        <v>0</v>
      </c>
      <c r="M54" s="24">
        <f>'2017-18_working'!N54</f>
        <v>0</v>
      </c>
      <c r="N54" s="24">
        <f>'2017-18_working'!O54</f>
        <v>0</v>
      </c>
      <c r="O54" s="24">
        <f>'2017-18_working'!P54+'2017-18_working'!Q54</f>
        <v>0</v>
      </c>
      <c r="P54" s="24">
        <f>'2017-18_working'!R54</f>
        <v>0</v>
      </c>
      <c r="Q54" s="46" t="str">
        <f t="shared" si="26"/>
        <v>-</v>
      </c>
      <c r="R54" s="46" t="str">
        <f t="shared" si="27"/>
        <v>-</v>
      </c>
      <c r="S54" s="24"/>
      <c r="T54" s="22">
        <f t="shared" si="28"/>
        <v>53</v>
      </c>
      <c r="U54" s="22">
        <f t="shared" si="29"/>
        <v>12</v>
      </c>
      <c r="V54" s="22">
        <f t="shared" si="30"/>
        <v>3</v>
      </c>
      <c r="W54" s="22">
        <f t="shared" si="31"/>
        <v>4</v>
      </c>
      <c r="X54" s="22">
        <f t="shared" si="32"/>
        <v>0</v>
      </c>
      <c r="Y54" s="22">
        <f t="shared" si="33"/>
        <v>1</v>
      </c>
      <c r="Z54" s="46">
        <f t="shared" si="34"/>
        <v>0.2638888888888889</v>
      </c>
      <c r="AA54" s="46">
        <f t="shared" si="35"/>
        <v>1.3698630136986301E-2</v>
      </c>
      <c r="AB54" s="24"/>
      <c r="AC54" s="24">
        <f>'2017-18_working'!T54+'2017-18_working'!U54</f>
        <v>2</v>
      </c>
      <c r="AD54" s="24">
        <f>'2017-18_working'!V54</f>
        <v>0</v>
      </c>
      <c r="AE54" s="24">
        <f>'2017-18_working'!W54</f>
        <v>0</v>
      </c>
      <c r="AF54" s="24">
        <f>'2017-18_working'!X54</f>
        <v>0</v>
      </c>
      <c r="AG54" s="24">
        <f>'2017-18_working'!Y54+'2017-18_working'!Z54</f>
        <v>0</v>
      </c>
      <c r="AH54" s="24">
        <f>'2017-18_working'!AA54</f>
        <v>0</v>
      </c>
      <c r="AI54" s="46">
        <f t="shared" si="41"/>
        <v>0</v>
      </c>
      <c r="AJ54" s="46">
        <f t="shared" si="42"/>
        <v>0</v>
      </c>
      <c r="AK54" s="24"/>
      <c r="AL54" s="24">
        <f>'2017-18_working'!AC54+'2017-18_working'!AD54</f>
        <v>10</v>
      </c>
      <c r="AM54" s="24">
        <f>'2017-18_working'!AE54</f>
        <v>0</v>
      </c>
      <c r="AN54" s="24">
        <f>'2017-18_working'!AF54</f>
        <v>1</v>
      </c>
      <c r="AO54" s="24">
        <f>'2017-18_working'!AG54</f>
        <v>0</v>
      </c>
      <c r="AP54" s="24">
        <f>'2017-18_working'!AH54+'2017-18_working'!AI54</f>
        <v>0</v>
      </c>
      <c r="AQ54" s="24">
        <f>'2017-18_working'!AJ54</f>
        <v>8</v>
      </c>
      <c r="AR54" s="46">
        <f t="shared" si="48"/>
        <v>9.0909090909090912E-2</v>
      </c>
      <c r="AS54" s="46">
        <f t="shared" si="49"/>
        <v>0.42105263157894735</v>
      </c>
      <c r="AT54" s="24"/>
      <c r="AU54" s="22">
        <f t="shared" si="50"/>
        <v>65</v>
      </c>
      <c r="AV54" s="22">
        <f t="shared" si="51"/>
        <v>12</v>
      </c>
      <c r="AW54" s="22">
        <f t="shared" si="52"/>
        <v>4</v>
      </c>
      <c r="AX54" s="22">
        <f t="shared" si="53"/>
        <v>4</v>
      </c>
      <c r="AY54" s="22">
        <f t="shared" si="54"/>
        <v>0</v>
      </c>
      <c r="AZ54" s="22">
        <f t="shared" si="55"/>
        <v>9</v>
      </c>
      <c r="BA54" s="46">
        <f t="shared" si="56"/>
        <v>0.23529411764705882</v>
      </c>
      <c r="BB54" s="46">
        <f t="shared" si="57"/>
        <v>9.5744680851063829E-2</v>
      </c>
      <c r="BC54" s="19"/>
      <c r="BD54" s="20">
        <f t="shared" si="58"/>
        <v>94</v>
      </c>
      <c r="BE54" s="20">
        <v>94</v>
      </c>
      <c r="BF54" s="53">
        <f t="shared" si="59"/>
        <v>0</v>
      </c>
      <c r="BG54" s="19"/>
      <c r="BH54" s="19"/>
      <c r="BI54" s="19"/>
      <c r="BJ54" s="19"/>
      <c r="BK54" s="19"/>
    </row>
    <row r="55" spans="1:63" s="8" customFormat="1" ht="15" customHeight="1" x14ac:dyDescent="0.35">
      <c r="A55" s="2" t="s">
        <v>62</v>
      </c>
      <c r="B55" s="24">
        <f>'2017-18_working'!B55+'2017-18_working'!C55</f>
        <v>29</v>
      </c>
      <c r="C55" s="24">
        <f>'2017-18_working'!D55</f>
        <v>0</v>
      </c>
      <c r="D55" s="24">
        <f>'2017-18_working'!E55</f>
        <v>0</v>
      </c>
      <c r="E55" s="24">
        <f>'2017-18_working'!F55</f>
        <v>1</v>
      </c>
      <c r="F55" s="24">
        <f>'2017-18_working'!G55+'2017-18_working'!H55</f>
        <v>0</v>
      </c>
      <c r="G55" s="24">
        <f>'2017-18_working'!I55</f>
        <v>6</v>
      </c>
      <c r="H55" s="46">
        <f t="shared" si="19"/>
        <v>3.3333333333333333E-2</v>
      </c>
      <c r="I55" s="46">
        <f t="shared" si="20"/>
        <v>0.16666666666666666</v>
      </c>
      <c r="J55" s="24"/>
      <c r="K55" s="24">
        <f>'2017-18_working'!K55+'2017-18_working'!L55</f>
        <v>7</v>
      </c>
      <c r="L55" s="24">
        <f>'2017-18_working'!M55</f>
        <v>0</v>
      </c>
      <c r="M55" s="24">
        <f>'2017-18_working'!N55</f>
        <v>0</v>
      </c>
      <c r="N55" s="24">
        <f>'2017-18_working'!O55</f>
        <v>0</v>
      </c>
      <c r="O55" s="24">
        <f>'2017-18_working'!P55+'2017-18_working'!Q55</f>
        <v>0</v>
      </c>
      <c r="P55" s="24">
        <f>'2017-18_working'!R55</f>
        <v>0</v>
      </c>
      <c r="Q55" s="46">
        <f t="shared" si="26"/>
        <v>0</v>
      </c>
      <c r="R55" s="46">
        <f t="shared" si="27"/>
        <v>0</v>
      </c>
      <c r="S55" s="24"/>
      <c r="T55" s="22">
        <f t="shared" si="28"/>
        <v>36</v>
      </c>
      <c r="U55" s="22">
        <f t="shared" si="29"/>
        <v>0</v>
      </c>
      <c r="V55" s="22">
        <f t="shared" si="30"/>
        <v>0</v>
      </c>
      <c r="W55" s="22">
        <f t="shared" si="31"/>
        <v>1</v>
      </c>
      <c r="X55" s="22">
        <f t="shared" si="32"/>
        <v>0</v>
      </c>
      <c r="Y55" s="22">
        <f t="shared" si="33"/>
        <v>6</v>
      </c>
      <c r="Z55" s="46">
        <f t="shared" si="34"/>
        <v>2.7027027027027029E-2</v>
      </c>
      <c r="AA55" s="46">
        <f t="shared" si="35"/>
        <v>0.13953488372093023</v>
      </c>
      <c r="AB55" s="24"/>
      <c r="AC55" s="24">
        <f>'2017-18_working'!T55+'2017-18_working'!U55</f>
        <v>0</v>
      </c>
      <c r="AD55" s="24">
        <f>'2017-18_working'!V55</f>
        <v>0</v>
      </c>
      <c r="AE55" s="24">
        <f>'2017-18_working'!W55</f>
        <v>0</v>
      </c>
      <c r="AF55" s="24">
        <f>'2017-18_working'!X55</f>
        <v>0</v>
      </c>
      <c r="AG55" s="24">
        <f>'2017-18_working'!Y55+'2017-18_working'!Z55</f>
        <v>0</v>
      </c>
      <c r="AH55" s="24">
        <f>'2017-18_working'!AA55</f>
        <v>0</v>
      </c>
      <c r="AI55" s="46" t="str">
        <f t="shared" si="41"/>
        <v>-</v>
      </c>
      <c r="AJ55" s="46" t="str">
        <f t="shared" si="42"/>
        <v>-</v>
      </c>
      <c r="AK55" s="24"/>
      <c r="AL55" s="24">
        <f>'2017-18_working'!AC55+'2017-18_working'!AD55</f>
        <v>37</v>
      </c>
      <c r="AM55" s="24">
        <f>'2017-18_working'!AE55</f>
        <v>1</v>
      </c>
      <c r="AN55" s="24">
        <f>'2017-18_working'!AF55</f>
        <v>6</v>
      </c>
      <c r="AO55" s="24">
        <f>'2017-18_working'!AG55</f>
        <v>1</v>
      </c>
      <c r="AP55" s="24">
        <f>'2017-18_working'!AH55+'2017-18_working'!AI55</f>
        <v>3</v>
      </c>
      <c r="AQ55" s="24">
        <f>'2017-18_working'!AJ55</f>
        <v>2</v>
      </c>
      <c r="AR55" s="46">
        <f t="shared" si="48"/>
        <v>0.22916666666666666</v>
      </c>
      <c r="AS55" s="46">
        <f t="shared" si="49"/>
        <v>0.04</v>
      </c>
      <c r="AT55" s="24"/>
      <c r="AU55" s="22">
        <f t="shared" si="50"/>
        <v>73</v>
      </c>
      <c r="AV55" s="22">
        <f t="shared" si="51"/>
        <v>1</v>
      </c>
      <c r="AW55" s="22">
        <f t="shared" si="52"/>
        <v>6</v>
      </c>
      <c r="AX55" s="22">
        <f t="shared" si="53"/>
        <v>2</v>
      </c>
      <c r="AY55" s="22">
        <f t="shared" si="54"/>
        <v>3</v>
      </c>
      <c r="AZ55" s="22">
        <f t="shared" si="55"/>
        <v>8</v>
      </c>
      <c r="BA55" s="46">
        <f t="shared" si="56"/>
        <v>0.14117647058823529</v>
      </c>
      <c r="BB55" s="46">
        <f t="shared" si="57"/>
        <v>8.6021505376344093E-2</v>
      </c>
      <c r="BC55" s="19"/>
      <c r="BD55" s="20">
        <f t="shared" si="58"/>
        <v>93</v>
      </c>
      <c r="BE55" s="20">
        <v>93</v>
      </c>
      <c r="BF55" s="53">
        <f t="shared" si="59"/>
        <v>0</v>
      </c>
      <c r="BG55" s="19"/>
      <c r="BH55" s="19"/>
      <c r="BI55" s="19"/>
      <c r="BJ55" s="19"/>
      <c r="BK55" s="19"/>
    </row>
    <row r="56" spans="1:63" s="8" customFormat="1" ht="15" customHeight="1" thickBot="1" x14ac:dyDescent="0.4">
      <c r="A56" s="27" t="s">
        <v>63</v>
      </c>
      <c r="B56" s="24">
        <f>'2017-18_working'!B56+'2017-18_working'!C56</f>
        <v>171</v>
      </c>
      <c r="C56" s="24">
        <f>'2017-18_working'!D56</f>
        <v>9</v>
      </c>
      <c r="D56" s="24">
        <f>'2017-18_working'!E56</f>
        <v>7</v>
      </c>
      <c r="E56" s="24">
        <f>'2017-18_working'!F56</f>
        <v>11</v>
      </c>
      <c r="F56" s="24">
        <f>'2017-18_working'!G56+'2017-18_working'!H56</f>
        <v>4</v>
      </c>
      <c r="G56" s="24">
        <f>'2017-18_working'!I56</f>
        <v>4</v>
      </c>
      <c r="H56" s="46">
        <f t="shared" si="19"/>
        <v>0.15346534653465346</v>
      </c>
      <c r="I56" s="46">
        <f t="shared" si="20"/>
        <v>1.9417475728155338E-2</v>
      </c>
      <c r="J56" s="28"/>
      <c r="K56" s="24">
        <f>'2017-18_working'!K56+'2017-18_working'!L56</f>
        <v>0</v>
      </c>
      <c r="L56" s="24">
        <f>'2017-18_working'!M56</f>
        <v>0</v>
      </c>
      <c r="M56" s="24">
        <f>'2017-18_working'!N56</f>
        <v>0</v>
      </c>
      <c r="N56" s="24">
        <f>'2017-18_working'!O56</f>
        <v>0</v>
      </c>
      <c r="O56" s="24">
        <f>'2017-18_working'!P56+'2017-18_working'!Q56</f>
        <v>0</v>
      </c>
      <c r="P56" s="24">
        <f>'2017-18_working'!R56</f>
        <v>0</v>
      </c>
      <c r="Q56" s="46" t="str">
        <f t="shared" si="26"/>
        <v>-</v>
      </c>
      <c r="R56" s="46" t="str">
        <f t="shared" si="27"/>
        <v>-</v>
      </c>
      <c r="S56" s="28"/>
      <c r="T56" s="22">
        <f t="shared" si="28"/>
        <v>171</v>
      </c>
      <c r="U56" s="22">
        <f t="shared" si="29"/>
        <v>9</v>
      </c>
      <c r="V56" s="22">
        <f t="shared" si="30"/>
        <v>7</v>
      </c>
      <c r="W56" s="22">
        <f t="shared" si="31"/>
        <v>11</v>
      </c>
      <c r="X56" s="22">
        <f t="shared" si="32"/>
        <v>4</v>
      </c>
      <c r="Y56" s="22">
        <f t="shared" si="33"/>
        <v>4</v>
      </c>
      <c r="Z56" s="46">
        <f t="shared" si="34"/>
        <v>0.15346534653465346</v>
      </c>
      <c r="AA56" s="46">
        <f t="shared" si="35"/>
        <v>1.9417475728155338E-2</v>
      </c>
      <c r="AB56" s="28"/>
      <c r="AC56" s="24">
        <f>'2017-18_working'!T56+'2017-18_working'!U56</f>
        <v>16</v>
      </c>
      <c r="AD56" s="24">
        <f>'2017-18_working'!V56</f>
        <v>2</v>
      </c>
      <c r="AE56" s="24">
        <f>'2017-18_working'!W56</f>
        <v>1</v>
      </c>
      <c r="AF56" s="24">
        <f>'2017-18_working'!X56</f>
        <v>1</v>
      </c>
      <c r="AG56" s="24">
        <f>'2017-18_working'!Y56+'2017-18_working'!Z56</f>
        <v>0</v>
      </c>
      <c r="AH56" s="24">
        <f>'2017-18_working'!AA56</f>
        <v>0</v>
      </c>
      <c r="AI56" s="46">
        <f t="shared" si="41"/>
        <v>0.2</v>
      </c>
      <c r="AJ56" s="46">
        <f t="shared" si="42"/>
        <v>0</v>
      </c>
      <c r="AK56" s="28"/>
      <c r="AL56" s="24">
        <f>'2017-18_working'!AC56+'2017-18_working'!AD56</f>
        <v>41</v>
      </c>
      <c r="AM56" s="24">
        <f>'2017-18_working'!AE56</f>
        <v>2</v>
      </c>
      <c r="AN56" s="24">
        <f>'2017-18_working'!AF56</f>
        <v>5</v>
      </c>
      <c r="AO56" s="24">
        <f>'2017-18_working'!AG56</f>
        <v>17</v>
      </c>
      <c r="AP56" s="24">
        <f>'2017-18_working'!AH56+'2017-18_working'!AI56</f>
        <v>6</v>
      </c>
      <c r="AQ56" s="24">
        <f>'2017-18_working'!AJ56</f>
        <v>3</v>
      </c>
      <c r="AR56" s="46">
        <f t="shared" si="48"/>
        <v>0.42253521126760563</v>
      </c>
      <c r="AS56" s="46">
        <f t="shared" si="49"/>
        <v>4.0540540540540543E-2</v>
      </c>
      <c r="AT56" s="28"/>
      <c r="AU56" s="22">
        <f t="shared" si="50"/>
        <v>228</v>
      </c>
      <c r="AV56" s="22">
        <f t="shared" si="51"/>
        <v>13</v>
      </c>
      <c r="AW56" s="22">
        <f t="shared" si="52"/>
        <v>13</v>
      </c>
      <c r="AX56" s="22">
        <f t="shared" si="53"/>
        <v>29</v>
      </c>
      <c r="AY56" s="22">
        <f t="shared" si="54"/>
        <v>10</v>
      </c>
      <c r="AZ56" s="22">
        <f t="shared" si="55"/>
        <v>7</v>
      </c>
      <c r="BA56" s="46">
        <f t="shared" si="56"/>
        <v>0.22184300341296928</v>
      </c>
      <c r="BB56" s="46">
        <f t="shared" si="57"/>
        <v>2.3333333333333334E-2</v>
      </c>
      <c r="BC56" s="19"/>
      <c r="BD56" s="20">
        <f t="shared" si="58"/>
        <v>300</v>
      </c>
      <c r="BE56" s="20">
        <v>300</v>
      </c>
      <c r="BF56" s="53">
        <f t="shared" si="59"/>
        <v>0</v>
      </c>
      <c r="BG56" s="19"/>
      <c r="BH56" s="19"/>
      <c r="BI56" s="19"/>
      <c r="BJ56" s="19"/>
      <c r="BK56" s="19"/>
    </row>
    <row r="57" spans="1:63" s="8" customFormat="1" ht="15" customHeigh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19"/>
      <c r="BD57" s="19"/>
      <c r="BE57" s="19"/>
      <c r="BF57" s="19"/>
      <c r="BG57" s="19"/>
      <c r="BH57" s="19"/>
      <c r="BI57" s="19"/>
      <c r="BJ57" s="19"/>
      <c r="BK57" s="19"/>
    </row>
    <row r="58" spans="1:63" x14ac:dyDescent="0.35">
      <c r="A58" s="106" t="s">
        <v>64</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row>
    <row r="59" spans="1:63" x14ac:dyDescent="0.35">
      <c r="A59" s="38" t="s">
        <v>76</v>
      </c>
      <c r="B59" s="38"/>
      <c r="C59" s="38"/>
      <c r="D59" s="38"/>
      <c r="E59" s="38"/>
      <c r="F59" s="38"/>
      <c r="G59" s="38"/>
      <c r="H59" s="38"/>
      <c r="I59" s="38"/>
      <c r="J59" s="38"/>
      <c r="K59" s="38"/>
      <c r="L59" s="38"/>
      <c r="M59" s="38"/>
      <c r="N59" s="38"/>
      <c r="O59" s="38"/>
      <c r="P59" s="38"/>
      <c r="Q59" s="38"/>
      <c r="R59" s="38"/>
      <c r="S59" s="38"/>
      <c r="T59" s="38"/>
      <c r="U59" s="38"/>
      <c r="V59" s="38"/>
      <c r="W59" s="38"/>
      <c r="X59" s="38"/>
      <c r="Z59" s="38"/>
      <c r="AA59" s="38"/>
    </row>
    <row r="60" spans="1:63" x14ac:dyDescent="0.35">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row>
    <row r="61" spans="1:63" x14ac:dyDescent="0.35">
      <c r="A61" s="33" t="s">
        <v>65</v>
      </c>
    </row>
    <row r="62" spans="1:63" x14ac:dyDescent="0.35">
      <c r="A62" s="108" t="s">
        <v>66</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4" spans="1:63" x14ac:dyDescent="0.35">
      <c r="A64" s="4" t="s">
        <v>67</v>
      </c>
      <c r="B64" s="34"/>
      <c r="C64" s="34"/>
      <c r="D64" s="34"/>
      <c r="E64" s="34"/>
      <c r="F64" s="34"/>
      <c r="G64" s="34"/>
      <c r="H64" s="34"/>
      <c r="I64" s="34"/>
      <c r="J64" s="34"/>
      <c r="K64" s="34"/>
      <c r="L64" s="34"/>
      <c r="M64" s="34"/>
      <c r="N64" s="34"/>
      <c r="O64" s="34"/>
      <c r="P64" s="34"/>
      <c r="Q64" s="34"/>
      <c r="R64" s="34"/>
      <c r="S64" s="34"/>
      <c r="T64" s="34"/>
      <c r="U64" s="34"/>
      <c r="V64" s="34"/>
      <c r="W64" s="34"/>
      <c r="X64" s="34"/>
      <c r="Z64" s="34"/>
      <c r="AA64" s="34"/>
    </row>
    <row r="65" spans="1:27" x14ac:dyDescent="0.35">
      <c r="A65" s="35" t="s">
        <v>68</v>
      </c>
      <c r="B65" s="34"/>
      <c r="C65" s="34"/>
      <c r="D65" s="34"/>
      <c r="E65" s="34"/>
      <c r="F65" s="34"/>
      <c r="G65" s="34"/>
      <c r="H65" s="34"/>
      <c r="I65" s="34"/>
      <c r="J65" s="34"/>
      <c r="K65" s="34"/>
      <c r="L65" s="34"/>
      <c r="M65" s="34"/>
      <c r="N65" s="34"/>
      <c r="O65" s="34"/>
      <c r="P65" s="34"/>
      <c r="Q65" s="34"/>
      <c r="R65" s="34"/>
      <c r="S65" s="34"/>
      <c r="T65" s="34"/>
      <c r="U65" s="34"/>
      <c r="V65" s="34"/>
      <c r="W65" s="34"/>
      <c r="X65" s="34"/>
      <c r="Z65" s="34"/>
      <c r="AA65" s="34"/>
    </row>
    <row r="67" spans="1:27" x14ac:dyDescent="0.35">
      <c r="A67" s="106" t="s">
        <v>69</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row>
    <row r="68" spans="1:27" x14ac:dyDescent="0.35">
      <c r="A68" s="35"/>
    </row>
    <row r="69" spans="1:27" x14ac:dyDescent="0.35">
      <c r="A69" s="4" t="s">
        <v>70</v>
      </c>
      <c r="X69" s="36"/>
    </row>
    <row r="70" spans="1:27" x14ac:dyDescent="0.35">
      <c r="A70" s="35" t="s">
        <v>72</v>
      </c>
      <c r="X70" s="36"/>
    </row>
  </sheetData>
  <mergeCells count="12">
    <mergeCell ref="A58:X58"/>
    <mergeCell ref="A60:X60"/>
    <mergeCell ref="A62:X62"/>
    <mergeCell ref="A67:X67"/>
    <mergeCell ref="A1:BB1"/>
    <mergeCell ref="B5:BB5"/>
    <mergeCell ref="B6:H6"/>
    <mergeCell ref="K6:R6"/>
    <mergeCell ref="T6:Z6"/>
    <mergeCell ref="AC6:AI6"/>
    <mergeCell ref="AL6:AR6"/>
    <mergeCell ref="AU6:BB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B3AE-D627-4533-A21F-6454F33BBA6F}">
  <dimension ref="A1:BB70"/>
  <sheetViews>
    <sheetView topLeftCell="Y1" zoomScale="80" zoomScaleNormal="80" workbookViewId="0">
      <selection activeCell="A4" sqref="A4:L4"/>
    </sheetView>
  </sheetViews>
  <sheetFormatPr defaultColWidth="9.1796875" defaultRowHeight="14.5" x14ac:dyDescent="0.35"/>
  <cols>
    <col min="1" max="1" width="40.1796875" style="8" customWidth="1"/>
    <col min="2" max="16384" width="9.1796875" style="8"/>
  </cols>
  <sheetData>
    <row r="1" spans="1:54" customFormat="1" ht="17" x14ac:dyDescent="0.5">
      <c r="A1" s="114" t="s">
        <v>179</v>
      </c>
      <c r="B1" s="114"/>
      <c r="C1" s="114"/>
      <c r="D1" s="114"/>
      <c r="E1" s="114"/>
      <c r="F1" s="114"/>
      <c r="G1" s="114"/>
      <c r="H1" s="114"/>
      <c r="I1" s="114"/>
      <c r="J1" s="114"/>
      <c r="K1" s="114"/>
      <c r="L1" s="114"/>
      <c r="M1" s="114"/>
      <c r="N1" s="114"/>
      <c r="O1" s="114"/>
      <c r="P1" s="114"/>
      <c r="Q1" s="114"/>
      <c r="R1" s="114"/>
    </row>
    <row r="6" spans="1:54" x14ac:dyDescent="0.35">
      <c r="B6" s="8" t="s">
        <v>1</v>
      </c>
      <c r="K6" s="8" t="s">
        <v>84</v>
      </c>
      <c r="T6" s="8" t="s">
        <v>2</v>
      </c>
      <c r="AC6" s="8" t="s">
        <v>3</v>
      </c>
      <c r="AL6" s="8" t="s">
        <v>4</v>
      </c>
      <c r="AU6" s="8" t="s">
        <v>5</v>
      </c>
    </row>
    <row r="7" spans="1:54" ht="65.25" customHeight="1" thickBot="1" x14ac:dyDescent="0.4">
      <c r="A7" s="1" t="s">
        <v>6</v>
      </c>
      <c r="B7" s="93" t="s">
        <v>7</v>
      </c>
      <c r="C7" s="93" t="s">
        <v>8</v>
      </c>
      <c r="D7" s="93" t="s">
        <v>9</v>
      </c>
      <c r="E7" s="93" t="s">
        <v>10</v>
      </c>
      <c r="F7" s="93" t="s">
        <v>11</v>
      </c>
      <c r="G7" s="93" t="s">
        <v>12</v>
      </c>
      <c r="H7" s="93" t="s">
        <v>13</v>
      </c>
      <c r="I7" s="93" t="s">
        <v>14</v>
      </c>
      <c r="J7" s="93"/>
      <c r="K7" s="93" t="s">
        <v>7</v>
      </c>
      <c r="L7" s="93" t="s">
        <v>8</v>
      </c>
      <c r="M7" s="93" t="s">
        <v>9</v>
      </c>
      <c r="N7" s="93" t="s">
        <v>10</v>
      </c>
      <c r="O7" s="93" t="s">
        <v>11</v>
      </c>
      <c r="P7" s="93" t="s">
        <v>12</v>
      </c>
      <c r="Q7" s="93" t="s">
        <v>13</v>
      </c>
      <c r="R7" s="93" t="s">
        <v>14</v>
      </c>
      <c r="S7" s="93"/>
      <c r="T7" s="93" t="s">
        <v>7</v>
      </c>
      <c r="U7" s="93" t="s">
        <v>8</v>
      </c>
      <c r="V7" s="93" t="s">
        <v>9</v>
      </c>
      <c r="W7" s="93" t="s">
        <v>10</v>
      </c>
      <c r="X7" s="93" t="s">
        <v>11</v>
      </c>
      <c r="Y7" s="93" t="s">
        <v>12</v>
      </c>
      <c r="Z7" s="93" t="s">
        <v>13</v>
      </c>
      <c r="AA7" s="93" t="s">
        <v>14</v>
      </c>
      <c r="AB7" s="93"/>
      <c r="AC7" s="93" t="s">
        <v>7</v>
      </c>
      <c r="AD7" s="93" t="s">
        <v>8</v>
      </c>
      <c r="AE7" s="93" t="s">
        <v>9</v>
      </c>
      <c r="AF7" s="93" t="s">
        <v>10</v>
      </c>
      <c r="AG7" s="93" t="s">
        <v>11</v>
      </c>
      <c r="AH7" s="93" t="s">
        <v>12</v>
      </c>
      <c r="AI7" s="93" t="s">
        <v>13</v>
      </c>
      <c r="AJ7" s="93" t="s">
        <v>14</v>
      </c>
      <c r="AK7" s="93"/>
      <c r="AL7" s="93" t="s">
        <v>7</v>
      </c>
      <c r="AM7" s="93" t="s">
        <v>8</v>
      </c>
      <c r="AN7" s="93" t="s">
        <v>9</v>
      </c>
      <c r="AO7" s="93" t="s">
        <v>10</v>
      </c>
      <c r="AP7" s="93" t="s">
        <v>11</v>
      </c>
      <c r="AQ7" s="93" t="s">
        <v>12</v>
      </c>
      <c r="AR7" s="93" t="s">
        <v>13</v>
      </c>
      <c r="AS7" s="93" t="s">
        <v>14</v>
      </c>
      <c r="AT7" s="93"/>
      <c r="AU7" s="93" t="s">
        <v>7</v>
      </c>
      <c r="AV7" s="93" t="s">
        <v>8</v>
      </c>
      <c r="AW7" s="93" t="s">
        <v>9</v>
      </c>
      <c r="AX7" s="93" t="s">
        <v>10</v>
      </c>
      <c r="AY7" s="93" t="s">
        <v>11</v>
      </c>
      <c r="AZ7" s="93" t="s">
        <v>12</v>
      </c>
      <c r="BA7" s="93" t="s">
        <v>13</v>
      </c>
      <c r="BB7" s="93" t="s">
        <v>14</v>
      </c>
    </row>
    <row r="8" spans="1:54" x14ac:dyDescent="0.35">
      <c r="A8" s="8" t="s">
        <v>15</v>
      </c>
      <c r="B8" s="94">
        <f>'2018-19_working'!B8+'2018-19_working'!C8</f>
        <v>1255</v>
      </c>
      <c r="C8" s="94">
        <f>'2018-19_working'!D8</f>
        <v>56</v>
      </c>
      <c r="D8" s="94">
        <f>'2018-19_working'!E8</f>
        <v>14</v>
      </c>
      <c r="E8" s="94">
        <f>'2018-19_working'!F8</f>
        <v>25</v>
      </c>
      <c r="F8" s="94">
        <f>'2018-19_working'!G8+'2018-19_working'!H8</f>
        <v>15</v>
      </c>
      <c r="G8" s="94">
        <f>'2018-19_working'!I8</f>
        <v>230</v>
      </c>
      <c r="H8" s="95">
        <f>IF(SUM(B8:F8)=0,"-",(SUM(C8:F8)/SUM(B8:F8)))</f>
        <v>8.0586080586080591E-2</v>
      </c>
      <c r="I8" s="95">
        <f>IF(SUM(B8:G8)=0,"-",(G8/SUM(B8:G8)))</f>
        <v>0.14420062695924765</v>
      </c>
      <c r="J8" s="94"/>
      <c r="K8" s="94">
        <f>'2018-19_working'!K8+'2018-19_working'!L8</f>
        <v>1155</v>
      </c>
      <c r="L8" s="94">
        <f>'2018-19_working'!M8</f>
        <v>9</v>
      </c>
      <c r="M8" s="94">
        <f>'2018-19_working'!N8</f>
        <v>3</v>
      </c>
      <c r="N8" s="94">
        <f>'2018-19_working'!O8</f>
        <v>8</v>
      </c>
      <c r="O8" s="94">
        <f>'2018-19_working'!P8+'2018-19_working'!Q8</f>
        <v>4</v>
      </c>
      <c r="P8" s="94">
        <f>'2018-19_working'!R8</f>
        <v>408</v>
      </c>
      <c r="Q8" s="95">
        <f>IF(SUM(K8:O8)=0,"-",(SUM(L8:O8)/SUM(K8:O8)))</f>
        <v>2.0356234096692113E-2</v>
      </c>
      <c r="R8" s="95">
        <f>IF(SUM(K8:P8)=0,"-",(P8/SUM(K8:P8)))</f>
        <v>0.25708884688090738</v>
      </c>
      <c r="S8" s="94"/>
      <c r="T8" s="94">
        <f>B8+K8</f>
        <v>2410</v>
      </c>
      <c r="U8" s="94">
        <f t="shared" ref="U8:Y8" si="0">C8+L8</f>
        <v>65</v>
      </c>
      <c r="V8" s="94">
        <f t="shared" si="0"/>
        <v>17</v>
      </c>
      <c r="W8" s="94">
        <f t="shared" si="0"/>
        <v>33</v>
      </c>
      <c r="X8" s="94">
        <f t="shared" si="0"/>
        <v>19</v>
      </c>
      <c r="Y8" s="94">
        <f t="shared" si="0"/>
        <v>638</v>
      </c>
      <c r="Z8" s="95">
        <f>IF(SUM(T8:X8)=0,"-",(SUM(U8:X8)/SUM(T8:X8)))</f>
        <v>5.2672955974842769E-2</v>
      </c>
      <c r="AA8" s="95">
        <f>IF(SUM(T8:Y8)=0,"-",(Y8/SUM(T8:Y8)))</f>
        <v>0.20050282840980516</v>
      </c>
      <c r="AB8" s="94"/>
      <c r="AC8" s="94">
        <f>'2018-19_working'!T8+'2018-19_working'!U8</f>
        <v>77</v>
      </c>
      <c r="AD8" s="94">
        <f>'2018-19_working'!V8</f>
        <v>1</v>
      </c>
      <c r="AE8" s="94">
        <f>'2018-19_working'!W8</f>
        <v>0</v>
      </c>
      <c r="AF8" s="94">
        <f>'2018-19_working'!X8</f>
        <v>0</v>
      </c>
      <c r="AG8" s="94">
        <f>'2018-19_working'!Y8+'2018-19_working'!Z8</f>
        <v>2</v>
      </c>
      <c r="AH8" s="94">
        <f>'2018-19_working'!AA8</f>
        <v>12</v>
      </c>
      <c r="AI8" s="95">
        <f>IF(SUM(AC8:AG8)=0,"-",(SUM(AD8:AG8)/SUM(AC8:AG8)))</f>
        <v>3.7499999999999999E-2</v>
      </c>
      <c r="AJ8" s="95">
        <f>IF(SUM(AC8:AH8)=0,"-",(AH8/SUM(AC8:AH8)))</f>
        <v>0.13043478260869565</v>
      </c>
      <c r="AK8" s="94"/>
      <c r="AL8" s="94">
        <f>'2018-19_working'!AC8+'2018-19_working'!AD8</f>
        <v>728</v>
      </c>
      <c r="AM8" s="94">
        <f>'2018-19_working'!AE8</f>
        <v>10</v>
      </c>
      <c r="AN8" s="94">
        <f>'2018-19_working'!AF8</f>
        <v>27</v>
      </c>
      <c r="AO8" s="94">
        <f>'2018-19_working'!AG8</f>
        <v>29</v>
      </c>
      <c r="AP8" s="94">
        <f>'2018-19_working'!AH8+'2018-19_working'!AI8</f>
        <v>12</v>
      </c>
      <c r="AQ8" s="94">
        <f>'2018-19_working'!AJ8</f>
        <v>176</v>
      </c>
      <c r="AR8" s="95">
        <f>IF(SUM(AL8:AP8)=0,"-",(SUM(AM8:AP8)/SUM(AL8:AP8)))</f>
        <v>9.6774193548387094E-2</v>
      </c>
      <c r="AS8" s="95">
        <f>IF(SUM(AL8:AQ8)=0,"-",(AQ8/SUM(AL8:AQ8)))</f>
        <v>0.17922606924643583</v>
      </c>
      <c r="AT8" s="94"/>
      <c r="AU8" s="94">
        <f>T8+AC8+AL8</f>
        <v>3215</v>
      </c>
      <c r="AV8" s="94">
        <f t="shared" ref="AV8:AZ8" si="1">U8+AD8+AM8</f>
        <v>76</v>
      </c>
      <c r="AW8" s="94">
        <f t="shared" si="1"/>
        <v>44</v>
      </c>
      <c r="AX8" s="94">
        <f t="shared" si="1"/>
        <v>62</v>
      </c>
      <c r="AY8" s="94">
        <f t="shared" si="1"/>
        <v>33</v>
      </c>
      <c r="AZ8" s="94">
        <f t="shared" si="1"/>
        <v>826</v>
      </c>
      <c r="BA8" s="95">
        <f>IF(SUM(AU8:AY8)=0,"-",(SUM(AV8:AY8)/SUM(AU8:AY8)))</f>
        <v>6.2682215743440239E-2</v>
      </c>
      <c r="BB8" s="95">
        <f>IF(SUM(AU8:AZ8)=0,"-",(AZ8/SUM(AU8:AZ8)))</f>
        <v>0.19407894736842105</v>
      </c>
    </row>
    <row r="9" spans="1:54" x14ac:dyDescent="0.35">
      <c r="A9" s="8" t="s">
        <v>16</v>
      </c>
      <c r="B9" s="94">
        <f>'2018-19_working'!B9+'2018-19_working'!C9</f>
        <v>611</v>
      </c>
      <c r="C9" s="94">
        <f>'2018-19_working'!D9</f>
        <v>18</v>
      </c>
      <c r="D9" s="94">
        <f>'2018-19_working'!E9</f>
        <v>3</v>
      </c>
      <c r="E9" s="94">
        <f>'2018-19_working'!F9</f>
        <v>3</v>
      </c>
      <c r="F9" s="94">
        <f>'2018-19_working'!G9+'2018-19_working'!H9</f>
        <v>5</v>
      </c>
      <c r="G9" s="94">
        <f>'2018-19_working'!I9</f>
        <v>146</v>
      </c>
      <c r="H9" s="95">
        <f t="shared" ref="H9:H56" si="2">IF(SUM(B9:F9)=0,"-",(SUM(C9:F9)/SUM(B9:F9)))</f>
        <v>4.5312499999999999E-2</v>
      </c>
      <c r="I9" s="95">
        <f t="shared" ref="I9:I56" si="3">IF(SUM(B9:G9)=0,"-",(G9/SUM(B9:G9)))</f>
        <v>0.18575063613231552</v>
      </c>
      <c r="J9" s="94"/>
      <c r="K9" s="94">
        <f>'2018-19_working'!K9+'2018-19_working'!L9</f>
        <v>1113</v>
      </c>
      <c r="L9" s="94">
        <f>'2018-19_working'!M9</f>
        <v>7</v>
      </c>
      <c r="M9" s="94">
        <f>'2018-19_working'!N9</f>
        <v>3</v>
      </c>
      <c r="N9" s="94">
        <f>'2018-19_working'!O9</f>
        <v>6</v>
      </c>
      <c r="O9" s="94">
        <f>'2018-19_working'!P9+'2018-19_working'!Q9</f>
        <v>3</v>
      </c>
      <c r="P9" s="94">
        <f>'2018-19_working'!R9</f>
        <v>407</v>
      </c>
      <c r="Q9" s="95">
        <f t="shared" ref="Q9:Q56" si="4">IF(SUM(K9:O9)=0,"-",(SUM(L9:O9)/SUM(K9:O9)))</f>
        <v>1.6784452296819789E-2</v>
      </c>
      <c r="R9" s="95">
        <f t="shared" ref="R9:R56" si="5">IF(SUM(K9:P9)=0,"-",(P9/SUM(K9:P9)))</f>
        <v>0.26445743989603637</v>
      </c>
      <c r="S9" s="94"/>
      <c r="T9" s="94">
        <f t="shared" ref="T9:T56" si="6">B9+K9</f>
        <v>1724</v>
      </c>
      <c r="U9" s="94">
        <f t="shared" ref="U9:U56" si="7">C9+L9</f>
        <v>25</v>
      </c>
      <c r="V9" s="94">
        <f t="shared" ref="V9:V56" si="8">D9+M9</f>
        <v>6</v>
      </c>
      <c r="W9" s="94">
        <f t="shared" ref="W9:W56" si="9">E9+N9</f>
        <v>9</v>
      </c>
      <c r="X9" s="94">
        <f t="shared" ref="X9:X56" si="10">F9+O9</f>
        <v>8</v>
      </c>
      <c r="Y9" s="94">
        <f t="shared" ref="Y9:Y56" si="11">G9+P9</f>
        <v>553</v>
      </c>
      <c r="Z9" s="95">
        <f t="shared" ref="Z9:Z56" si="12">IF(SUM(T9:X9)=0,"-",(SUM(U9:X9)/SUM(T9:X9)))</f>
        <v>2.7088036117381489E-2</v>
      </c>
      <c r="AA9" s="95">
        <f t="shared" ref="AA9:AA56" si="13">IF(SUM(T9:Y9)=0,"-",(Y9/SUM(T9:Y9)))</f>
        <v>0.2378494623655914</v>
      </c>
      <c r="AB9" s="94"/>
      <c r="AC9" s="94">
        <f>'2018-19_working'!T9+'2018-19_working'!U9</f>
        <v>56</v>
      </c>
      <c r="AD9" s="94">
        <f>'2018-19_working'!V9</f>
        <v>0</v>
      </c>
      <c r="AE9" s="94">
        <f>'2018-19_working'!W9</f>
        <v>0</v>
      </c>
      <c r="AF9" s="94">
        <f>'2018-19_working'!X9</f>
        <v>0</v>
      </c>
      <c r="AG9" s="94">
        <f>'2018-19_working'!Y9+'2018-19_working'!Z9</f>
        <v>2</v>
      </c>
      <c r="AH9" s="94">
        <f>'2018-19_working'!AA9</f>
        <v>12</v>
      </c>
      <c r="AI9" s="95">
        <f t="shared" ref="AI9:AI56" si="14">IF(SUM(AC9:AG9)=0,"-",(SUM(AD9:AG9)/SUM(AC9:AG9)))</f>
        <v>3.4482758620689655E-2</v>
      </c>
      <c r="AJ9" s="95">
        <f t="shared" ref="AJ9:AJ56" si="15">IF(SUM(AC9:AH9)=0,"-",(AH9/SUM(AC9:AH9)))</f>
        <v>0.17142857142857143</v>
      </c>
      <c r="AK9" s="94"/>
      <c r="AL9" s="94">
        <f>'2018-19_working'!AC9+'2018-19_working'!AD9</f>
        <v>477</v>
      </c>
      <c r="AM9" s="94">
        <f>'2018-19_working'!AE9</f>
        <v>4</v>
      </c>
      <c r="AN9" s="94">
        <f>'2018-19_working'!AF9</f>
        <v>10</v>
      </c>
      <c r="AO9" s="94">
        <f>'2018-19_working'!AG9</f>
        <v>10</v>
      </c>
      <c r="AP9" s="94">
        <f>'2018-19_working'!AH9+'2018-19_working'!AI9</f>
        <v>1</v>
      </c>
      <c r="AQ9" s="94">
        <f>'2018-19_working'!AJ9</f>
        <v>146</v>
      </c>
      <c r="AR9" s="95">
        <f t="shared" ref="AR9:AR56" si="16">IF(SUM(AL9:AP9)=0,"-",(SUM(AM9:AP9)/SUM(AL9:AP9)))</f>
        <v>4.9800796812749001E-2</v>
      </c>
      <c r="AS9" s="95">
        <f t="shared" ref="AS9:AS56" si="17">IF(SUM(AL9:AQ9)=0,"-",(AQ9/SUM(AL9:AQ9)))</f>
        <v>0.22530864197530864</v>
      </c>
      <c r="AT9" s="94"/>
      <c r="AU9" s="94">
        <f t="shared" ref="AU9:AU56" si="18">T9+AC9+AL9</f>
        <v>2257</v>
      </c>
      <c r="AV9" s="94">
        <f t="shared" ref="AV9:AV56" si="19">U9+AD9+AM9</f>
        <v>29</v>
      </c>
      <c r="AW9" s="94">
        <f t="shared" ref="AW9:AW56" si="20">V9+AE9+AN9</f>
        <v>16</v>
      </c>
      <c r="AX9" s="94">
        <f t="shared" ref="AX9:AX56" si="21">W9+AF9+AO9</f>
        <v>19</v>
      </c>
      <c r="AY9" s="94">
        <f t="shared" ref="AY9:AY56" si="22">X9+AG9+AP9</f>
        <v>11</v>
      </c>
      <c r="AZ9" s="94">
        <f t="shared" ref="AZ9:AZ56" si="23">Y9+AH9+AQ9</f>
        <v>711</v>
      </c>
      <c r="BA9" s="95">
        <f t="shared" ref="BA9:BA56" si="24">IF(SUM(AU9:AY9)=0,"-",(SUM(AV9:AY9)/SUM(AU9:AY9)))</f>
        <v>3.2161234991423669E-2</v>
      </c>
      <c r="BB9" s="95">
        <f t="shared" ref="BB9:BB56" si="25">IF(SUM(AU9:AZ9)=0,"-",(AZ9/SUM(AU9:AZ9)))</f>
        <v>0.23365100230036148</v>
      </c>
    </row>
    <row r="10" spans="1:54" x14ac:dyDescent="0.35">
      <c r="A10" s="8" t="s">
        <v>17</v>
      </c>
      <c r="B10" s="94">
        <f>'2018-19_working'!B10+'2018-19_working'!C10</f>
        <v>12</v>
      </c>
      <c r="C10" s="94">
        <f>'2018-19_working'!D10</f>
        <v>0</v>
      </c>
      <c r="D10" s="94">
        <f>'2018-19_working'!E10</f>
        <v>0</v>
      </c>
      <c r="E10" s="94">
        <f>'2018-19_working'!F10</f>
        <v>1</v>
      </c>
      <c r="F10" s="94">
        <f>'2018-19_working'!G10+'2018-19_working'!H10</f>
        <v>1</v>
      </c>
      <c r="G10" s="94">
        <f>'2018-19_working'!I10</f>
        <v>1</v>
      </c>
      <c r="H10" s="95">
        <f t="shared" si="2"/>
        <v>0.14285714285714285</v>
      </c>
      <c r="I10" s="95">
        <f t="shared" si="3"/>
        <v>6.6666666666666666E-2</v>
      </c>
      <c r="J10" s="94"/>
      <c r="K10" s="94">
        <f>'2018-19_working'!K10+'2018-19_working'!L10</f>
        <v>3</v>
      </c>
      <c r="L10" s="94">
        <f>'2018-19_working'!M10</f>
        <v>0</v>
      </c>
      <c r="M10" s="94">
        <f>'2018-19_working'!N10</f>
        <v>0</v>
      </c>
      <c r="N10" s="94">
        <f>'2018-19_working'!O10</f>
        <v>0</v>
      </c>
      <c r="O10" s="94">
        <f>'2018-19_working'!P10+'2018-19_working'!Q10</f>
        <v>0</v>
      </c>
      <c r="P10" s="94">
        <f>'2018-19_working'!R10</f>
        <v>16</v>
      </c>
      <c r="Q10" s="95">
        <f t="shared" si="4"/>
        <v>0</v>
      </c>
      <c r="R10" s="95">
        <f t="shared" si="5"/>
        <v>0.84210526315789469</v>
      </c>
      <c r="S10" s="94"/>
      <c r="T10" s="94">
        <f t="shared" si="6"/>
        <v>15</v>
      </c>
      <c r="U10" s="94">
        <f t="shared" si="7"/>
        <v>0</v>
      </c>
      <c r="V10" s="94">
        <f t="shared" si="8"/>
        <v>0</v>
      </c>
      <c r="W10" s="94">
        <f t="shared" si="9"/>
        <v>1</v>
      </c>
      <c r="X10" s="94">
        <f t="shared" si="10"/>
        <v>1</v>
      </c>
      <c r="Y10" s="94">
        <f t="shared" si="11"/>
        <v>17</v>
      </c>
      <c r="Z10" s="95">
        <f t="shared" si="12"/>
        <v>0.11764705882352941</v>
      </c>
      <c r="AA10" s="95">
        <f t="shared" si="13"/>
        <v>0.5</v>
      </c>
      <c r="AB10" s="94"/>
      <c r="AC10" s="94">
        <f>'2018-19_working'!T10+'2018-19_working'!U10</f>
        <v>3</v>
      </c>
      <c r="AD10" s="94">
        <f>'2018-19_working'!V10</f>
        <v>0</v>
      </c>
      <c r="AE10" s="94">
        <f>'2018-19_working'!W10</f>
        <v>0</v>
      </c>
      <c r="AF10" s="94">
        <f>'2018-19_working'!X10</f>
        <v>0</v>
      </c>
      <c r="AG10" s="94">
        <f>'2018-19_working'!Y10+'2018-19_working'!Z10</f>
        <v>0</v>
      </c>
      <c r="AH10" s="94">
        <f>'2018-19_working'!AA10</f>
        <v>0</v>
      </c>
      <c r="AI10" s="95">
        <f t="shared" si="14"/>
        <v>0</v>
      </c>
      <c r="AJ10" s="95">
        <f t="shared" si="15"/>
        <v>0</v>
      </c>
      <c r="AK10" s="94"/>
      <c r="AL10" s="94">
        <f>'2018-19_working'!AC10+'2018-19_working'!AD10</f>
        <v>14</v>
      </c>
      <c r="AM10" s="94">
        <f>'2018-19_working'!AE10</f>
        <v>0</v>
      </c>
      <c r="AN10" s="94">
        <f>'2018-19_working'!AF10</f>
        <v>0</v>
      </c>
      <c r="AO10" s="94">
        <f>'2018-19_working'!AG10</f>
        <v>0</v>
      </c>
      <c r="AP10" s="94">
        <f>'2018-19_working'!AH10+'2018-19_working'!AI10</f>
        <v>0</v>
      </c>
      <c r="AQ10" s="94">
        <f>'2018-19_working'!AJ10</f>
        <v>11</v>
      </c>
      <c r="AR10" s="95">
        <f t="shared" si="16"/>
        <v>0</v>
      </c>
      <c r="AS10" s="95">
        <f t="shared" si="17"/>
        <v>0.44</v>
      </c>
      <c r="AT10" s="94"/>
      <c r="AU10" s="94">
        <f t="shared" si="18"/>
        <v>32</v>
      </c>
      <c r="AV10" s="94">
        <f t="shared" si="19"/>
        <v>0</v>
      </c>
      <c r="AW10" s="94">
        <f t="shared" si="20"/>
        <v>0</v>
      </c>
      <c r="AX10" s="94">
        <f t="shared" si="21"/>
        <v>1</v>
      </c>
      <c r="AY10" s="94">
        <f t="shared" si="22"/>
        <v>1</v>
      </c>
      <c r="AZ10" s="94">
        <f t="shared" si="23"/>
        <v>28</v>
      </c>
      <c r="BA10" s="95">
        <f t="shared" si="24"/>
        <v>5.8823529411764705E-2</v>
      </c>
      <c r="BB10" s="95">
        <f t="shared" si="25"/>
        <v>0.45161290322580644</v>
      </c>
    </row>
    <row r="11" spans="1:54" x14ac:dyDescent="0.35">
      <c r="A11" s="8" t="s">
        <v>18</v>
      </c>
      <c r="B11" s="94">
        <f>'2018-19_working'!B11+'2018-19_working'!C11</f>
        <v>18</v>
      </c>
      <c r="C11" s="94">
        <f>'2018-19_working'!D11</f>
        <v>0</v>
      </c>
      <c r="D11" s="94">
        <f>'2018-19_working'!E11</f>
        <v>0</v>
      </c>
      <c r="E11" s="94">
        <f>'2018-19_working'!F11</f>
        <v>0</v>
      </c>
      <c r="F11" s="94">
        <f>'2018-19_working'!G11+'2018-19_working'!H11</f>
        <v>0</v>
      </c>
      <c r="G11" s="94">
        <f>'2018-19_working'!I11</f>
        <v>0</v>
      </c>
      <c r="H11" s="95">
        <f t="shared" si="2"/>
        <v>0</v>
      </c>
      <c r="I11" s="95">
        <f t="shared" si="3"/>
        <v>0</v>
      </c>
      <c r="J11" s="94"/>
      <c r="K11" s="94">
        <f>'2018-19_working'!K11+'2018-19_working'!L11</f>
        <v>24</v>
      </c>
      <c r="L11" s="94">
        <f>'2018-19_working'!M11</f>
        <v>1</v>
      </c>
      <c r="M11" s="94">
        <f>'2018-19_working'!N11</f>
        <v>0</v>
      </c>
      <c r="N11" s="94">
        <f>'2018-19_working'!O11</f>
        <v>0</v>
      </c>
      <c r="O11" s="94">
        <f>'2018-19_working'!P11+'2018-19_working'!Q11</f>
        <v>0</v>
      </c>
      <c r="P11" s="94">
        <f>'2018-19_working'!R11</f>
        <v>1</v>
      </c>
      <c r="Q11" s="95">
        <f t="shared" si="4"/>
        <v>0.04</v>
      </c>
      <c r="R11" s="95">
        <f t="shared" si="5"/>
        <v>3.8461538461538464E-2</v>
      </c>
      <c r="S11" s="94"/>
      <c r="T11" s="94">
        <f t="shared" si="6"/>
        <v>42</v>
      </c>
      <c r="U11" s="94">
        <f t="shared" si="7"/>
        <v>1</v>
      </c>
      <c r="V11" s="94">
        <f t="shared" si="8"/>
        <v>0</v>
      </c>
      <c r="W11" s="94">
        <f t="shared" si="9"/>
        <v>0</v>
      </c>
      <c r="X11" s="94">
        <f t="shared" si="10"/>
        <v>0</v>
      </c>
      <c r="Y11" s="94">
        <f t="shared" si="11"/>
        <v>1</v>
      </c>
      <c r="Z11" s="95">
        <f t="shared" si="12"/>
        <v>2.3255813953488372E-2</v>
      </c>
      <c r="AA11" s="95">
        <f t="shared" si="13"/>
        <v>2.2727272727272728E-2</v>
      </c>
      <c r="AB11" s="94"/>
      <c r="AC11" s="94">
        <f>'2018-19_working'!T11+'2018-19_working'!U11</f>
        <v>1</v>
      </c>
      <c r="AD11" s="94">
        <f>'2018-19_working'!V11</f>
        <v>0</v>
      </c>
      <c r="AE11" s="94">
        <f>'2018-19_working'!W11</f>
        <v>0</v>
      </c>
      <c r="AF11" s="94">
        <f>'2018-19_working'!X11</f>
        <v>0</v>
      </c>
      <c r="AG11" s="94">
        <f>'2018-19_working'!Y11+'2018-19_working'!Z11</f>
        <v>0</v>
      </c>
      <c r="AH11" s="94">
        <f>'2018-19_working'!AA11</f>
        <v>1</v>
      </c>
      <c r="AI11" s="95">
        <f t="shared" si="14"/>
        <v>0</v>
      </c>
      <c r="AJ11" s="95">
        <f t="shared" si="15"/>
        <v>0.5</v>
      </c>
      <c r="AK11" s="94"/>
      <c r="AL11" s="94">
        <f>'2018-19_working'!AC11+'2018-19_working'!AD11</f>
        <v>15</v>
      </c>
      <c r="AM11" s="94">
        <f>'2018-19_working'!AE11</f>
        <v>1</v>
      </c>
      <c r="AN11" s="94">
        <f>'2018-19_working'!AF11</f>
        <v>1</v>
      </c>
      <c r="AO11" s="94">
        <f>'2018-19_working'!AG11</f>
        <v>0</v>
      </c>
      <c r="AP11" s="94">
        <f>'2018-19_working'!AH11+'2018-19_working'!AI11</f>
        <v>0</v>
      </c>
      <c r="AQ11" s="94">
        <f>'2018-19_working'!AJ11</f>
        <v>5</v>
      </c>
      <c r="AR11" s="95">
        <f t="shared" si="16"/>
        <v>0.11764705882352941</v>
      </c>
      <c r="AS11" s="95">
        <f t="shared" si="17"/>
        <v>0.22727272727272727</v>
      </c>
      <c r="AT11" s="94"/>
      <c r="AU11" s="94">
        <f t="shared" si="18"/>
        <v>58</v>
      </c>
      <c r="AV11" s="94">
        <f t="shared" si="19"/>
        <v>2</v>
      </c>
      <c r="AW11" s="94">
        <f t="shared" si="20"/>
        <v>1</v>
      </c>
      <c r="AX11" s="94">
        <f t="shared" si="21"/>
        <v>0</v>
      </c>
      <c r="AY11" s="94">
        <f t="shared" si="22"/>
        <v>0</v>
      </c>
      <c r="AZ11" s="94">
        <f t="shared" si="23"/>
        <v>7</v>
      </c>
      <c r="BA11" s="95">
        <f t="shared" si="24"/>
        <v>4.9180327868852458E-2</v>
      </c>
      <c r="BB11" s="95">
        <f t="shared" si="25"/>
        <v>0.10294117647058823</v>
      </c>
    </row>
    <row r="12" spans="1:54" x14ac:dyDescent="0.35">
      <c r="A12" s="8" t="s">
        <v>19</v>
      </c>
      <c r="B12" s="94">
        <f>'2018-19_working'!B12+'2018-19_working'!C12</f>
        <v>13</v>
      </c>
      <c r="C12" s="94">
        <f>'2018-19_working'!D12</f>
        <v>1</v>
      </c>
      <c r="D12" s="94">
        <f>'2018-19_working'!E12</f>
        <v>0</v>
      </c>
      <c r="E12" s="94">
        <f>'2018-19_working'!F12</f>
        <v>0</v>
      </c>
      <c r="F12" s="94">
        <f>'2018-19_working'!G12+'2018-19_working'!H12</f>
        <v>0</v>
      </c>
      <c r="G12" s="94">
        <f>'2018-19_working'!I12</f>
        <v>0</v>
      </c>
      <c r="H12" s="95">
        <f t="shared" si="2"/>
        <v>7.1428571428571425E-2</v>
      </c>
      <c r="I12" s="95">
        <f t="shared" si="3"/>
        <v>0</v>
      </c>
      <c r="J12" s="94"/>
      <c r="K12" s="94">
        <f>'2018-19_working'!K12+'2018-19_working'!L12</f>
        <v>22</v>
      </c>
      <c r="L12" s="94">
        <f>'2018-19_working'!M12</f>
        <v>1</v>
      </c>
      <c r="M12" s="94">
        <f>'2018-19_working'!N12</f>
        <v>0</v>
      </c>
      <c r="N12" s="94">
        <f>'2018-19_working'!O12</f>
        <v>0</v>
      </c>
      <c r="O12" s="94">
        <f>'2018-19_working'!P12+'2018-19_working'!Q12</f>
        <v>0</v>
      </c>
      <c r="P12" s="94">
        <f>'2018-19_working'!R12</f>
        <v>0</v>
      </c>
      <c r="Q12" s="95">
        <f t="shared" si="4"/>
        <v>4.3478260869565216E-2</v>
      </c>
      <c r="R12" s="95">
        <f t="shared" si="5"/>
        <v>0</v>
      </c>
      <c r="S12" s="94"/>
      <c r="T12" s="94">
        <f t="shared" si="6"/>
        <v>35</v>
      </c>
      <c r="U12" s="94">
        <f t="shared" si="7"/>
        <v>2</v>
      </c>
      <c r="V12" s="94">
        <f t="shared" si="8"/>
        <v>0</v>
      </c>
      <c r="W12" s="94">
        <f t="shared" si="9"/>
        <v>0</v>
      </c>
      <c r="X12" s="94">
        <f t="shared" si="10"/>
        <v>0</v>
      </c>
      <c r="Y12" s="94">
        <f t="shared" si="11"/>
        <v>0</v>
      </c>
      <c r="Z12" s="95">
        <f t="shared" si="12"/>
        <v>5.4054054054054057E-2</v>
      </c>
      <c r="AA12" s="95">
        <f t="shared" si="13"/>
        <v>0</v>
      </c>
      <c r="AB12" s="94"/>
      <c r="AC12" s="94">
        <f>'2018-19_working'!T12+'2018-19_working'!U12</f>
        <v>5</v>
      </c>
      <c r="AD12" s="94">
        <f>'2018-19_working'!V12</f>
        <v>0</v>
      </c>
      <c r="AE12" s="94">
        <f>'2018-19_working'!W12</f>
        <v>0</v>
      </c>
      <c r="AF12" s="94">
        <f>'2018-19_working'!X12</f>
        <v>0</v>
      </c>
      <c r="AG12" s="94">
        <f>'2018-19_working'!Y12+'2018-19_working'!Z12</f>
        <v>0</v>
      </c>
      <c r="AH12" s="94">
        <f>'2018-19_working'!AA12</f>
        <v>0</v>
      </c>
      <c r="AI12" s="95">
        <f t="shared" si="14"/>
        <v>0</v>
      </c>
      <c r="AJ12" s="95">
        <f t="shared" si="15"/>
        <v>0</v>
      </c>
      <c r="AK12" s="94"/>
      <c r="AL12" s="94">
        <f>'2018-19_working'!AC12+'2018-19_working'!AD12</f>
        <v>22</v>
      </c>
      <c r="AM12" s="94">
        <f>'2018-19_working'!AE12</f>
        <v>1</v>
      </c>
      <c r="AN12" s="94">
        <f>'2018-19_working'!AF12</f>
        <v>3</v>
      </c>
      <c r="AO12" s="94">
        <f>'2018-19_working'!AG12</f>
        <v>2</v>
      </c>
      <c r="AP12" s="94">
        <f>'2018-19_working'!AH12+'2018-19_working'!AI12</f>
        <v>0</v>
      </c>
      <c r="AQ12" s="94">
        <f>'2018-19_working'!AJ12</f>
        <v>1</v>
      </c>
      <c r="AR12" s="95">
        <f t="shared" si="16"/>
        <v>0.21428571428571427</v>
      </c>
      <c r="AS12" s="95">
        <f t="shared" si="17"/>
        <v>3.4482758620689655E-2</v>
      </c>
      <c r="AT12" s="94"/>
      <c r="AU12" s="94">
        <f t="shared" si="18"/>
        <v>62</v>
      </c>
      <c r="AV12" s="94">
        <f t="shared" si="19"/>
        <v>3</v>
      </c>
      <c r="AW12" s="94">
        <f t="shared" si="20"/>
        <v>3</v>
      </c>
      <c r="AX12" s="94">
        <f t="shared" si="21"/>
        <v>2</v>
      </c>
      <c r="AY12" s="94">
        <f t="shared" si="22"/>
        <v>0</v>
      </c>
      <c r="AZ12" s="94">
        <f t="shared" si="23"/>
        <v>1</v>
      </c>
      <c r="BA12" s="95">
        <f t="shared" si="24"/>
        <v>0.11428571428571428</v>
      </c>
      <c r="BB12" s="95">
        <f t="shared" si="25"/>
        <v>1.4084507042253521E-2</v>
      </c>
    </row>
    <row r="13" spans="1:54" x14ac:dyDescent="0.35">
      <c r="A13" s="8" t="s">
        <v>20</v>
      </c>
      <c r="B13" s="94">
        <f>'2018-19_working'!B13+'2018-19_working'!C13</f>
        <v>25</v>
      </c>
      <c r="C13" s="94">
        <f>'2018-19_working'!D13</f>
        <v>3</v>
      </c>
      <c r="D13" s="94">
        <f>'2018-19_working'!E13</f>
        <v>0</v>
      </c>
      <c r="E13" s="94">
        <f>'2018-19_working'!F13</f>
        <v>0</v>
      </c>
      <c r="F13" s="94">
        <f>'2018-19_working'!G13+'2018-19_working'!H13</f>
        <v>0</v>
      </c>
      <c r="G13" s="94">
        <f>'2018-19_working'!I13</f>
        <v>0</v>
      </c>
      <c r="H13" s="95">
        <f t="shared" si="2"/>
        <v>0.10714285714285714</v>
      </c>
      <c r="I13" s="95">
        <f t="shared" si="3"/>
        <v>0</v>
      </c>
      <c r="J13" s="94"/>
      <c r="K13" s="94">
        <f>'2018-19_working'!K13+'2018-19_working'!L13</f>
        <v>18</v>
      </c>
      <c r="L13" s="94">
        <f>'2018-19_working'!M13</f>
        <v>0</v>
      </c>
      <c r="M13" s="94">
        <f>'2018-19_working'!N13</f>
        <v>1</v>
      </c>
      <c r="N13" s="94">
        <f>'2018-19_working'!O13</f>
        <v>0</v>
      </c>
      <c r="O13" s="94">
        <f>'2018-19_working'!P13+'2018-19_working'!Q13</f>
        <v>0</v>
      </c>
      <c r="P13" s="94">
        <f>'2018-19_working'!R13</f>
        <v>0</v>
      </c>
      <c r="Q13" s="95">
        <f t="shared" si="4"/>
        <v>5.2631578947368418E-2</v>
      </c>
      <c r="R13" s="95">
        <f t="shared" si="5"/>
        <v>0</v>
      </c>
      <c r="S13" s="94"/>
      <c r="T13" s="94">
        <f t="shared" si="6"/>
        <v>43</v>
      </c>
      <c r="U13" s="94">
        <f t="shared" si="7"/>
        <v>3</v>
      </c>
      <c r="V13" s="94">
        <f t="shared" si="8"/>
        <v>1</v>
      </c>
      <c r="W13" s="94">
        <f t="shared" si="9"/>
        <v>0</v>
      </c>
      <c r="X13" s="94">
        <f t="shared" si="10"/>
        <v>0</v>
      </c>
      <c r="Y13" s="94">
        <f t="shared" si="11"/>
        <v>0</v>
      </c>
      <c r="Z13" s="95">
        <f t="shared" si="12"/>
        <v>8.5106382978723402E-2</v>
      </c>
      <c r="AA13" s="95">
        <f t="shared" si="13"/>
        <v>0</v>
      </c>
      <c r="AB13" s="94"/>
      <c r="AC13" s="94">
        <f>'2018-19_working'!T13+'2018-19_working'!U13</f>
        <v>0</v>
      </c>
      <c r="AD13" s="94">
        <f>'2018-19_working'!V13</f>
        <v>0</v>
      </c>
      <c r="AE13" s="94">
        <f>'2018-19_working'!W13</f>
        <v>0</v>
      </c>
      <c r="AF13" s="94">
        <f>'2018-19_working'!X13</f>
        <v>0</v>
      </c>
      <c r="AG13" s="94">
        <f>'2018-19_working'!Y13+'2018-19_working'!Z13</f>
        <v>0</v>
      </c>
      <c r="AH13" s="94">
        <f>'2018-19_working'!AA13</f>
        <v>0</v>
      </c>
      <c r="AI13" s="95" t="str">
        <f t="shared" si="14"/>
        <v>-</v>
      </c>
      <c r="AJ13" s="95" t="str">
        <f t="shared" si="15"/>
        <v>-</v>
      </c>
      <c r="AK13" s="94"/>
      <c r="AL13" s="94">
        <f>'2018-19_working'!AC13+'2018-19_working'!AD13</f>
        <v>5</v>
      </c>
      <c r="AM13" s="94">
        <f>'2018-19_working'!AE13</f>
        <v>0</v>
      </c>
      <c r="AN13" s="94">
        <f>'2018-19_working'!AF13</f>
        <v>0</v>
      </c>
      <c r="AO13" s="94">
        <f>'2018-19_working'!AG13</f>
        <v>1</v>
      </c>
      <c r="AP13" s="94">
        <f>'2018-19_working'!AH13+'2018-19_working'!AI13</f>
        <v>0</v>
      </c>
      <c r="AQ13" s="94">
        <f>'2018-19_working'!AJ13</f>
        <v>0</v>
      </c>
      <c r="AR13" s="95">
        <f t="shared" si="16"/>
        <v>0.16666666666666666</v>
      </c>
      <c r="AS13" s="95">
        <f t="shared" si="17"/>
        <v>0</v>
      </c>
      <c r="AT13" s="94"/>
      <c r="AU13" s="94">
        <f t="shared" si="18"/>
        <v>48</v>
      </c>
      <c r="AV13" s="94">
        <f t="shared" si="19"/>
        <v>3</v>
      </c>
      <c r="AW13" s="94">
        <f t="shared" si="20"/>
        <v>1</v>
      </c>
      <c r="AX13" s="94">
        <f t="shared" si="21"/>
        <v>1</v>
      </c>
      <c r="AY13" s="94">
        <f t="shared" si="22"/>
        <v>0</v>
      </c>
      <c r="AZ13" s="94">
        <f t="shared" si="23"/>
        <v>0</v>
      </c>
      <c r="BA13" s="95">
        <f t="shared" si="24"/>
        <v>9.4339622641509441E-2</v>
      </c>
      <c r="BB13" s="95">
        <f t="shared" si="25"/>
        <v>0</v>
      </c>
    </row>
    <row r="14" spans="1:54" x14ac:dyDescent="0.35">
      <c r="A14" s="8" t="s">
        <v>21</v>
      </c>
      <c r="B14" s="94">
        <f>'2018-19_working'!B14+'2018-19_working'!C14</f>
        <v>12</v>
      </c>
      <c r="C14" s="94">
        <f>'2018-19_working'!D14</f>
        <v>0</v>
      </c>
      <c r="D14" s="94">
        <f>'2018-19_working'!E14</f>
        <v>0</v>
      </c>
      <c r="E14" s="94">
        <f>'2018-19_working'!F14</f>
        <v>0</v>
      </c>
      <c r="F14" s="94">
        <f>'2018-19_working'!G14+'2018-19_working'!H14</f>
        <v>0</v>
      </c>
      <c r="G14" s="94">
        <f>'2018-19_working'!I14</f>
        <v>2</v>
      </c>
      <c r="H14" s="95">
        <f t="shared" si="2"/>
        <v>0</v>
      </c>
      <c r="I14" s="95">
        <f t="shared" si="3"/>
        <v>0.14285714285714285</v>
      </c>
      <c r="J14" s="94"/>
      <c r="K14" s="94">
        <f>'2018-19_working'!K14+'2018-19_working'!L14</f>
        <v>32</v>
      </c>
      <c r="L14" s="94">
        <f>'2018-19_working'!M14</f>
        <v>0</v>
      </c>
      <c r="M14" s="94">
        <f>'2018-19_working'!N14</f>
        <v>0</v>
      </c>
      <c r="N14" s="94">
        <f>'2018-19_working'!O14</f>
        <v>0</v>
      </c>
      <c r="O14" s="94">
        <f>'2018-19_working'!P14+'2018-19_working'!Q14</f>
        <v>0</v>
      </c>
      <c r="P14" s="94">
        <f>'2018-19_working'!R14</f>
        <v>4</v>
      </c>
      <c r="Q14" s="95">
        <f t="shared" si="4"/>
        <v>0</v>
      </c>
      <c r="R14" s="95">
        <f t="shared" si="5"/>
        <v>0.1111111111111111</v>
      </c>
      <c r="S14" s="94"/>
      <c r="T14" s="94">
        <f t="shared" si="6"/>
        <v>44</v>
      </c>
      <c r="U14" s="94">
        <f t="shared" si="7"/>
        <v>0</v>
      </c>
      <c r="V14" s="94">
        <f t="shared" si="8"/>
        <v>0</v>
      </c>
      <c r="W14" s="94">
        <f t="shared" si="9"/>
        <v>0</v>
      </c>
      <c r="X14" s="94">
        <f t="shared" si="10"/>
        <v>0</v>
      </c>
      <c r="Y14" s="94">
        <f t="shared" si="11"/>
        <v>6</v>
      </c>
      <c r="Z14" s="95">
        <f t="shared" si="12"/>
        <v>0</v>
      </c>
      <c r="AA14" s="95">
        <f t="shared" si="13"/>
        <v>0.12</v>
      </c>
      <c r="AB14" s="94"/>
      <c r="AC14" s="94">
        <f>'2018-19_working'!T14+'2018-19_working'!U14</f>
        <v>8</v>
      </c>
      <c r="AD14" s="94">
        <f>'2018-19_working'!V14</f>
        <v>0</v>
      </c>
      <c r="AE14" s="94">
        <f>'2018-19_working'!W14</f>
        <v>0</v>
      </c>
      <c r="AF14" s="94">
        <f>'2018-19_working'!X14</f>
        <v>0</v>
      </c>
      <c r="AG14" s="94">
        <f>'2018-19_working'!Y14+'2018-19_working'!Z14</f>
        <v>0</v>
      </c>
      <c r="AH14" s="94">
        <f>'2018-19_working'!AA14</f>
        <v>4</v>
      </c>
      <c r="AI14" s="95">
        <f t="shared" si="14"/>
        <v>0</v>
      </c>
      <c r="AJ14" s="95">
        <f t="shared" si="15"/>
        <v>0.33333333333333331</v>
      </c>
      <c r="AK14" s="94"/>
      <c r="AL14" s="94">
        <f>'2018-19_working'!AC14+'2018-19_working'!AD14</f>
        <v>12</v>
      </c>
      <c r="AM14" s="94">
        <f>'2018-19_working'!AE14</f>
        <v>1</v>
      </c>
      <c r="AN14" s="94">
        <f>'2018-19_working'!AF14</f>
        <v>1</v>
      </c>
      <c r="AO14" s="94">
        <f>'2018-19_working'!AG14</f>
        <v>2</v>
      </c>
      <c r="AP14" s="94">
        <f>'2018-19_working'!AH14+'2018-19_working'!AI14</f>
        <v>0</v>
      </c>
      <c r="AQ14" s="94">
        <f>'2018-19_working'!AJ14</f>
        <v>5</v>
      </c>
      <c r="AR14" s="95">
        <f t="shared" si="16"/>
        <v>0.25</v>
      </c>
      <c r="AS14" s="95">
        <f t="shared" si="17"/>
        <v>0.23809523809523808</v>
      </c>
      <c r="AT14" s="94"/>
      <c r="AU14" s="94">
        <f t="shared" si="18"/>
        <v>64</v>
      </c>
      <c r="AV14" s="94">
        <f t="shared" si="19"/>
        <v>1</v>
      </c>
      <c r="AW14" s="94">
        <f t="shared" si="20"/>
        <v>1</v>
      </c>
      <c r="AX14" s="94">
        <f t="shared" si="21"/>
        <v>2</v>
      </c>
      <c r="AY14" s="94">
        <f t="shared" si="22"/>
        <v>0</v>
      </c>
      <c r="AZ14" s="94">
        <f t="shared" si="23"/>
        <v>15</v>
      </c>
      <c r="BA14" s="95">
        <f t="shared" si="24"/>
        <v>5.8823529411764705E-2</v>
      </c>
      <c r="BB14" s="95">
        <f t="shared" si="25"/>
        <v>0.18072289156626506</v>
      </c>
    </row>
    <row r="15" spans="1:54" x14ac:dyDescent="0.35">
      <c r="A15" s="8" t="s">
        <v>22</v>
      </c>
      <c r="B15" s="94">
        <f>'2018-19_working'!B15+'2018-19_working'!C15</f>
        <v>49</v>
      </c>
      <c r="C15" s="94">
        <f>'2018-19_working'!D15</f>
        <v>0</v>
      </c>
      <c r="D15" s="94">
        <f>'2018-19_working'!E15</f>
        <v>0</v>
      </c>
      <c r="E15" s="94">
        <f>'2018-19_working'!F15</f>
        <v>0</v>
      </c>
      <c r="F15" s="94">
        <f>'2018-19_working'!G15+'2018-19_working'!H15</f>
        <v>1</v>
      </c>
      <c r="G15" s="94">
        <f>'2018-19_working'!I15</f>
        <v>4</v>
      </c>
      <c r="H15" s="95">
        <f t="shared" si="2"/>
        <v>0.02</v>
      </c>
      <c r="I15" s="95">
        <f t="shared" si="3"/>
        <v>7.407407407407407E-2</v>
      </c>
      <c r="J15" s="94"/>
      <c r="K15" s="94">
        <f>'2018-19_working'!K15+'2018-19_working'!L15</f>
        <v>26</v>
      </c>
      <c r="L15" s="94">
        <f>'2018-19_working'!M15</f>
        <v>0</v>
      </c>
      <c r="M15" s="94">
        <f>'2018-19_working'!N15</f>
        <v>0</v>
      </c>
      <c r="N15" s="94">
        <f>'2018-19_working'!O15</f>
        <v>0</v>
      </c>
      <c r="O15" s="94">
        <f>'2018-19_working'!P15+'2018-19_working'!Q15</f>
        <v>0</v>
      </c>
      <c r="P15" s="94">
        <f>'2018-19_working'!R15</f>
        <v>2</v>
      </c>
      <c r="Q15" s="95">
        <f t="shared" si="4"/>
        <v>0</v>
      </c>
      <c r="R15" s="95">
        <f t="shared" si="5"/>
        <v>7.1428571428571425E-2</v>
      </c>
      <c r="S15" s="94"/>
      <c r="T15" s="94">
        <f t="shared" si="6"/>
        <v>75</v>
      </c>
      <c r="U15" s="94">
        <f t="shared" si="7"/>
        <v>0</v>
      </c>
      <c r="V15" s="94">
        <f t="shared" si="8"/>
        <v>0</v>
      </c>
      <c r="W15" s="94">
        <f t="shared" si="9"/>
        <v>0</v>
      </c>
      <c r="X15" s="94">
        <f t="shared" si="10"/>
        <v>1</v>
      </c>
      <c r="Y15" s="94">
        <f t="shared" si="11"/>
        <v>6</v>
      </c>
      <c r="Z15" s="95">
        <f t="shared" si="12"/>
        <v>1.3157894736842105E-2</v>
      </c>
      <c r="AA15" s="95">
        <f t="shared" si="13"/>
        <v>7.3170731707317069E-2</v>
      </c>
      <c r="AB15" s="94"/>
      <c r="AC15" s="94">
        <f>'2018-19_working'!T15+'2018-19_working'!U15</f>
        <v>0</v>
      </c>
      <c r="AD15" s="94">
        <f>'2018-19_working'!V15</f>
        <v>0</v>
      </c>
      <c r="AE15" s="94">
        <f>'2018-19_working'!W15</f>
        <v>0</v>
      </c>
      <c r="AF15" s="94">
        <f>'2018-19_working'!X15</f>
        <v>0</v>
      </c>
      <c r="AG15" s="94">
        <f>'2018-19_working'!Y15+'2018-19_working'!Z15</f>
        <v>0</v>
      </c>
      <c r="AH15" s="94">
        <f>'2018-19_working'!AA15</f>
        <v>0</v>
      </c>
      <c r="AI15" s="95" t="str">
        <f t="shared" si="14"/>
        <v>-</v>
      </c>
      <c r="AJ15" s="95" t="str">
        <f t="shared" si="15"/>
        <v>-</v>
      </c>
      <c r="AK15" s="94"/>
      <c r="AL15" s="94">
        <f>'2018-19_working'!AC15+'2018-19_working'!AD15</f>
        <v>16</v>
      </c>
      <c r="AM15" s="94">
        <f>'2018-19_working'!AE15</f>
        <v>0</v>
      </c>
      <c r="AN15" s="94">
        <f>'2018-19_working'!AF15</f>
        <v>0</v>
      </c>
      <c r="AO15" s="94">
        <f>'2018-19_working'!AG15</f>
        <v>0</v>
      </c>
      <c r="AP15" s="94">
        <f>'2018-19_working'!AH15+'2018-19_working'!AI15</f>
        <v>0</v>
      </c>
      <c r="AQ15" s="94">
        <f>'2018-19_working'!AJ15</f>
        <v>0</v>
      </c>
      <c r="AR15" s="95">
        <f t="shared" si="16"/>
        <v>0</v>
      </c>
      <c r="AS15" s="95">
        <f t="shared" si="17"/>
        <v>0</v>
      </c>
      <c r="AT15" s="94"/>
      <c r="AU15" s="94">
        <f t="shared" si="18"/>
        <v>91</v>
      </c>
      <c r="AV15" s="94">
        <f t="shared" si="19"/>
        <v>0</v>
      </c>
      <c r="AW15" s="94">
        <f t="shared" si="20"/>
        <v>0</v>
      </c>
      <c r="AX15" s="94">
        <f t="shared" si="21"/>
        <v>0</v>
      </c>
      <c r="AY15" s="94">
        <f t="shared" si="22"/>
        <v>1</v>
      </c>
      <c r="AZ15" s="94">
        <f t="shared" si="23"/>
        <v>6</v>
      </c>
      <c r="BA15" s="95">
        <f t="shared" si="24"/>
        <v>1.0869565217391304E-2</v>
      </c>
      <c r="BB15" s="95">
        <f t="shared" si="25"/>
        <v>6.1224489795918366E-2</v>
      </c>
    </row>
    <row r="16" spans="1:54" x14ac:dyDescent="0.35">
      <c r="A16" s="8" t="s">
        <v>23</v>
      </c>
      <c r="B16" s="94">
        <f>'2018-19_working'!B16+'2018-19_working'!C16</f>
        <v>36</v>
      </c>
      <c r="C16" s="94">
        <f>'2018-19_working'!D16</f>
        <v>0</v>
      </c>
      <c r="D16" s="94">
        <f>'2018-19_working'!E16</f>
        <v>0</v>
      </c>
      <c r="E16" s="94">
        <f>'2018-19_working'!F16</f>
        <v>0</v>
      </c>
      <c r="F16" s="94">
        <f>'2018-19_working'!G16+'2018-19_working'!H16</f>
        <v>0</v>
      </c>
      <c r="G16" s="94">
        <f>'2018-19_working'!I16</f>
        <v>0</v>
      </c>
      <c r="H16" s="95">
        <f t="shared" si="2"/>
        <v>0</v>
      </c>
      <c r="I16" s="95">
        <f t="shared" si="3"/>
        <v>0</v>
      </c>
      <c r="J16" s="94"/>
      <c r="K16" s="94">
        <f>'2018-19_working'!K16+'2018-19_working'!L16</f>
        <v>13</v>
      </c>
      <c r="L16" s="94">
        <f>'2018-19_working'!M16</f>
        <v>0</v>
      </c>
      <c r="M16" s="94">
        <f>'2018-19_working'!N16</f>
        <v>0</v>
      </c>
      <c r="N16" s="94">
        <f>'2018-19_working'!O16</f>
        <v>0</v>
      </c>
      <c r="O16" s="94">
        <f>'2018-19_working'!P16+'2018-19_working'!Q16</f>
        <v>0</v>
      </c>
      <c r="P16" s="94">
        <f>'2018-19_working'!R16</f>
        <v>0</v>
      </c>
      <c r="Q16" s="95">
        <f t="shared" si="4"/>
        <v>0</v>
      </c>
      <c r="R16" s="95">
        <f t="shared" si="5"/>
        <v>0</v>
      </c>
      <c r="S16" s="94"/>
      <c r="T16" s="94">
        <f t="shared" si="6"/>
        <v>49</v>
      </c>
      <c r="U16" s="94">
        <f t="shared" si="7"/>
        <v>0</v>
      </c>
      <c r="V16" s="94">
        <f t="shared" si="8"/>
        <v>0</v>
      </c>
      <c r="W16" s="94">
        <f t="shared" si="9"/>
        <v>0</v>
      </c>
      <c r="X16" s="94">
        <f t="shared" si="10"/>
        <v>0</v>
      </c>
      <c r="Y16" s="94">
        <f t="shared" si="11"/>
        <v>0</v>
      </c>
      <c r="Z16" s="95">
        <f t="shared" si="12"/>
        <v>0</v>
      </c>
      <c r="AA16" s="95">
        <f t="shared" si="13"/>
        <v>0</v>
      </c>
      <c r="AB16" s="94"/>
      <c r="AC16" s="94">
        <f>'2018-19_working'!T16+'2018-19_working'!U16</f>
        <v>2</v>
      </c>
      <c r="AD16" s="94">
        <f>'2018-19_working'!V16</f>
        <v>0</v>
      </c>
      <c r="AE16" s="94">
        <f>'2018-19_working'!W16</f>
        <v>0</v>
      </c>
      <c r="AF16" s="94">
        <f>'2018-19_working'!X16</f>
        <v>0</v>
      </c>
      <c r="AG16" s="94">
        <f>'2018-19_working'!Y16+'2018-19_working'!Z16</f>
        <v>0</v>
      </c>
      <c r="AH16" s="94">
        <f>'2018-19_working'!AA16</f>
        <v>0</v>
      </c>
      <c r="AI16" s="95">
        <f t="shared" si="14"/>
        <v>0</v>
      </c>
      <c r="AJ16" s="95">
        <f t="shared" si="15"/>
        <v>0</v>
      </c>
      <c r="AK16" s="94"/>
      <c r="AL16" s="94">
        <f>'2018-19_working'!AC16+'2018-19_working'!AD16</f>
        <v>12</v>
      </c>
      <c r="AM16" s="94">
        <f>'2018-19_working'!AE16</f>
        <v>0</v>
      </c>
      <c r="AN16" s="94">
        <f>'2018-19_working'!AF16</f>
        <v>0</v>
      </c>
      <c r="AO16" s="94">
        <f>'2018-19_working'!AG16</f>
        <v>0</v>
      </c>
      <c r="AP16" s="94">
        <f>'2018-19_working'!AH16+'2018-19_working'!AI16</f>
        <v>0</v>
      </c>
      <c r="AQ16" s="94">
        <f>'2018-19_working'!AJ16</f>
        <v>0</v>
      </c>
      <c r="AR16" s="95">
        <f t="shared" si="16"/>
        <v>0</v>
      </c>
      <c r="AS16" s="95">
        <f t="shared" si="17"/>
        <v>0</v>
      </c>
      <c r="AT16" s="94"/>
      <c r="AU16" s="94">
        <f t="shared" si="18"/>
        <v>63</v>
      </c>
      <c r="AV16" s="94">
        <f t="shared" si="19"/>
        <v>0</v>
      </c>
      <c r="AW16" s="94">
        <f t="shared" si="20"/>
        <v>0</v>
      </c>
      <c r="AX16" s="94">
        <f t="shared" si="21"/>
        <v>0</v>
      </c>
      <c r="AY16" s="94">
        <f t="shared" si="22"/>
        <v>0</v>
      </c>
      <c r="AZ16" s="94">
        <f t="shared" si="23"/>
        <v>0</v>
      </c>
      <c r="BA16" s="95">
        <f t="shared" si="24"/>
        <v>0</v>
      </c>
      <c r="BB16" s="95">
        <f t="shared" si="25"/>
        <v>0</v>
      </c>
    </row>
    <row r="17" spans="1:54" x14ac:dyDescent="0.35">
      <c r="A17" s="8" t="s">
        <v>24</v>
      </c>
      <c r="B17" s="94">
        <f>'2018-19_working'!B17+'2018-19_working'!C17</f>
        <v>10</v>
      </c>
      <c r="C17" s="94">
        <f>'2018-19_working'!D17</f>
        <v>0</v>
      </c>
      <c r="D17" s="94">
        <f>'2018-19_working'!E17</f>
        <v>0</v>
      </c>
      <c r="E17" s="94">
        <f>'2018-19_working'!F17</f>
        <v>1</v>
      </c>
      <c r="F17" s="94">
        <f>'2018-19_working'!G17+'2018-19_working'!H17</f>
        <v>0</v>
      </c>
      <c r="G17" s="94">
        <f>'2018-19_working'!I17</f>
        <v>1</v>
      </c>
      <c r="H17" s="95">
        <f t="shared" si="2"/>
        <v>9.0909090909090912E-2</v>
      </c>
      <c r="I17" s="95">
        <f t="shared" si="3"/>
        <v>8.3333333333333329E-2</v>
      </c>
      <c r="J17" s="94"/>
      <c r="K17" s="94">
        <f>'2018-19_working'!K17+'2018-19_working'!L17</f>
        <v>18</v>
      </c>
      <c r="L17" s="94">
        <f>'2018-19_working'!M17</f>
        <v>0</v>
      </c>
      <c r="M17" s="94">
        <f>'2018-19_working'!N17</f>
        <v>0</v>
      </c>
      <c r="N17" s="94">
        <f>'2018-19_working'!O17</f>
        <v>0</v>
      </c>
      <c r="O17" s="94">
        <f>'2018-19_working'!P17+'2018-19_working'!Q17</f>
        <v>0</v>
      </c>
      <c r="P17" s="94">
        <f>'2018-19_working'!R17</f>
        <v>41</v>
      </c>
      <c r="Q17" s="95">
        <f t="shared" si="4"/>
        <v>0</v>
      </c>
      <c r="R17" s="95">
        <f t="shared" si="5"/>
        <v>0.69491525423728817</v>
      </c>
      <c r="S17" s="94"/>
      <c r="T17" s="94">
        <f t="shared" si="6"/>
        <v>28</v>
      </c>
      <c r="U17" s="94">
        <f t="shared" si="7"/>
        <v>0</v>
      </c>
      <c r="V17" s="94">
        <f t="shared" si="8"/>
        <v>0</v>
      </c>
      <c r="W17" s="94">
        <f t="shared" si="9"/>
        <v>1</v>
      </c>
      <c r="X17" s="94">
        <f t="shared" si="10"/>
        <v>0</v>
      </c>
      <c r="Y17" s="94">
        <f t="shared" si="11"/>
        <v>42</v>
      </c>
      <c r="Z17" s="95">
        <f t="shared" si="12"/>
        <v>3.4482758620689655E-2</v>
      </c>
      <c r="AA17" s="95">
        <f t="shared" si="13"/>
        <v>0.59154929577464788</v>
      </c>
      <c r="AB17" s="94"/>
      <c r="AC17" s="94">
        <f>'2018-19_working'!T17+'2018-19_working'!U17</f>
        <v>1</v>
      </c>
      <c r="AD17" s="94">
        <f>'2018-19_working'!V17</f>
        <v>0</v>
      </c>
      <c r="AE17" s="94">
        <f>'2018-19_working'!W17</f>
        <v>0</v>
      </c>
      <c r="AF17" s="94">
        <f>'2018-19_working'!X17</f>
        <v>0</v>
      </c>
      <c r="AG17" s="94">
        <f>'2018-19_working'!Y17+'2018-19_working'!Z17</f>
        <v>0</v>
      </c>
      <c r="AH17" s="94">
        <f>'2018-19_working'!AA17</f>
        <v>2</v>
      </c>
      <c r="AI17" s="95">
        <f t="shared" si="14"/>
        <v>0</v>
      </c>
      <c r="AJ17" s="95">
        <f t="shared" si="15"/>
        <v>0.66666666666666663</v>
      </c>
      <c r="AK17" s="94"/>
      <c r="AL17" s="94">
        <f>'2018-19_working'!AC17+'2018-19_working'!AD17</f>
        <v>2</v>
      </c>
      <c r="AM17" s="94">
        <f>'2018-19_working'!AE17</f>
        <v>0</v>
      </c>
      <c r="AN17" s="94">
        <f>'2018-19_working'!AF17</f>
        <v>0</v>
      </c>
      <c r="AO17" s="94">
        <f>'2018-19_working'!AG17</f>
        <v>0</v>
      </c>
      <c r="AP17" s="94">
        <f>'2018-19_working'!AH17+'2018-19_working'!AI17</f>
        <v>0</v>
      </c>
      <c r="AQ17" s="94">
        <f>'2018-19_working'!AJ17</f>
        <v>22</v>
      </c>
      <c r="AR17" s="95">
        <f t="shared" si="16"/>
        <v>0</v>
      </c>
      <c r="AS17" s="95">
        <f t="shared" si="17"/>
        <v>0.91666666666666663</v>
      </c>
      <c r="AT17" s="94"/>
      <c r="AU17" s="94">
        <f t="shared" si="18"/>
        <v>31</v>
      </c>
      <c r="AV17" s="94">
        <f t="shared" si="19"/>
        <v>0</v>
      </c>
      <c r="AW17" s="94">
        <f t="shared" si="20"/>
        <v>0</v>
      </c>
      <c r="AX17" s="94">
        <f t="shared" si="21"/>
        <v>1</v>
      </c>
      <c r="AY17" s="94">
        <f t="shared" si="22"/>
        <v>0</v>
      </c>
      <c r="AZ17" s="94">
        <f t="shared" si="23"/>
        <v>66</v>
      </c>
      <c r="BA17" s="95">
        <f t="shared" si="24"/>
        <v>3.125E-2</v>
      </c>
      <c r="BB17" s="95">
        <f t="shared" si="25"/>
        <v>0.67346938775510201</v>
      </c>
    </row>
    <row r="18" spans="1:54" x14ac:dyDescent="0.35">
      <c r="A18" s="8" t="s">
        <v>25</v>
      </c>
      <c r="B18" s="94">
        <f>'2018-19_working'!B18+'2018-19_working'!C18</f>
        <v>2</v>
      </c>
      <c r="C18" s="94">
        <f>'2018-19_working'!D18</f>
        <v>0</v>
      </c>
      <c r="D18" s="94">
        <f>'2018-19_working'!E18</f>
        <v>0</v>
      </c>
      <c r="E18" s="94">
        <f>'2018-19_working'!F18</f>
        <v>0</v>
      </c>
      <c r="F18" s="94">
        <f>'2018-19_working'!G18+'2018-19_working'!H18</f>
        <v>0</v>
      </c>
      <c r="G18" s="94">
        <f>'2018-19_working'!I18</f>
        <v>6</v>
      </c>
      <c r="H18" s="95">
        <f t="shared" si="2"/>
        <v>0</v>
      </c>
      <c r="I18" s="95">
        <f t="shared" si="3"/>
        <v>0.75</v>
      </c>
      <c r="J18" s="94"/>
      <c r="K18" s="94">
        <f>'2018-19_working'!K18+'2018-19_working'!L18</f>
        <v>2</v>
      </c>
      <c r="L18" s="94">
        <f>'2018-19_working'!M18</f>
        <v>0</v>
      </c>
      <c r="M18" s="94">
        <f>'2018-19_working'!N18</f>
        <v>0</v>
      </c>
      <c r="N18" s="94">
        <f>'2018-19_working'!O18</f>
        <v>0</v>
      </c>
      <c r="O18" s="94">
        <f>'2018-19_working'!P18+'2018-19_working'!Q18</f>
        <v>0</v>
      </c>
      <c r="P18" s="94">
        <f>'2018-19_working'!R18</f>
        <v>15</v>
      </c>
      <c r="Q18" s="95">
        <f t="shared" si="4"/>
        <v>0</v>
      </c>
      <c r="R18" s="95">
        <f t="shared" si="5"/>
        <v>0.88235294117647056</v>
      </c>
      <c r="S18" s="94"/>
      <c r="T18" s="94">
        <f t="shared" si="6"/>
        <v>4</v>
      </c>
      <c r="U18" s="94">
        <f t="shared" si="7"/>
        <v>0</v>
      </c>
      <c r="V18" s="94">
        <f t="shared" si="8"/>
        <v>0</v>
      </c>
      <c r="W18" s="94">
        <f t="shared" si="9"/>
        <v>0</v>
      </c>
      <c r="X18" s="94">
        <f t="shared" si="10"/>
        <v>0</v>
      </c>
      <c r="Y18" s="94">
        <f t="shared" si="11"/>
        <v>21</v>
      </c>
      <c r="Z18" s="95">
        <f t="shared" si="12"/>
        <v>0</v>
      </c>
      <c r="AA18" s="95">
        <f t="shared" si="13"/>
        <v>0.84</v>
      </c>
      <c r="AB18" s="94"/>
      <c r="AC18" s="94">
        <f>'2018-19_working'!T18+'2018-19_working'!U18</f>
        <v>0</v>
      </c>
      <c r="AD18" s="94">
        <f>'2018-19_working'!V18</f>
        <v>0</v>
      </c>
      <c r="AE18" s="94">
        <f>'2018-19_working'!W18</f>
        <v>0</v>
      </c>
      <c r="AF18" s="94">
        <f>'2018-19_working'!X18</f>
        <v>0</v>
      </c>
      <c r="AG18" s="94">
        <f>'2018-19_working'!Y18+'2018-19_working'!Z18</f>
        <v>0</v>
      </c>
      <c r="AH18" s="94">
        <f>'2018-19_working'!AA18</f>
        <v>0</v>
      </c>
      <c r="AI18" s="95" t="str">
        <f t="shared" si="14"/>
        <v>-</v>
      </c>
      <c r="AJ18" s="95" t="str">
        <f t="shared" si="15"/>
        <v>-</v>
      </c>
      <c r="AK18" s="94"/>
      <c r="AL18" s="94">
        <f>'2018-19_working'!AC18+'2018-19_working'!AD18</f>
        <v>4</v>
      </c>
      <c r="AM18" s="94">
        <f>'2018-19_working'!AE18</f>
        <v>0</v>
      </c>
      <c r="AN18" s="94">
        <f>'2018-19_working'!AF18</f>
        <v>0</v>
      </c>
      <c r="AO18" s="94">
        <f>'2018-19_working'!AG18</f>
        <v>0</v>
      </c>
      <c r="AP18" s="94">
        <f>'2018-19_working'!AH18+'2018-19_working'!AI18</f>
        <v>0</v>
      </c>
      <c r="AQ18" s="94">
        <f>'2018-19_working'!AJ18</f>
        <v>1</v>
      </c>
      <c r="AR18" s="95">
        <f t="shared" si="16"/>
        <v>0</v>
      </c>
      <c r="AS18" s="95">
        <f t="shared" si="17"/>
        <v>0.2</v>
      </c>
      <c r="AT18" s="94"/>
      <c r="AU18" s="94">
        <f t="shared" si="18"/>
        <v>8</v>
      </c>
      <c r="AV18" s="94">
        <f t="shared" si="19"/>
        <v>0</v>
      </c>
      <c r="AW18" s="94">
        <f t="shared" si="20"/>
        <v>0</v>
      </c>
      <c r="AX18" s="94">
        <f t="shared" si="21"/>
        <v>0</v>
      </c>
      <c r="AY18" s="94">
        <f t="shared" si="22"/>
        <v>0</v>
      </c>
      <c r="AZ18" s="94">
        <f t="shared" si="23"/>
        <v>22</v>
      </c>
      <c r="BA18" s="95">
        <f t="shared" si="24"/>
        <v>0</v>
      </c>
      <c r="BB18" s="95">
        <f t="shared" si="25"/>
        <v>0.73333333333333328</v>
      </c>
    </row>
    <row r="19" spans="1:54" x14ac:dyDescent="0.35">
      <c r="A19" s="8" t="s">
        <v>26</v>
      </c>
      <c r="B19" s="94">
        <f>'2018-19_working'!B19+'2018-19_working'!C19</f>
        <v>28</v>
      </c>
      <c r="C19" s="94">
        <f>'2018-19_working'!D19</f>
        <v>0</v>
      </c>
      <c r="D19" s="94">
        <f>'2018-19_working'!E19</f>
        <v>0</v>
      </c>
      <c r="E19" s="94">
        <f>'2018-19_working'!F19</f>
        <v>0</v>
      </c>
      <c r="F19" s="94">
        <f>'2018-19_working'!G19+'2018-19_working'!H19</f>
        <v>1</v>
      </c>
      <c r="G19" s="94">
        <f>'2018-19_working'!I19</f>
        <v>2</v>
      </c>
      <c r="H19" s="95">
        <f t="shared" si="2"/>
        <v>3.4482758620689655E-2</v>
      </c>
      <c r="I19" s="95">
        <f t="shared" si="3"/>
        <v>6.4516129032258063E-2</v>
      </c>
      <c r="J19" s="94"/>
      <c r="K19" s="94">
        <f>'2018-19_working'!K19+'2018-19_working'!L19</f>
        <v>30</v>
      </c>
      <c r="L19" s="94">
        <f>'2018-19_working'!M19</f>
        <v>0</v>
      </c>
      <c r="M19" s="94">
        <f>'2018-19_working'!N19</f>
        <v>0</v>
      </c>
      <c r="N19" s="94">
        <f>'2018-19_working'!O19</f>
        <v>0</v>
      </c>
      <c r="O19" s="94">
        <f>'2018-19_working'!P19+'2018-19_working'!Q19</f>
        <v>0</v>
      </c>
      <c r="P19" s="94">
        <f>'2018-19_working'!R19</f>
        <v>0</v>
      </c>
      <c r="Q19" s="95">
        <f t="shared" si="4"/>
        <v>0</v>
      </c>
      <c r="R19" s="95">
        <f t="shared" si="5"/>
        <v>0</v>
      </c>
      <c r="S19" s="94"/>
      <c r="T19" s="94">
        <f t="shared" si="6"/>
        <v>58</v>
      </c>
      <c r="U19" s="94">
        <f t="shared" si="7"/>
        <v>0</v>
      </c>
      <c r="V19" s="94">
        <f t="shared" si="8"/>
        <v>0</v>
      </c>
      <c r="W19" s="94">
        <f t="shared" si="9"/>
        <v>0</v>
      </c>
      <c r="X19" s="94">
        <f t="shared" si="10"/>
        <v>1</v>
      </c>
      <c r="Y19" s="94">
        <f t="shared" si="11"/>
        <v>2</v>
      </c>
      <c r="Z19" s="95">
        <f t="shared" si="12"/>
        <v>1.6949152542372881E-2</v>
      </c>
      <c r="AA19" s="95">
        <f t="shared" si="13"/>
        <v>3.2786885245901641E-2</v>
      </c>
      <c r="AB19" s="94"/>
      <c r="AC19" s="94">
        <f>'2018-19_working'!T19+'2018-19_working'!U19</f>
        <v>0</v>
      </c>
      <c r="AD19" s="94">
        <f>'2018-19_working'!V19</f>
        <v>0</v>
      </c>
      <c r="AE19" s="94">
        <f>'2018-19_working'!W19</f>
        <v>0</v>
      </c>
      <c r="AF19" s="94">
        <f>'2018-19_working'!X19</f>
        <v>0</v>
      </c>
      <c r="AG19" s="94">
        <f>'2018-19_working'!Y19+'2018-19_working'!Z19</f>
        <v>0</v>
      </c>
      <c r="AH19" s="94">
        <f>'2018-19_working'!AA19</f>
        <v>0</v>
      </c>
      <c r="AI19" s="95" t="str">
        <f t="shared" si="14"/>
        <v>-</v>
      </c>
      <c r="AJ19" s="95" t="str">
        <f t="shared" si="15"/>
        <v>-</v>
      </c>
      <c r="AK19" s="94"/>
      <c r="AL19" s="94">
        <f>'2018-19_working'!AC19+'2018-19_working'!AD19</f>
        <v>27</v>
      </c>
      <c r="AM19" s="94">
        <f>'2018-19_working'!AE19</f>
        <v>0</v>
      </c>
      <c r="AN19" s="94">
        <f>'2018-19_working'!AF19</f>
        <v>1</v>
      </c>
      <c r="AO19" s="94">
        <f>'2018-19_working'!AG19</f>
        <v>0</v>
      </c>
      <c r="AP19" s="94">
        <f>'2018-19_working'!AH19+'2018-19_working'!AI19</f>
        <v>0</v>
      </c>
      <c r="AQ19" s="94">
        <f>'2018-19_working'!AJ19</f>
        <v>2</v>
      </c>
      <c r="AR19" s="95">
        <f t="shared" si="16"/>
        <v>3.5714285714285712E-2</v>
      </c>
      <c r="AS19" s="95">
        <f t="shared" si="17"/>
        <v>6.6666666666666666E-2</v>
      </c>
      <c r="AT19" s="94"/>
      <c r="AU19" s="94">
        <f t="shared" si="18"/>
        <v>85</v>
      </c>
      <c r="AV19" s="94">
        <f t="shared" si="19"/>
        <v>0</v>
      </c>
      <c r="AW19" s="94">
        <f t="shared" si="20"/>
        <v>1</v>
      </c>
      <c r="AX19" s="94">
        <f t="shared" si="21"/>
        <v>0</v>
      </c>
      <c r="AY19" s="94">
        <f t="shared" si="22"/>
        <v>1</v>
      </c>
      <c r="AZ19" s="94">
        <f t="shared" si="23"/>
        <v>4</v>
      </c>
      <c r="BA19" s="95">
        <f t="shared" si="24"/>
        <v>2.2988505747126436E-2</v>
      </c>
      <c r="BB19" s="95">
        <f t="shared" si="25"/>
        <v>4.3956043956043959E-2</v>
      </c>
    </row>
    <row r="20" spans="1:54" x14ac:dyDescent="0.35">
      <c r="A20" s="8" t="s">
        <v>27</v>
      </c>
      <c r="B20" s="94">
        <f>'2018-19_working'!B20+'2018-19_working'!C20</f>
        <v>4</v>
      </c>
      <c r="C20" s="94">
        <f>'2018-19_working'!D20</f>
        <v>0</v>
      </c>
      <c r="D20" s="94">
        <f>'2018-19_working'!E20</f>
        <v>0</v>
      </c>
      <c r="E20" s="94">
        <f>'2018-19_working'!F20</f>
        <v>0</v>
      </c>
      <c r="F20" s="94">
        <f>'2018-19_working'!G20+'2018-19_working'!H20</f>
        <v>0</v>
      </c>
      <c r="G20" s="94">
        <f>'2018-19_working'!I20</f>
        <v>4</v>
      </c>
      <c r="H20" s="95">
        <f t="shared" si="2"/>
        <v>0</v>
      </c>
      <c r="I20" s="95">
        <f t="shared" si="3"/>
        <v>0.5</v>
      </c>
      <c r="J20" s="94"/>
      <c r="K20" s="94">
        <f>'2018-19_working'!K20+'2018-19_working'!L20</f>
        <v>123</v>
      </c>
      <c r="L20" s="94">
        <f>'2018-19_working'!M20</f>
        <v>2</v>
      </c>
      <c r="M20" s="94">
        <f>'2018-19_working'!N20</f>
        <v>0</v>
      </c>
      <c r="N20" s="94">
        <f>'2018-19_working'!O20</f>
        <v>0</v>
      </c>
      <c r="O20" s="94">
        <f>'2018-19_working'!P20+'2018-19_working'!Q20</f>
        <v>1</v>
      </c>
      <c r="P20" s="94">
        <f>'2018-19_working'!R20</f>
        <v>3</v>
      </c>
      <c r="Q20" s="95">
        <f t="shared" si="4"/>
        <v>2.3809523809523808E-2</v>
      </c>
      <c r="R20" s="95">
        <f t="shared" si="5"/>
        <v>2.3255813953488372E-2</v>
      </c>
      <c r="S20" s="94"/>
      <c r="T20" s="94">
        <f t="shared" si="6"/>
        <v>127</v>
      </c>
      <c r="U20" s="94">
        <f t="shared" si="7"/>
        <v>2</v>
      </c>
      <c r="V20" s="94">
        <f t="shared" si="8"/>
        <v>0</v>
      </c>
      <c r="W20" s="94">
        <f t="shared" si="9"/>
        <v>0</v>
      </c>
      <c r="X20" s="94">
        <f t="shared" si="10"/>
        <v>1</v>
      </c>
      <c r="Y20" s="94">
        <f t="shared" si="11"/>
        <v>7</v>
      </c>
      <c r="Z20" s="95">
        <f t="shared" si="12"/>
        <v>2.3076923076923078E-2</v>
      </c>
      <c r="AA20" s="95">
        <f t="shared" si="13"/>
        <v>5.1094890510948905E-2</v>
      </c>
      <c r="AB20" s="94"/>
      <c r="AC20" s="94">
        <f>'2018-19_working'!T20+'2018-19_working'!U20</f>
        <v>0</v>
      </c>
      <c r="AD20" s="94">
        <f>'2018-19_working'!V20</f>
        <v>0</v>
      </c>
      <c r="AE20" s="94">
        <f>'2018-19_working'!W20</f>
        <v>0</v>
      </c>
      <c r="AF20" s="94">
        <f>'2018-19_working'!X20</f>
        <v>0</v>
      </c>
      <c r="AG20" s="94">
        <f>'2018-19_working'!Y20+'2018-19_working'!Z20</f>
        <v>0</v>
      </c>
      <c r="AH20" s="94">
        <f>'2018-19_working'!AA20</f>
        <v>0</v>
      </c>
      <c r="AI20" s="95" t="str">
        <f t="shared" si="14"/>
        <v>-</v>
      </c>
      <c r="AJ20" s="95" t="str">
        <f t="shared" si="15"/>
        <v>-</v>
      </c>
      <c r="AK20" s="94"/>
      <c r="AL20" s="94">
        <f>'2018-19_working'!AC20+'2018-19_working'!AD20</f>
        <v>25</v>
      </c>
      <c r="AM20" s="94">
        <f>'2018-19_working'!AE20</f>
        <v>0</v>
      </c>
      <c r="AN20" s="94">
        <f>'2018-19_working'!AF20</f>
        <v>0</v>
      </c>
      <c r="AO20" s="94">
        <f>'2018-19_working'!AG20</f>
        <v>0</v>
      </c>
      <c r="AP20" s="94">
        <f>'2018-19_working'!AH20+'2018-19_working'!AI20</f>
        <v>0</v>
      </c>
      <c r="AQ20" s="94">
        <f>'2018-19_working'!AJ20</f>
        <v>2</v>
      </c>
      <c r="AR20" s="95">
        <f t="shared" si="16"/>
        <v>0</v>
      </c>
      <c r="AS20" s="95">
        <f t="shared" si="17"/>
        <v>7.407407407407407E-2</v>
      </c>
      <c r="AT20" s="94"/>
      <c r="AU20" s="94">
        <f t="shared" si="18"/>
        <v>152</v>
      </c>
      <c r="AV20" s="94">
        <f t="shared" si="19"/>
        <v>2</v>
      </c>
      <c r="AW20" s="94">
        <f t="shared" si="20"/>
        <v>0</v>
      </c>
      <c r="AX20" s="94">
        <f t="shared" si="21"/>
        <v>0</v>
      </c>
      <c r="AY20" s="94">
        <f t="shared" si="22"/>
        <v>1</v>
      </c>
      <c r="AZ20" s="94">
        <f t="shared" si="23"/>
        <v>9</v>
      </c>
      <c r="BA20" s="95">
        <f t="shared" si="24"/>
        <v>1.935483870967742E-2</v>
      </c>
      <c r="BB20" s="95">
        <f t="shared" si="25"/>
        <v>5.4878048780487805E-2</v>
      </c>
    </row>
    <row r="21" spans="1:54" x14ac:dyDescent="0.35">
      <c r="A21" s="8" t="s">
        <v>28</v>
      </c>
      <c r="B21" s="94">
        <f>'2018-19_working'!B21+'2018-19_working'!C21</f>
        <v>10</v>
      </c>
      <c r="C21" s="94">
        <f>'2018-19_working'!D21</f>
        <v>0</v>
      </c>
      <c r="D21" s="94">
        <f>'2018-19_working'!E21</f>
        <v>0</v>
      </c>
      <c r="E21" s="94">
        <f>'2018-19_working'!F21</f>
        <v>0</v>
      </c>
      <c r="F21" s="94">
        <f>'2018-19_working'!G21+'2018-19_working'!H21</f>
        <v>0</v>
      </c>
      <c r="G21" s="94">
        <f>'2018-19_working'!I21</f>
        <v>22</v>
      </c>
      <c r="H21" s="95">
        <f t="shared" si="2"/>
        <v>0</v>
      </c>
      <c r="I21" s="95">
        <f t="shared" si="3"/>
        <v>0.6875</v>
      </c>
      <c r="J21" s="94"/>
      <c r="K21" s="94">
        <f>'2018-19_working'!K21+'2018-19_working'!L21</f>
        <v>60</v>
      </c>
      <c r="L21" s="94">
        <f>'2018-19_working'!M21</f>
        <v>0</v>
      </c>
      <c r="M21" s="94">
        <f>'2018-19_working'!N21</f>
        <v>0</v>
      </c>
      <c r="N21" s="94">
        <f>'2018-19_working'!O21</f>
        <v>0</v>
      </c>
      <c r="O21" s="94">
        <f>'2018-19_working'!P21+'2018-19_working'!Q21</f>
        <v>0</v>
      </c>
      <c r="P21" s="94">
        <f>'2018-19_working'!R21</f>
        <v>7</v>
      </c>
      <c r="Q21" s="95">
        <f t="shared" si="4"/>
        <v>0</v>
      </c>
      <c r="R21" s="95">
        <f t="shared" si="5"/>
        <v>0.1044776119402985</v>
      </c>
      <c r="S21" s="94"/>
      <c r="T21" s="94">
        <f t="shared" si="6"/>
        <v>70</v>
      </c>
      <c r="U21" s="94">
        <f t="shared" si="7"/>
        <v>0</v>
      </c>
      <c r="V21" s="94">
        <f t="shared" si="8"/>
        <v>0</v>
      </c>
      <c r="W21" s="94">
        <f t="shared" si="9"/>
        <v>0</v>
      </c>
      <c r="X21" s="94">
        <f t="shared" si="10"/>
        <v>0</v>
      </c>
      <c r="Y21" s="94">
        <f t="shared" si="11"/>
        <v>29</v>
      </c>
      <c r="Z21" s="95">
        <f t="shared" si="12"/>
        <v>0</v>
      </c>
      <c r="AA21" s="95">
        <f t="shared" si="13"/>
        <v>0.29292929292929293</v>
      </c>
      <c r="AB21" s="94"/>
      <c r="AC21" s="94">
        <f>'2018-19_working'!T21+'2018-19_working'!U21</f>
        <v>0</v>
      </c>
      <c r="AD21" s="94">
        <f>'2018-19_working'!V21</f>
        <v>0</v>
      </c>
      <c r="AE21" s="94">
        <f>'2018-19_working'!W21</f>
        <v>0</v>
      </c>
      <c r="AF21" s="94">
        <f>'2018-19_working'!X21</f>
        <v>0</v>
      </c>
      <c r="AG21" s="94">
        <f>'2018-19_working'!Y21+'2018-19_working'!Z21</f>
        <v>0</v>
      </c>
      <c r="AH21" s="94">
        <f>'2018-19_working'!AA21</f>
        <v>0</v>
      </c>
      <c r="AI21" s="95" t="str">
        <f t="shared" si="14"/>
        <v>-</v>
      </c>
      <c r="AJ21" s="95" t="str">
        <f t="shared" si="15"/>
        <v>-</v>
      </c>
      <c r="AK21" s="94"/>
      <c r="AL21" s="94">
        <f>'2018-19_working'!AC21+'2018-19_working'!AD21</f>
        <v>51</v>
      </c>
      <c r="AM21" s="94">
        <f>'2018-19_working'!AE21</f>
        <v>0</v>
      </c>
      <c r="AN21" s="94">
        <f>'2018-19_working'!AF21</f>
        <v>0</v>
      </c>
      <c r="AO21" s="94">
        <f>'2018-19_working'!AG21</f>
        <v>0</v>
      </c>
      <c r="AP21" s="94">
        <f>'2018-19_working'!AH21+'2018-19_working'!AI21</f>
        <v>0</v>
      </c>
      <c r="AQ21" s="94">
        <f>'2018-19_working'!AJ21</f>
        <v>5</v>
      </c>
      <c r="AR21" s="95">
        <f t="shared" si="16"/>
        <v>0</v>
      </c>
      <c r="AS21" s="95">
        <f t="shared" si="17"/>
        <v>8.9285714285714288E-2</v>
      </c>
      <c r="AT21" s="94"/>
      <c r="AU21" s="94">
        <f t="shared" si="18"/>
        <v>121</v>
      </c>
      <c r="AV21" s="94">
        <f t="shared" si="19"/>
        <v>0</v>
      </c>
      <c r="AW21" s="94">
        <f t="shared" si="20"/>
        <v>0</v>
      </c>
      <c r="AX21" s="94">
        <f t="shared" si="21"/>
        <v>0</v>
      </c>
      <c r="AY21" s="94">
        <f t="shared" si="22"/>
        <v>0</v>
      </c>
      <c r="AZ21" s="94">
        <f t="shared" si="23"/>
        <v>34</v>
      </c>
      <c r="BA21" s="95">
        <f t="shared" si="24"/>
        <v>0</v>
      </c>
      <c r="BB21" s="95">
        <f t="shared" si="25"/>
        <v>0.21935483870967742</v>
      </c>
    </row>
    <row r="22" spans="1:54" x14ac:dyDescent="0.35">
      <c r="A22" s="8" t="s">
        <v>29</v>
      </c>
      <c r="B22" s="94">
        <f>'2018-19_working'!B22+'2018-19_working'!C22</f>
        <v>0</v>
      </c>
      <c r="C22" s="94">
        <f>'2018-19_working'!D22</f>
        <v>0</v>
      </c>
      <c r="D22" s="94">
        <f>'2018-19_working'!E22</f>
        <v>0</v>
      </c>
      <c r="E22" s="94">
        <f>'2018-19_working'!F22</f>
        <v>0</v>
      </c>
      <c r="F22" s="94">
        <f>'2018-19_working'!G22+'2018-19_working'!H22</f>
        <v>0</v>
      </c>
      <c r="G22" s="94">
        <f>'2018-19_working'!I22</f>
        <v>0</v>
      </c>
      <c r="H22" s="95" t="str">
        <f t="shared" si="2"/>
        <v>-</v>
      </c>
      <c r="I22" s="95" t="str">
        <f t="shared" si="3"/>
        <v>-</v>
      </c>
      <c r="J22" s="94"/>
      <c r="K22" s="94">
        <f>'2018-19_working'!K22+'2018-19_working'!L22</f>
        <v>6</v>
      </c>
      <c r="L22" s="94">
        <f>'2018-19_working'!M22</f>
        <v>0</v>
      </c>
      <c r="M22" s="94">
        <f>'2018-19_working'!N22</f>
        <v>0</v>
      </c>
      <c r="N22" s="94">
        <f>'2018-19_working'!O22</f>
        <v>0</v>
      </c>
      <c r="O22" s="94">
        <f>'2018-19_working'!P22+'2018-19_working'!Q22</f>
        <v>0</v>
      </c>
      <c r="P22" s="94">
        <f>'2018-19_working'!R22</f>
        <v>16</v>
      </c>
      <c r="Q22" s="95">
        <f t="shared" si="4"/>
        <v>0</v>
      </c>
      <c r="R22" s="95">
        <f t="shared" si="5"/>
        <v>0.72727272727272729</v>
      </c>
      <c r="S22" s="94"/>
      <c r="T22" s="94">
        <f t="shared" si="6"/>
        <v>6</v>
      </c>
      <c r="U22" s="94">
        <f t="shared" si="7"/>
        <v>0</v>
      </c>
      <c r="V22" s="94">
        <f t="shared" si="8"/>
        <v>0</v>
      </c>
      <c r="W22" s="94">
        <f t="shared" si="9"/>
        <v>0</v>
      </c>
      <c r="X22" s="94">
        <f t="shared" si="10"/>
        <v>0</v>
      </c>
      <c r="Y22" s="94">
        <f t="shared" si="11"/>
        <v>16</v>
      </c>
      <c r="Z22" s="95">
        <f t="shared" si="12"/>
        <v>0</v>
      </c>
      <c r="AA22" s="95">
        <f t="shared" si="13"/>
        <v>0.72727272727272729</v>
      </c>
      <c r="AB22" s="94"/>
      <c r="AC22" s="94">
        <f>'2018-19_working'!T22+'2018-19_working'!U22</f>
        <v>0</v>
      </c>
      <c r="AD22" s="94">
        <f>'2018-19_working'!V22</f>
        <v>0</v>
      </c>
      <c r="AE22" s="94">
        <f>'2018-19_working'!W22</f>
        <v>0</v>
      </c>
      <c r="AF22" s="94">
        <f>'2018-19_working'!X22</f>
        <v>0</v>
      </c>
      <c r="AG22" s="94">
        <f>'2018-19_working'!Y22+'2018-19_working'!Z22</f>
        <v>0</v>
      </c>
      <c r="AH22" s="94">
        <f>'2018-19_working'!AA22</f>
        <v>0</v>
      </c>
      <c r="AI22" s="95" t="str">
        <f t="shared" si="14"/>
        <v>-</v>
      </c>
      <c r="AJ22" s="95" t="str">
        <f t="shared" si="15"/>
        <v>-</v>
      </c>
      <c r="AK22" s="94"/>
      <c r="AL22" s="94">
        <f>'2018-19_working'!AC22+'2018-19_working'!AD22</f>
        <v>3</v>
      </c>
      <c r="AM22" s="94">
        <f>'2018-19_working'!AE22</f>
        <v>0</v>
      </c>
      <c r="AN22" s="94">
        <f>'2018-19_working'!AF22</f>
        <v>0</v>
      </c>
      <c r="AO22" s="94">
        <f>'2018-19_working'!AG22</f>
        <v>0</v>
      </c>
      <c r="AP22" s="94">
        <f>'2018-19_working'!AH22+'2018-19_working'!AI22</f>
        <v>0</v>
      </c>
      <c r="AQ22" s="94">
        <f>'2018-19_working'!AJ22</f>
        <v>8</v>
      </c>
      <c r="AR22" s="95">
        <f t="shared" si="16"/>
        <v>0</v>
      </c>
      <c r="AS22" s="95">
        <f t="shared" si="17"/>
        <v>0.72727272727272729</v>
      </c>
      <c r="AT22" s="94"/>
      <c r="AU22" s="94">
        <f t="shared" si="18"/>
        <v>9</v>
      </c>
      <c r="AV22" s="94">
        <f t="shared" si="19"/>
        <v>0</v>
      </c>
      <c r="AW22" s="94">
        <f t="shared" si="20"/>
        <v>0</v>
      </c>
      <c r="AX22" s="94">
        <f t="shared" si="21"/>
        <v>0</v>
      </c>
      <c r="AY22" s="94">
        <f t="shared" si="22"/>
        <v>0</v>
      </c>
      <c r="AZ22" s="94">
        <f t="shared" si="23"/>
        <v>24</v>
      </c>
      <c r="BA22" s="95">
        <f t="shared" si="24"/>
        <v>0</v>
      </c>
      <c r="BB22" s="95">
        <f t="shared" si="25"/>
        <v>0.72727272727272729</v>
      </c>
    </row>
    <row r="23" spans="1:54" x14ac:dyDescent="0.35">
      <c r="A23" s="8" t="s">
        <v>30</v>
      </c>
      <c r="B23" s="94">
        <f>'2018-19_working'!B23+'2018-19_working'!C23</f>
        <v>2</v>
      </c>
      <c r="C23" s="94">
        <f>'2018-19_working'!D23</f>
        <v>0</v>
      </c>
      <c r="D23" s="94">
        <f>'2018-19_working'!E23</f>
        <v>0</v>
      </c>
      <c r="E23" s="94">
        <f>'2018-19_working'!F23</f>
        <v>0</v>
      </c>
      <c r="F23" s="94">
        <f>'2018-19_working'!G23+'2018-19_working'!H23</f>
        <v>0</v>
      </c>
      <c r="G23" s="94">
        <f>'2018-19_working'!I23</f>
        <v>0</v>
      </c>
      <c r="H23" s="95">
        <f t="shared" si="2"/>
        <v>0</v>
      </c>
      <c r="I23" s="95">
        <f t="shared" si="3"/>
        <v>0</v>
      </c>
      <c r="J23" s="94"/>
      <c r="K23" s="94">
        <f>'2018-19_working'!K23+'2018-19_working'!L23</f>
        <v>26</v>
      </c>
      <c r="L23" s="94">
        <f>'2018-19_working'!M23</f>
        <v>1</v>
      </c>
      <c r="M23" s="94">
        <f>'2018-19_working'!N23</f>
        <v>0</v>
      </c>
      <c r="N23" s="94">
        <f>'2018-19_working'!O23</f>
        <v>0</v>
      </c>
      <c r="O23" s="94">
        <f>'2018-19_working'!P23+'2018-19_working'!Q23</f>
        <v>0</v>
      </c>
      <c r="P23" s="94">
        <f>'2018-19_working'!R23</f>
        <v>0</v>
      </c>
      <c r="Q23" s="95">
        <f t="shared" si="4"/>
        <v>3.7037037037037035E-2</v>
      </c>
      <c r="R23" s="95">
        <f t="shared" si="5"/>
        <v>0</v>
      </c>
      <c r="S23" s="94"/>
      <c r="T23" s="94">
        <f t="shared" si="6"/>
        <v>28</v>
      </c>
      <c r="U23" s="94">
        <f t="shared" si="7"/>
        <v>1</v>
      </c>
      <c r="V23" s="94">
        <f t="shared" si="8"/>
        <v>0</v>
      </c>
      <c r="W23" s="94">
        <f t="shared" si="9"/>
        <v>0</v>
      </c>
      <c r="X23" s="94">
        <f t="shared" si="10"/>
        <v>0</v>
      </c>
      <c r="Y23" s="94">
        <f t="shared" si="11"/>
        <v>0</v>
      </c>
      <c r="Z23" s="95">
        <f t="shared" si="12"/>
        <v>3.4482758620689655E-2</v>
      </c>
      <c r="AA23" s="95">
        <f t="shared" si="13"/>
        <v>0</v>
      </c>
      <c r="AB23" s="94"/>
      <c r="AC23" s="94">
        <f>'2018-19_working'!T23+'2018-19_working'!U23</f>
        <v>2</v>
      </c>
      <c r="AD23" s="94">
        <f>'2018-19_working'!V23</f>
        <v>0</v>
      </c>
      <c r="AE23" s="94">
        <f>'2018-19_working'!W23</f>
        <v>0</v>
      </c>
      <c r="AF23" s="94">
        <f>'2018-19_working'!X23</f>
        <v>0</v>
      </c>
      <c r="AG23" s="94">
        <f>'2018-19_working'!Y23+'2018-19_working'!Z23</f>
        <v>0</v>
      </c>
      <c r="AH23" s="94">
        <f>'2018-19_working'!AA23</f>
        <v>0</v>
      </c>
      <c r="AI23" s="95">
        <f t="shared" si="14"/>
        <v>0</v>
      </c>
      <c r="AJ23" s="95">
        <f t="shared" si="15"/>
        <v>0</v>
      </c>
      <c r="AK23" s="94"/>
      <c r="AL23" s="94">
        <f>'2018-19_working'!AC23+'2018-19_working'!AD23</f>
        <v>23</v>
      </c>
      <c r="AM23" s="94">
        <f>'2018-19_working'!AE23</f>
        <v>0</v>
      </c>
      <c r="AN23" s="94">
        <f>'2018-19_working'!AF23</f>
        <v>0</v>
      </c>
      <c r="AO23" s="94">
        <f>'2018-19_working'!AG23</f>
        <v>1</v>
      </c>
      <c r="AP23" s="94">
        <f>'2018-19_working'!AH23+'2018-19_working'!AI23</f>
        <v>0</v>
      </c>
      <c r="AQ23" s="94">
        <f>'2018-19_working'!AJ23</f>
        <v>2</v>
      </c>
      <c r="AR23" s="95">
        <f t="shared" si="16"/>
        <v>4.1666666666666664E-2</v>
      </c>
      <c r="AS23" s="95">
        <f t="shared" si="17"/>
        <v>7.6923076923076927E-2</v>
      </c>
      <c r="AT23" s="94"/>
      <c r="AU23" s="94">
        <f t="shared" si="18"/>
        <v>53</v>
      </c>
      <c r="AV23" s="94">
        <f t="shared" si="19"/>
        <v>1</v>
      </c>
      <c r="AW23" s="94">
        <f t="shared" si="20"/>
        <v>0</v>
      </c>
      <c r="AX23" s="94">
        <f t="shared" si="21"/>
        <v>1</v>
      </c>
      <c r="AY23" s="94">
        <f t="shared" si="22"/>
        <v>0</v>
      </c>
      <c r="AZ23" s="94">
        <f t="shared" si="23"/>
        <v>2</v>
      </c>
      <c r="BA23" s="95">
        <f t="shared" si="24"/>
        <v>3.6363636363636362E-2</v>
      </c>
      <c r="BB23" s="95">
        <f t="shared" si="25"/>
        <v>3.5087719298245612E-2</v>
      </c>
    </row>
    <row r="24" spans="1:54" x14ac:dyDescent="0.35">
      <c r="A24" s="8" t="s">
        <v>31</v>
      </c>
      <c r="B24" s="94">
        <f>'2018-19_working'!B24+'2018-19_working'!C24</f>
        <v>33</v>
      </c>
      <c r="C24" s="94">
        <f>'2018-19_working'!D24</f>
        <v>0</v>
      </c>
      <c r="D24" s="94">
        <f>'2018-19_working'!E24</f>
        <v>1</v>
      </c>
      <c r="E24" s="94">
        <f>'2018-19_working'!F24</f>
        <v>0</v>
      </c>
      <c r="F24" s="94">
        <f>'2018-19_working'!G24+'2018-19_working'!H24</f>
        <v>0</v>
      </c>
      <c r="G24" s="94">
        <f>'2018-19_working'!I24</f>
        <v>23</v>
      </c>
      <c r="H24" s="95">
        <f t="shared" si="2"/>
        <v>2.9411764705882353E-2</v>
      </c>
      <c r="I24" s="95">
        <f t="shared" si="3"/>
        <v>0.40350877192982454</v>
      </c>
      <c r="J24" s="94"/>
      <c r="K24" s="94">
        <f>'2018-19_working'!K24+'2018-19_working'!L24</f>
        <v>32</v>
      </c>
      <c r="L24" s="94">
        <f>'2018-19_working'!M24</f>
        <v>0</v>
      </c>
      <c r="M24" s="94">
        <f>'2018-19_working'!N24</f>
        <v>0</v>
      </c>
      <c r="N24" s="94">
        <f>'2018-19_working'!O24</f>
        <v>1</v>
      </c>
      <c r="O24" s="94">
        <f>'2018-19_working'!P24+'2018-19_working'!Q24</f>
        <v>0</v>
      </c>
      <c r="P24" s="94">
        <f>'2018-19_working'!R24</f>
        <v>29</v>
      </c>
      <c r="Q24" s="95">
        <f t="shared" si="4"/>
        <v>3.0303030303030304E-2</v>
      </c>
      <c r="R24" s="95">
        <f t="shared" si="5"/>
        <v>0.46774193548387094</v>
      </c>
      <c r="S24" s="94"/>
      <c r="T24" s="94">
        <f t="shared" si="6"/>
        <v>65</v>
      </c>
      <c r="U24" s="94">
        <f t="shared" si="7"/>
        <v>0</v>
      </c>
      <c r="V24" s="94">
        <f t="shared" si="8"/>
        <v>1</v>
      </c>
      <c r="W24" s="94">
        <f t="shared" si="9"/>
        <v>1</v>
      </c>
      <c r="X24" s="94">
        <f t="shared" si="10"/>
        <v>0</v>
      </c>
      <c r="Y24" s="94">
        <f t="shared" si="11"/>
        <v>52</v>
      </c>
      <c r="Z24" s="95">
        <f t="shared" si="12"/>
        <v>2.9850746268656716E-2</v>
      </c>
      <c r="AA24" s="95">
        <f t="shared" si="13"/>
        <v>0.43697478991596639</v>
      </c>
      <c r="AB24" s="94"/>
      <c r="AC24" s="94">
        <f>'2018-19_working'!T24+'2018-19_working'!U24</f>
        <v>1</v>
      </c>
      <c r="AD24" s="94">
        <f>'2018-19_working'!V24</f>
        <v>0</v>
      </c>
      <c r="AE24" s="94">
        <f>'2018-19_working'!W24</f>
        <v>0</v>
      </c>
      <c r="AF24" s="94">
        <f>'2018-19_working'!X24</f>
        <v>0</v>
      </c>
      <c r="AG24" s="94">
        <f>'2018-19_working'!Y24+'2018-19_working'!Z24</f>
        <v>0</v>
      </c>
      <c r="AH24" s="94">
        <f>'2018-19_working'!AA24</f>
        <v>2</v>
      </c>
      <c r="AI24" s="95">
        <f t="shared" si="14"/>
        <v>0</v>
      </c>
      <c r="AJ24" s="95">
        <f t="shared" si="15"/>
        <v>0.66666666666666663</v>
      </c>
      <c r="AK24" s="94"/>
      <c r="AL24" s="94">
        <f>'2018-19_working'!AC24+'2018-19_working'!AD24</f>
        <v>15</v>
      </c>
      <c r="AM24" s="94">
        <f>'2018-19_working'!AE24</f>
        <v>0</v>
      </c>
      <c r="AN24" s="94">
        <f>'2018-19_working'!AF24</f>
        <v>0</v>
      </c>
      <c r="AO24" s="94">
        <f>'2018-19_working'!AG24</f>
        <v>0</v>
      </c>
      <c r="AP24" s="94">
        <f>'2018-19_working'!AH24+'2018-19_working'!AI24</f>
        <v>0</v>
      </c>
      <c r="AQ24" s="94">
        <f>'2018-19_working'!AJ24</f>
        <v>16</v>
      </c>
      <c r="AR24" s="95">
        <f t="shared" si="16"/>
        <v>0</v>
      </c>
      <c r="AS24" s="95">
        <f t="shared" si="17"/>
        <v>0.5161290322580645</v>
      </c>
      <c r="AT24" s="94"/>
      <c r="AU24" s="94">
        <f t="shared" si="18"/>
        <v>81</v>
      </c>
      <c r="AV24" s="94">
        <f t="shared" si="19"/>
        <v>0</v>
      </c>
      <c r="AW24" s="94">
        <f t="shared" si="20"/>
        <v>1</v>
      </c>
      <c r="AX24" s="94">
        <f t="shared" si="21"/>
        <v>1</v>
      </c>
      <c r="AY24" s="94">
        <f t="shared" si="22"/>
        <v>0</v>
      </c>
      <c r="AZ24" s="94">
        <f t="shared" si="23"/>
        <v>70</v>
      </c>
      <c r="BA24" s="95">
        <f t="shared" si="24"/>
        <v>2.4096385542168676E-2</v>
      </c>
      <c r="BB24" s="95">
        <f t="shared" si="25"/>
        <v>0.45751633986928103</v>
      </c>
    </row>
    <row r="25" spans="1:54" x14ac:dyDescent="0.35">
      <c r="A25" s="8" t="s">
        <v>32</v>
      </c>
      <c r="B25" s="94">
        <f>'2018-19_working'!B25+'2018-19_working'!C25</f>
        <v>7</v>
      </c>
      <c r="C25" s="94">
        <f>'2018-19_working'!D25</f>
        <v>0</v>
      </c>
      <c r="D25" s="94">
        <f>'2018-19_working'!E25</f>
        <v>0</v>
      </c>
      <c r="E25" s="94">
        <f>'2018-19_working'!F25</f>
        <v>0</v>
      </c>
      <c r="F25" s="94">
        <f>'2018-19_working'!G25+'2018-19_working'!H25</f>
        <v>0</v>
      </c>
      <c r="G25" s="94">
        <f>'2018-19_working'!I25</f>
        <v>0</v>
      </c>
      <c r="H25" s="95">
        <f t="shared" si="2"/>
        <v>0</v>
      </c>
      <c r="I25" s="95">
        <f t="shared" si="3"/>
        <v>0</v>
      </c>
      <c r="J25" s="94"/>
      <c r="K25" s="94">
        <f>'2018-19_working'!K25+'2018-19_working'!L25</f>
        <v>29</v>
      </c>
      <c r="L25" s="94">
        <f>'2018-19_working'!M25</f>
        <v>0</v>
      </c>
      <c r="M25" s="94">
        <f>'2018-19_working'!N25</f>
        <v>1</v>
      </c>
      <c r="N25" s="94">
        <f>'2018-19_working'!O25</f>
        <v>0</v>
      </c>
      <c r="O25" s="94">
        <f>'2018-19_working'!P25+'2018-19_working'!Q25</f>
        <v>0</v>
      </c>
      <c r="P25" s="94">
        <f>'2018-19_working'!R25</f>
        <v>21</v>
      </c>
      <c r="Q25" s="95">
        <f t="shared" si="4"/>
        <v>3.3333333333333333E-2</v>
      </c>
      <c r="R25" s="95">
        <f t="shared" si="5"/>
        <v>0.41176470588235292</v>
      </c>
      <c r="S25" s="94"/>
      <c r="T25" s="94">
        <f t="shared" si="6"/>
        <v>36</v>
      </c>
      <c r="U25" s="94">
        <f t="shared" si="7"/>
        <v>0</v>
      </c>
      <c r="V25" s="94">
        <f t="shared" si="8"/>
        <v>1</v>
      </c>
      <c r="W25" s="94">
        <f t="shared" si="9"/>
        <v>0</v>
      </c>
      <c r="X25" s="94">
        <f t="shared" si="10"/>
        <v>0</v>
      </c>
      <c r="Y25" s="94">
        <f t="shared" si="11"/>
        <v>21</v>
      </c>
      <c r="Z25" s="95">
        <f t="shared" si="12"/>
        <v>2.7027027027027029E-2</v>
      </c>
      <c r="AA25" s="95">
        <f t="shared" si="13"/>
        <v>0.36206896551724138</v>
      </c>
      <c r="AB25" s="94"/>
      <c r="AC25" s="94">
        <f>'2018-19_working'!T25+'2018-19_working'!U25</f>
        <v>0</v>
      </c>
      <c r="AD25" s="94">
        <f>'2018-19_working'!V25</f>
        <v>0</v>
      </c>
      <c r="AE25" s="94">
        <f>'2018-19_working'!W25</f>
        <v>0</v>
      </c>
      <c r="AF25" s="94">
        <f>'2018-19_working'!X25</f>
        <v>0</v>
      </c>
      <c r="AG25" s="94">
        <f>'2018-19_working'!Y25+'2018-19_working'!Z25</f>
        <v>0</v>
      </c>
      <c r="AH25" s="94">
        <f>'2018-19_working'!AA25</f>
        <v>0</v>
      </c>
      <c r="AI25" s="95" t="str">
        <f t="shared" si="14"/>
        <v>-</v>
      </c>
      <c r="AJ25" s="95" t="str">
        <f t="shared" si="15"/>
        <v>-</v>
      </c>
      <c r="AK25" s="94"/>
      <c r="AL25" s="94">
        <f>'2018-19_working'!AC25+'2018-19_working'!AD25</f>
        <v>5</v>
      </c>
      <c r="AM25" s="94">
        <f>'2018-19_working'!AE25</f>
        <v>0</v>
      </c>
      <c r="AN25" s="94">
        <f>'2018-19_working'!AF25</f>
        <v>0</v>
      </c>
      <c r="AO25" s="94">
        <f>'2018-19_working'!AG25</f>
        <v>0</v>
      </c>
      <c r="AP25" s="94">
        <f>'2018-19_working'!AH25+'2018-19_working'!AI25</f>
        <v>0</v>
      </c>
      <c r="AQ25" s="94">
        <f>'2018-19_working'!AJ25</f>
        <v>0</v>
      </c>
      <c r="AR25" s="95">
        <f t="shared" si="16"/>
        <v>0</v>
      </c>
      <c r="AS25" s="95">
        <f t="shared" si="17"/>
        <v>0</v>
      </c>
      <c r="AT25" s="94"/>
      <c r="AU25" s="94">
        <f t="shared" si="18"/>
        <v>41</v>
      </c>
      <c r="AV25" s="94">
        <f t="shared" si="19"/>
        <v>0</v>
      </c>
      <c r="AW25" s="94">
        <f t="shared" si="20"/>
        <v>1</v>
      </c>
      <c r="AX25" s="94">
        <f t="shared" si="21"/>
        <v>0</v>
      </c>
      <c r="AY25" s="94">
        <f t="shared" si="22"/>
        <v>0</v>
      </c>
      <c r="AZ25" s="94">
        <f t="shared" si="23"/>
        <v>21</v>
      </c>
      <c r="BA25" s="95">
        <f t="shared" si="24"/>
        <v>2.3809523809523808E-2</v>
      </c>
      <c r="BB25" s="95">
        <f t="shared" si="25"/>
        <v>0.33333333333333331</v>
      </c>
    </row>
    <row r="26" spans="1:54" x14ac:dyDescent="0.35">
      <c r="A26" s="8" t="s">
        <v>33</v>
      </c>
      <c r="B26" s="94">
        <f>'2018-19_working'!B26+'2018-19_working'!C26</f>
        <v>37</v>
      </c>
      <c r="C26" s="94">
        <f>'2018-19_working'!D26</f>
        <v>0</v>
      </c>
      <c r="D26" s="94">
        <f>'2018-19_working'!E26</f>
        <v>0</v>
      </c>
      <c r="E26" s="94">
        <f>'2018-19_working'!F26</f>
        <v>0</v>
      </c>
      <c r="F26" s="94">
        <f>'2018-19_working'!G26+'2018-19_working'!H26</f>
        <v>0</v>
      </c>
      <c r="G26" s="94">
        <f>'2018-19_working'!I26</f>
        <v>22</v>
      </c>
      <c r="H26" s="95">
        <f t="shared" si="2"/>
        <v>0</v>
      </c>
      <c r="I26" s="95">
        <f t="shared" si="3"/>
        <v>0.3728813559322034</v>
      </c>
      <c r="J26" s="94"/>
      <c r="K26" s="94">
        <f>'2018-19_working'!K26+'2018-19_working'!L26</f>
        <v>104</v>
      </c>
      <c r="L26" s="94">
        <f>'2018-19_working'!M26</f>
        <v>0</v>
      </c>
      <c r="M26" s="94">
        <f>'2018-19_working'!N26</f>
        <v>0</v>
      </c>
      <c r="N26" s="94">
        <f>'2018-19_working'!O26</f>
        <v>1</v>
      </c>
      <c r="O26" s="94">
        <f>'2018-19_working'!P26+'2018-19_working'!Q26</f>
        <v>0</v>
      </c>
      <c r="P26" s="94">
        <f>'2018-19_working'!R26</f>
        <v>5</v>
      </c>
      <c r="Q26" s="95">
        <f t="shared" si="4"/>
        <v>9.5238095238095247E-3</v>
      </c>
      <c r="R26" s="95">
        <f t="shared" si="5"/>
        <v>4.5454545454545456E-2</v>
      </c>
      <c r="S26" s="94"/>
      <c r="T26" s="94">
        <f t="shared" si="6"/>
        <v>141</v>
      </c>
      <c r="U26" s="94">
        <f t="shared" si="7"/>
        <v>0</v>
      </c>
      <c r="V26" s="94">
        <f t="shared" si="8"/>
        <v>0</v>
      </c>
      <c r="W26" s="94">
        <f t="shared" si="9"/>
        <v>1</v>
      </c>
      <c r="X26" s="94">
        <f t="shared" si="10"/>
        <v>0</v>
      </c>
      <c r="Y26" s="94">
        <f t="shared" si="11"/>
        <v>27</v>
      </c>
      <c r="Z26" s="95">
        <f t="shared" si="12"/>
        <v>7.0422535211267607E-3</v>
      </c>
      <c r="AA26" s="95">
        <f t="shared" si="13"/>
        <v>0.15976331360946747</v>
      </c>
      <c r="AB26" s="94"/>
      <c r="AC26" s="94">
        <f>'2018-19_working'!T26+'2018-19_working'!U26</f>
        <v>3</v>
      </c>
      <c r="AD26" s="94">
        <f>'2018-19_working'!V26</f>
        <v>0</v>
      </c>
      <c r="AE26" s="94">
        <f>'2018-19_working'!W26</f>
        <v>0</v>
      </c>
      <c r="AF26" s="94">
        <f>'2018-19_working'!X26</f>
        <v>0</v>
      </c>
      <c r="AG26" s="94">
        <f>'2018-19_working'!Y26+'2018-19_working'!Z26</f>
        <v>0</v>
      </c>
      <c r="AH26" s="94">
        <f>'2018-19_working'!AA26</f>
        <v>0</v>
      </c>
      <c r="AI26" s="95">
        <f t="shared" si="14"/>
        <v>0</v>
      </c>
      <c r="AJ26" s="95">
        <f t="shared" si="15"/>
        <v>0</v>
      </c>
      <c r="AK26" s="94"/>
      <c r="AL26" s="94">
        <f>'2018-19_working'!AC26+'2018-19_working'!AD26</f>
        <v>26</v>
      </c>
      <c r="AM26" s="94">
        <f>'2018-19_working'!AE26</f>
        <v>0</v>
      </c>
      <c r="AN26" s="94">
        <f>'2018-19_working'!AF26</f>
        <v>0</v>
      </c>
      <c r="AO26" s="94">
        <f>'2018-19_working'!AG26</f>
        <v>0</v>
      </c>
      <c r="AP26" s="94">
        <f>'2018-19_working'!AH26+'2018-19_working'!AI26</f>
        <v>0</v>
      </c>
      <c r="AQ26" s="94">
        <f>'2018-19_working'!AJ26</f>
        <v>2</v>
      </c>
      <c r="AR26" s="95">
        <f t="shared" si="16"/>
        <v>0</v>
      </c>
      <c r="AS26" s="95">
        <f t="shared" si="17"/>
        <v>7.1428571428571425E-2</v>
      </c>
      <c r="AT26" s="94"/>
      <c r="AU26" s="94">
        <f t="shared" si="18"/>
        <v>170</v>
      </c>
      <c r="AV26" s="94">
        <f t="shared" si="19"/>
        <v>0</v>
      </c>
      <c r="AW26" s="94">
        <f t="shared" si="20"/>
        <v>0</v>
      </c>
      <c r="AX26" s="94">
        <f t="shared" si="21"/>
        <v>1</v>
      </c>
      <c r="AY26" s="94">
        <f t="shared" si="22"/>
        <v>0</v>
      </c>
      <c r="AZ26" s="94">
        <f t="shared" si="23"/>
        <v>29</v>
      </c>
      <c r="BA26" s="95">
        <f t="shared" si="24"/>
        <v>5.8479532163742687E-3</v>
      </c>
      <c r="BB26" s="95">
        <f t="shared" si="25"/>
        <v>0.14499999999999999</v>
      </c>
    </row>
    <row r="27" spans="1:54" x14ac:dyDescent="0.35">
      <c r="A27" s="8" t="s">
        <v>34</v>
      </c>
      <c r="B27" s="94">
        <f>'2018-19_working'!B27+'2018-19_working'!C27</f>
        <v>23</v>
      </c>
      <c r="C27" s="94">
        <f>'2018-19_working'!D27</f>
        <v>1</v>
      </c>
      <c r="D27" s="94">
        <f>'2018-19_working'!E27</f>
        <v>0</v>
      </c>
      <c r="E27" s="94">
        <f>'2018-19_working'!F27</f>
        <v>0</v>
      </c>
      <c r="F27" s="94">
        <f>'2018-19_working'!G27+'2018-19_working'!H27</f>
        <v>0</v>
      </c>
      <c r="G27" s="94">
        <f>'2018-19_working'!I27</f>
        <v>1</v>
      </c>
      <c r="H27" s="95">
        <f t="shared" si="2"/>
        <v>4.1666666666666664E-2</v>
      </c>
      <c r="I27" s="95">
        <f t="shared" si="3"/>
        <v>0.04</v>
      </c>
      <c r="J27" s="94"/>
      <c r="K27" s="94">
        <f>'2018-19_working'!K27+'2018-19_working'!L27</f>
        <v>54</v>
      </c>
      <c r="L27" s="94">
        <f>'2018-19_working'!M27</f>
        <v>0</v>
      </c>
      <c r="M27" s="94">
        <f>'2018-19_working'!N27</f>
        <v>0</v>
      </c>
      <c r="N27" s="94">
        <f>'2018-19_working'!O27</f>
        <v>0</v>
      </c>
      <c r="O27" s="94">
        <f>'2018-19_working'!P27+'2018-19_working'!Q27</f>
        <v>0</v>
      </c>
      <c r="P27" s="94">
        <f>'2018-19_working'!R27</f>
        <v>9</v>
      </c>
      <c r="Q27" s="95">
        <f t="shared" si="4"/>
        <v>0</v>
      </c>
      <c r="R27" s="95">
        <f t="shared" si="5"/>
        <v>0.14285714285714285</v>
      </c>
      <c r="S27" s="94"/>
      <c r="T27" s="94">
        <f t="shared" si="6"/>
        <v>77</v>
      </c>
      <c r="U27" s="94">
        <f t="shared" si="7"/>
        <v>1</v>
      </c>
      <c r="V27" s="94">
        <f t="shared" si="8"/>
        <v>0</v>
      </c>
      <c r="W27" s="94">
        <f t="shared" si="9"/>
        <v>0</v>
      </c>
      <c r="X27" s="94">
        <f t="shared" si="10"/>
        <v>0</v>
      </c>
      <c r="Y27" s="94">
        <f t="shared" si="11"/>
        <v>10</v>
      </c>
      <c r="Z27" s="95">
        <f t="shared" si="12"/>
        <v>1.282051282051282E-2</v>
      </c>
      <c r="AA27" s="95">
        <f t="shared" si="13"/>
        <v>0.11363636363636363</v>
      </c>
      <c r="AB27" s="94"/>
      <c r="AC27" s="94">
        <f>'2018-19_working'!T27+'2018-19_working'!U27</f>
        <v>2</v>
      </c>
      <c r="AD27" s="94">
        <f>'2018-19_working'!V27</f>
        <v>0</v>
      </c>
      <c r="AE27" s="94">
        <f>'2018-19_working'!W27</f>
        <v>0</v>
      </c>
      <c r="AF27" s="94">
        <f>'2018-19_working'!X27</f>
        <v>0</v>
      </c>
      <c r="AG27" s="94">
        <f>'2018-19_working'!Y27+'2018-19_working'!Z27</f>
        <v>0</v>
      </c>
      <c r="AH27" s="94">
        <f>'2018-19_working'!AA27</f>
        <v>0</v>
      </c>
      <c r="AI27" s="95">
        <f t="shared" si="14"/>
        <v>0</v>
      </c>
      <c r="AJ27" s="95">
        <f t="shared" si="15"/>
        <v>0</v>
      </c>
      <c r="AK27" s="94"/>
      <c r="AL27" s="94">
        <f>'2018-19_working'!AC27+'2018-19_working'!AD27</f>
        <v>21</v>
      </c>
      <c r="AM27" s="94">
        <f>'2018-19_working'!AE27</f>
        <v>0</v>
      </c>
      <c r="AN27" s="94">
        <f>'2018-19_working'!AF27</f>
        <v>0</v>
      </c>
      <c r="AO27" s="94">
        <f>'2018-19_working'!AG27</f>
        <v>1</v>
      </c>
      <c r="AP27" s="94">
        <f>'2018-19_working'!AH27+'2018-19_working'!AI27</f>
        <v>0</v>
      </c>
      <c r="AQ27" s="94">
        <f>'2018-19_working'!AJ27</f>
        <v>3</v>
      </c>
      <c r="AR27" s="95">
        <f t="shared" si="16"/>
        <v>4.5454545454545456E-2</v>
      </c>
      <c r="AS27" s="95">
        <f t="shared" si="17"/>
        <v>0.12</v>
      </c>
      <c r="AT27" s="94"/>
      <c r="AU27" s="94">
        <f t="shared" si="18"/>
        <v>100</v>
      </c>
      <c r="AV27" s="94">
        <f t="shared" si="19"/>
        <v>1</v>
      </c>
      <c r="AW27" s="94">
        <f t="shared" si="20"/>
        <v>0</v>
      </c>
      <c r="AX27" s="94">
        <f t="shared" si="21"/>
        <v>1</v>
      </c>
      <c r="AY27" s="94">
        <f t="shared" si="22"/>
        <v>0</v>
      </c>
      <c r="AZ27" s="94">
        <f t="shared" si="23"/>
        <v>13</v>
      </c>
      <c r="BA27" s="95">
        <f t="shared" si="24"/>
        <v>1.9607843137254902E-2</v>
      </c>
      <c r="BB27" s="95">
        <f t="shared" si="25"/>
        <v>0.11304347826086956</v>
      </c>
    </row>
    <row r="28" spans="1:54" x14ac:dyDescent="0.35">
      <c r="A28" s="8" t="s">
        <v>35</v>
      </c>
      <c r="B28" s="94">
        <f>'2018-19_working'!B28+'2018-19_working'!C28</f>
        <v>24</v>
      </c>
      <c r="C28" s="94">
        <f>'2018-19_working'!D28</f>
        <v>2</v>
      </c>
      <c r="D28" s="94">
        <f>'2018-19_working'!E28</f>
        <v>0</v>
      </c>
      <c r="E28" s="94">
        <f>'2018-19_working'!F28</f>
        <v>0</v>
      </c>
      <c r="F28" s="94">
        <f>'2018-19_working'!G28+'2018-19_working'!H28</f>
        <v>0</v>
      </c>
      <c r="G28" s="94">
        <f>'2018-19_working'!I28</f>
        <v>0</v>
      </c>
      <c r="H28" s="95">
        <f t="shared" si="2"/>
        <v>7.6923076923076927E-2</v>
      </c>
      <c r="I28" s="95">
        <f t="shared" si="3"/>
        <v>0</v>
      </c>
      <c r="J28" s="94"/>
      <c r="K28" s="94">
        <f>'2018-19_working'!K28+'2018-19_working'!L28</f>
        <v>21</v>
      </c>
      <c r="L28" s="94">
        <f>'2018-19_working'!M28</f>
        <v>0</v>
      </c>
      <c r="M28" s="94">
        <f>'2018-19_working'!N28</f>
        <v>0</v>
      </c>
      <c r="N28" s="94">
        <f>'2018-19_working'!O28</f>
        <v>0</v>
      </c>
      <c r="O28" s="94">
        <f>'2018-19_working'!P28+'2018-19_working'!Q28</f>
        <v>0</v>
      </c>
      <c r="P28" s="94">
        <f>'2018-19_working'!R28</f>
        <v>1</v>
      </c>
      <c r="Q28" s="95">
        <f t="shared" si="4"/>
        <v>0</v>
      </c>
      <c r="R28" s="95">
        <f t="shared" si="5"/>
        <v>4.5454545454545456E-2</v>
      </c>
      <c r="S28" s="94"/>
      <c r="T28" s="94">
        <f t="shared" si="6"/>
        <v>45</v>
      </c>
      <c r="U28" s="94">
        <f t="shared" si="7"/>
        <v>2</v>
      </c>
      <c r="V28" s="94">
        <f t="shared" si="8"/>
        <v>0</v>
      </c>
      <c r="W28" s="94">
        <f t="shared" si="9"/>
        <v>0</v>
      </c>
      <c r="X28" s="94">
        <f t="shared" si="10"/>
        <v>0</v>
      </c>
      <c r="Y28" s="94">
        <f t="shared" si="11"/>
        <v>1</v>
      </c>
      <c r="Z28" s="95">
        <f t="shared" si="12"/>
        <v>4.2553191489361701E-2</v>
      </c>
      <c r="AA28" s="95">
        <f t="shared" si="13"/>
        <v>2.0833333333333332E-2</v>
      </c>
      <c r="AB28" s="94"/>
      <c r="AC28" s="94">
        <f>'2018-19_working'!T28+'2018-19_working'!U28</f>
        <v>0</v>
      </c>
      <c r="AD28" s="94">
        <f>'2018-19_working'!V28</f>
        <v>0</v>
      </c>
      <c r="AE28" s="94">
        <f>'2018-19_working'!W28</f>
        <v>0</v>
      </c>
      <c r="AF28" s="94">
        <f>'2018-19_working'!X28</f>
        <v>0</v>
      </c>
      <c r="AG28" s="94">
        <f>'2018-19_working'!Y28+'2018-19_working'!Z28</f>
        <v>0</v>
      </c>
      <c r="AH28" s="94">
        <f>'2018-19_working'!AA28</f>
        <v>0</v>
      </c>
      <c r="AI28" s="95" t="str">
        <f t="shared" si="14"/>
        <v>-</v>
      </c>
      <c r="AJ28" s="95" t="str">
        <f t="shared" si="15"/>
        <v>-</v>
      </c>
      <c r="AK28" s="94"/>
      <c r="AL28" s="94">
        <f>'2018-19_working'!AC28+'2018-19_working'!AD28</f>
        <v>10</v>
      </c>
      <c r="AM28" s="94">
        <f>'2018-19_working'!AE28</f>
        <v>1</v>
      </c>
      <c r="AN28" s="94">
        <f>'2018-19_working'!AF28</f>
        <v>0</v>
      </c>
      <c r="AO28" s="94">
        <f>'2018-19_working'!AG28</f>
        <v>1</v>
      </c>
      <c r="AP28" s="94">
        <f>'2018-19_working'!AH28+'2018-19_working'!AI28</f>
        <v>0</v>
      </c>
      <c r="AQ28" s="94">
        <f>'2018-19_working'!AJ28</f>
        <v>0</v>
      </c>
      <c r="AR28" s="95">
        <f t="shared" si="16"/>
        <v>0.16666666666666666</v>
      </c>
      <c r="AS28" s="95">
        <f t="shared" si="17"/>
        <v>0</v>
      </c>
      <c r="AT28" s="94"/>
      <c r="AU28" s="94">
        <f t="shared" si="18"/>
        <v>55</v>
      </c>
      <c r="AV28" s="94">
        <f t="shared" si="19"/>
        <v>3</v>
      </c>
      <c r="AW28" s="94">
        <f t="shared" si="20"/>
        <v>0</v>
      </c>
      <c r="AX28" s="94">
        <f t="shared" si="21"/>
        <v>1</v>
      </c>
      <c r="AY28" s="94">
        <f t="shared" si="22"/>
        <v>0</v>
      </c>
      <c r="AZ28" s="94">
        <f t="shared" si="23"/>
        <v>1</v>
      </c>
      <c r="BA28" s="95">
        <f t="shared" si="24"/>
        <v>6.7796610169491525E-2</v>
      </c>
      <c r="BB28" s="95">
        <f t="shared" si="25"/>
        <v>1.6666666666666666E-2</v>
      </c>
    </row>
    <row r="29" spans="1:54" x14ac:dyDescent="0.35">
      <c r="A29" s="8" t="s">
        <v>36</v>
      </c>
      <c r="B29" s="94">
        <f>'2018-19_working'!B29+'2018-19_working'!C29</f>
        <v>21</v>
      </c>
      <c r="C29" s="94">
        <f>'2018-19_working'!D29</f>
        <v>0</v>
      </c>
      <c r="D29" s="94">
        <f>'2018-19_working'!E29</f>
        <v>0</v>
      </c>
      <c r="E29" s="94">
        <f>'2018-19_working'!F29</f>
        <v>0</v>
      </c>
      <c r="F29" s="94">
        <f>'2018-19_working'!G29+'2018-19_working'!H29</f>
        <v>1</v>
      </c>
      <c r="G29" s="94">
        <f>'2018-19_working'!I29</f>
        <v>0</v>
      </c>
      <c r="H29" s="95">
        <f t="shared" si="2"/>
        <v>4.5454545454545456E-2</v>
      </c>
      <c r="I29" s="95">
        <f t="shared" si="3"/>
        <v>0</v>
      </c>
      <c r="J29" s="94"/>
      <c r="K29" s="94">
        <f>'2018-19_working'!K29+'2018-19_working'!L29</f>
        <v>31</v>
      </c>
      <c r="L29" s="94">
        <f>'2018-19_working'!M29</f>
        <v>0</v>
      </c>
      <c r="M29" s="94">
        <f>'2018-19_working'!N29</f>
        <v>0</v>
      </c>
      <c r="N29" s="94">
        <f>'2018-19_working'!O29</f>
        <v>0</v>
      </c>
      <c r="O29" s="94">
        <f>'2018-19_working'!P29+'2018-19_working'!Q29</f>
        <v>0</v>
      </c>
      <c r="P29" s="94">
        <f>'2018-19_working'!R29</f>
        <v>0</v>
      </c>
      <c r="Q29" s="95">
        <f t="shared" si="4"/>
        <v>0</v>
      </c>
      <c r="R29" s="95">
        <f t="shared" si="5"/>
        <v>0</v>
      </c>
      <c r="S29" s="94"/>
      <c r="T29" s="94">
        <f t="shared" si="6"/>
        <v>52</v>
      </c>
      <c r="U29" s="94">
        <f t="shared" si="7"/>
        <v>0</v>
      </c>
      <c r="V29" s="94">
        <f t="shared" si="8"/>
        <v>0</v>
      </c>
      <c r="W29" s="94">
        <f t="shared" si="9"/>
        <v>0</v>
      </c>
      <c r="X29" s="94">
        <f t="shared" si="10"/>
        <v>1</v>
      </c>
      <c r="Y29" s="94">
        <f t="shared" si="11"/>
        <v>0</v>
      </c>
      <c r="Z29" s="95">
        <f t="shared" si="12"/>
        <v>1.8867924528301886E-2</v>
      </c>
      <c r="AA29" s="95">
        <f t="shared" si="13"/>
        <v>0</v>
      </c>
      <c r="AB29" s="94"/>
      <c r="AC29" s="94">
        <f>'2018-19_working'!T29+'2018-19_working'!U29</f>
        <v>4</v>
      </c>
      <c r="AD29" s="94">
        <f>'2018-19_working'!V29</f>
        <v>0</v>
      </c>
      <c r="AE29" s="94">
        <f>'2018-19_working'!W29</f>
        <v>0</v>
      </c>
      <c r="AF29" s="94">
        <f>'2018-19_working'!X29</f>
        <v>0</v>
      </c>
      <c r="AG29" s="94">
        <f>'2018-19_working'!Y29+'2018-19_working'!Z29</f>
        <v>0</v>
      </c>
      <c r="AH29" s="94">
        <f>'2018-19_working'!AA29</f>
        <v>0</v>
      </c>
      <c r="AI29" s="95">
        <f t="shared" si="14"/>
        <v>0</v>
      </c>
      <c r="AJ29" s="95">
        <f t="shared" si="15"/>
        <v>0</v>
      </c>
      <c r="AK29" s="94"/>
      <c r="AL29" s="94">
        <f>'2018-19_working'!AC29+'2018-19_working'!AD29</f>
        <v>17</v>
      </c>
      <c r="AM29" s="94">
        <f>'2018-19_working'!AE29</f>
        <v>0</v>
      </c>
      <c r="AN29" s="94">
        <f>'2018-19_working'!AF29</f>
        <v>1</v>
      </c>
      <c r="AO29" s="94">
        <f>'2018-19_working'!AG29</f>
        <v>0</v>
      </c>
      <c r="AP29" s="94">
        <f>'2018-19_working'!AH29+'2018-19_working'!AI29</f>
        <v>0</v>
      </c>
      <c r="AQ29" s="94">
        <f>'2018-19_working'!AJ29</f>
        <v>0</v>
      </c>
      <c r="AR29" s="95">
        <f t="shared" si="16"/>
        <v>5.5555555555555552E-2</v>
      </c>
      <c r="AS29" s="95">
        <f t="shared" si="17"/>
        <v>0</v>
      </c>
      <c r="AT29" s="94"/>
      <c r="AU29" s="94">
        <f t="shared" si="18"/>
        <v>73</v>
      </c>
      <c r="AV29" s="94">
        <f t="shared" si="19"/>
        <v>0</v>
      </c>
      <c r="AW29" s="94">
        <f t="shared" si="20"/>
        <v>1</v>
      </c>
      <c r="AX29" s="94">
        <f t="shared" si="21"/>
        <v>0</v>
      </c>
      <c r="AY29" s="94">
        <f t="shared" si="22"/>
        <v>1</v>
      </c>
      <c r="AZ29" s="94">
        <f t="shared" si="23"/>
        <v>0</v>
      </c>
      <c r="BA29" s="95">
        <f t="shared" si="24"/>
        <v>2.6666666666666668E-2</v>
      </c>
      <c r="BB29" s="95">
        <f t="shared" si="25"/>
        <v>0</v>
      </c>
    </row>
    <row r="30" spans="1:54" x14ac:dyDescent="0.35">
      <c r="A30" s="8" t="s">
        <v>37</v>
      </c>
      <c r="B30" s="94">
        <f>'2018-19_working'!B30+'2018-19_working'!C30</f>
        <v>0</v>
      </c>
      <c r="C30" s="94">
        <f>'2018-19_working'!D30</f>
        <v>0</v>
      </c>
      <c r="D30" s="94">
        <f>'2018-19_working'!E30</f>
        <v>0</v>
      </c>
      <c r="E30" s="94">
        <f>'2018-19_working'!F30</f>
        <v>0</v>
      </c>
      <c r="F30" s="94">
        <f>'2018-19_working'!G30+'2018-19_working'!H30</f>
        <v>0</v>
      </c>
      <c r="G30" s="94">
        <f>'2018-19_working'!I30</f>
        <v>0</v>
      </c>
      <c r="H30" s="95" t="str">
        <f t="shared" si="2"/>
        <v>-</v>
      </c>
      <c r="I30" s="95" t="str">
        <f t="shared" si="3"/>
        <v>-</v>
      </c>
      <c r="J30" s="94"/>
      <c r="K30" s="94">
        <f>'2018-19_working'!K30+'2018-19_working'!L30</f>
        <v>9</v>
      </c>
      <c r="L30" s="94">
        <f>'2018-19_working'!M30</f>
        <v>0</v>
      </c>
      <c r="M30" s="94">
        <f>'2018-19_working'!N30</f>
        <v>0</v>
      </c>
      <c r="N30" s="94">
        <f>'2018-19_working'!O30</f>
        <v>0</v>
      </c>
      <c r="O30" s="94">
        <f>'2018-19_working'!P30+'2018-19_working'!Q30</f>
        <v>0</v>
      </c>
      <c r="P30" s="94">
        <f>'2018-19_working'!R30</f>
        <v>0</v>
      </c>
      <c r="Q30" s="95">
        <f t="shared" si="4"/>
        <v>0</v>
      </c>
      <c r="R30" s="95">
        <f t="shared" si="5"/>
        <v>0</v>
      </c>
      <c r="S30" s="94"/>
      <c r="T30" s="94">
        <f t="shared" si="6"/>
        <v>9</v>
      </c>
      <c r="U30" s="94">
        <f t="shared" si="7"/>
        <v>0</v>
      </c>
      <c r="V30" s="94">
        <f t="shared" si="8"/>
        <v>0</v>
      </c>
      <c r="W30" s="94">
        <f t="shared" si="9"/>
        <v>0</v>
      </c>
      <c r="X30" s="94">
        <f t="shared" si="10"/>
        <v>0</v>
      </c>
      <c r="Y30" s="94">
        <f t="shared" si="11"/>
        <v>0</v>
      </c>
      <c r="Z30" s="95">
        <f t="shared" si="12"/>
        <v>0</v>
      </c>
      <c r="AA30" s="95">
        <f t="shared" si="13"/>
        <v>0</v>
      </c>
      <c r="AB30" s="94"/>
      <c r="AC30" s="94">
        <f>'2018-19_working'!T30+'2018-19_working'!U30</f>
        <v>0</v>
      </c>
      <c r="AD30" s="94">
        <f>'2018-19_working'!V30</f>
        <v>0</v>
      </c>
      <c r="AE30" s="94">
        <f>'2018-19_working'!W30</f>
        <v>0</v>
      </c>
      <c r="AF30" s="94">
        <f>'2018-19_working'!X30</f>
        <v>0</v>
      </c>
      <c r="AG30" s="94">
        <f>'2018-19_working'!Y30+'2018-19_working'!Z30</f>
        <v>0</v>
      </c>
      <c r="AH30" s="94">
        <f>'2018-19_working'!AA30</f>
        <v>0</v>
      </c>
      <c r="AI30" s="95" t="str">
        <f t="shared" si="14"/>
        <v>-</v>
      </c>
      <c r="AJ30" s="95" t="str">
        <f t="shared" si="15"/>
        <v>-</v>
      </c>
      <c r="AK30" s="94"/>
      <c r="AL30" s="94">
        <f>'2018-19_working'!AC30+'2018-19_working'!AD30</f>
        <v>2</v>
      </c>
      <c r="AM30" s="94">
        <f>'2018-19_working'!AE30</f>
        <v>0</v>
      </c>
      <c r="AN30" s="94">
        <f>'2018-19_working'!AF30</f>
        <v>0</v>
      </c>
      <c r="AO30" s="94">
        <f>'2018-19_working'!AG30</f>
        <v>0</v>
      </c>
      <c r="AP30" s="94">
        <f>'2018-19_working'!AH30+'2018-19_working'!AI30</f>
        <v>0</v>
      </c>
      <c r="AQ30" s="94">
        <f>'2018-19_working'!AJ30</f>
        <v>0</v>
      </c>
      <c r="AR30" s="95">
        <f t="shared" si="16"/>
        <v>0</v>
      </c>
      <c r="AS30" s="95">
        <f t="shared" si="17"/>
        <v>0</v>
      </c>
      <c r="AT30" s="94"/>
      <c r="AU30" s="94">
        <f t="shared" si="18"/>
        <v>11</v>
      </c>
      <c r="AV30" s="94">
        <f t="shared" si="19"/>
        <v>0</v>
      </c>
      <c r="AW30" s="94">
        <f t="shared" si="20"/>
        <v>0</v>
      </c>
      <c r="AX30" s="94">
        <f t="shared" si="21"/>
        <v>0</v>
      </c>
      <c r="AY30" s="94">
        <f t="shared" si="22"/>
        <v>0</v>
      </c>
      <c r="AZ30" s="94">
        <f t="shared" si="23"/>
        <v>0</v>
      </c>
      <c r="BA30" s="95">
        <f t="shared" si="24"/>
        <v>0</v>
      </c>
      <c r="BB30" s="95">
        <f t="shared" si="25"/>
        <v>0</v>
      </c>
    </row>
    <row r="31" spans="1:54" x14ac:dyDescent="0.35">
      <c r="A31" s="8" t="s">
        <v>38</v>
      </c>
      <c r="B31" s="94">
        <f>'2018-19_working'!B31+'2018-19_working'!C31</f>
        <v>13</v>
      </c>
      <c r="C31" s="94">
        <f>'2018-19_working'!D31</f>
        <v>0</v>
      </c>
      <c r="D31" s="94">
        <f>'2018-19_working'!E31</f>
        <v>0</v>
      </c>
      <c r="E31" s="94">
        <f>'2018-19_working'!F31</f>
        <v>0</v>
      </c>
      <c r="F31" s="94">
        <f>'2018-19_working'!G31+'2018-19_working'!H31</f>
        <v>0</v>
      </c>
      <c r="G31" s="94">
        <f>'2018-19_working'!I31</f>
        <v>20</v>
      </c>
      <c r="H31" s="95">
        <f t="shared" si="2"/>
        <v>0</v>
      </c>
      <c r="I31" s="95">
        <f t="shared" si="3"/>
        <v>0.60606060606060608</v>
      </c>
      <c r="J31" s="94"/>
      <c r="K31" s="94">
        <f>'2018-19_working'!K31+'2018-19_working'!L31</f>
        <v>15</v>
      </c>
      <c r="L31" s="94">
        <f>'2018-19_working'!M31</f>
        <v>0</v>
      </c>
      <c r="M31" s="94">
        <f>'2018-19_working'!N31</f>
        <v>0</v>
      </c>
      <c r="N31" s="94">
        <f>'2018-19_working'!O31</f>
        <v>0</v>
      </c>
      <c r="O31" s="94">
        <f>'2018-19_working'!P31+'2018-19_working'!Q31</f>
        <v>0</v>
      </c>
      <c r="P31" s="94">
        <f>'2018-19_working'!R31</f>
        <v>87</v>
      </c>
      <c r="Q31" s="95">
        <f t="shared" si="4"/>
        <v>0</v>
      </c>
      <c r="R31" s="95">
        <f t="shared" si="5"/>
        <v>0.8529411764705882</v>
      </c>
      <c r="S31" s="94"/>
      <c r="T31" s="94">
        <f t="shared" si="6"/>
        <v>28</v>
      </c>
      <c r="U31" s="94">
        <f t="shared" si="7"/>
        <v>0</v>
      </c>
      <c r="V31" s="94">
        <f t="shared" si="8"/>
        <v>0</v>
      </c>
      <c r="W31" s="94">
        <f t="shared" si="9"/>
        <v>0</v>
      </c>
      <c r="X31" s="94">
        <f t="shared" si="10"/>
        <v>0</v>
      </c>
      <c r="Y31" s="94">
        <f t="shared" si="11"/>
        <v>107</v>
      </c>
      <c r="Z31" s="95">
        <f t="shared" si="12"/>
        <v>0</v>
      </c>
      <c r="AA31" s="95">
        <f t="shared" si="13"/>
        <v>0.79259259259259263</v>
      </c>
      <c r="AB31" s="94"/>
      <c r="AC31" s="94">
        <f>'2018-19_working'!T31+'2018-19_working'!U31</f>
        <v>0</v>
      </c>
      <c r="AD31" s="94">
        <f>'2018-19_working'!V31</f>
        <v>0</v>
      </c>
      <c r="AE31" s="94">
        <f>'2018-19_working'!W31</f>
        <v>0</v>
      </c>
      <c r="AF31" s="94">
        <f>'2018-19_working'!X31</f>
        <v>0</v>
      </c>
      <c r="AG31" s="94">
        <f>'2018-19_working'!Y31+'2018-19_working'!Z31</f>
        <v>0</v>
      </c>
      <c r="AH31" s="94">
        <f>'2018-19_working'!AA31</f>
        <v>1</v>
      </c>
      <c r="AI31" s="95" t="str">
        <f t="shared" si="14"/>
        <v>-</v>
      </c>
      <c r="AJ31" s="95">
        <f t="shared" si="15"/>
        <v>1</v>
      </c>
      <c r="AK31" s="94"/>
      <c r="AL31" s="94">
        <f>'2018-19_working'!AC31+'2018-19_working'!AD31</f>
        <v>11</v>
      </c>
      <c r="AM31" s="94">
        <f>'2018-19_working'!AE31</f>
        <v>0</v>
      </c>
      <c r="AN31" s="94">
        <f>'2018-19_working'!AF31</f>
        <v>0</v>
      </c>
      <c r="AO31" s="94">
        <f>'2018-19_working'!AG31</f>
        <v>0</v>
      </c>
      <c r="AP31" s="94">
        <f>'2018-19_working'!AH31+'2018-19_working'!AI31</f>
        <v>0</v>
      </c>
      <c r="AQ31" s="94">
        <f>'2018-19_working'!AJ31</f>
        <v>29</v>
      </c>
      <c r="AR31" s="95">
        <f t="shared" si="16"/>
        <v>0</v>
      </c>
      <c r="AS31" s="95">
        <f t="shared" si="17"/>
        <v>0.72499999999999998</v>
      </c>
      <c r="AT31" s="94"/>
      <c r="AU31" s="94">
        <f t="shared" si="18"/>
        <v>39</v>
      </c>
      <c r="AV31" s="94">
        <f t="shared" si="19"/>
        <v>0</v>
      </c>
      <c r="AW31" s="94">
        <f t="shared" si="20"/>
        <v>0</v>
      </c>
      <c r="AX31" s="94">
        <f t="shared" si="21"/>
        <v>0</v>
      </c>
      <c r="AY31" s="94">
        <f t="shared" si="22"/>
        <v>0</v>
      </c>
      <c r="AZ31" s="94">
        <f t="shared" si="23"/>
        <v>137</v>
      </c>
      <c r="BA31" s="95">
        <f t="shared" si="24"/>
        <v>0</v>
      </c>
      <c r="BB31" s="95">
        <f t="shared" si="25"/>
        <v>0.77840909090909094</v>
      </c>
    </row>
    <row r="32" spans="1:54" x14ac:dyDescent="0.35">
      <c r="A32" s="8" t="s">
        <v>39</v>
      </c>
      <c r="B32" s="94">
        <f>'2018-19_working'!B32+'2018-19_working'!C32</f>
        <v>51</v>
      </c>
      <c r="C32" s="94">
        <f>'2018-19_working'!D32</f>
        <v>3</v>
      </c>
      <c r="D32" s="94">
        <f>'2018-19_working'!E32</f>
        <v>1</v>
      </c>
      <c r="E32" s="94">
        <f>'2018-19_working'!F32</f>
        <v>0</v>
      </c>
      <c r="F32" s="94">
        <f>'2018-19_working'!G32+'2018-19_working'!H32</f>
        <v>0</v>
      </c>
      <c r="G32" s="94">
        <f>'2018-19_working'!I32</f>
        <v>0</v>
      </c>
      <c r="H32" s="95">
        <f t="shared" si="2"/>
        <v>7.2727272727272724E-2</v>
      </c>
      <c r="I32" s="95">
        <f t="shared" si="3"/>
        <v>0</v>
      </c>
      <c r="J32" s="94"/>
      <c r="K32" s="94">
        <f>'2018-19_working'!K32+'2018-19_working'!L32</f>
        <v>63</v>
      </c>
      <c r="L32" s="94">
        <f>'2018-19_working'!M32</f>
        <v>0</v>
      </c>
      <c r="M32" s="94">
        <f>'2018-19_working'!N32</f>
        <v>1</v>
      </c>
      <c r="N32" s="94">
        <f>'2018-19_working'!O32</f>
        <v>0</v>
      </c>
      <c r="O32" s="94">
        <f>'2018-19_working'!P32+'2018-19_working'!Q32</f>
        <v>1</v>
      </c>
      <c r="P32" s="94">
        <f>'2018-19_working'!R32</f>
        <v>7</v>
      </c>
      <c r="Q32" s="95">
        <f t="shared" si="4"/>
        <v>3.0769230769230771E-2</v>
      </c>
      <c r="R32" s="95">
        <f t="shared" si="5"/>
        <v>9.7222222222222224E-2</v>
      </c>
      <c r="S32" s="94"/>
      <c r="T32" s="94">
        <f t="shared" si="6"/>
        <v>114</v>
      </c>
      <c r="U32" s="94">
        <f t="shared" si="7"/>
        <v>3</v>
      </c>
      <c r="V32" s="94">
        <f t="shared" si="8"/>
        <v>2</v>
      </c>
      <c r="W32" s="94">
        <f t="shared" si="9"/>
        <v>0</v>
      </c>
      <c r="X32" s="94">
        <f t="shared" si="10"/>
        <v>1</v>
      </c>
      <c r="Y32" s="94">
        <f t="shared" si="11"/>
        <v>7</v>
      </c>
      <c r="Z32" s="95">
        <f t="shared" si="12"/>
        <v>0.05</v>
      </c>
      <c r="AA32" s="95">
        <f t="shared" si="13"/>
        <v>5.5118110236220472E-2</v>
      </c>
      <c r="AB32" s="94"/>
      <c r="AC32" s="94">
        <f>'2018-19_working'!T32+'2018-19_working'!U32</f>
        <v>0</v>
      </c>
      <c r="AD32" s="94">
        <f>'2018-19_working'!V32</f>
        <v>0</v>
      </c>
      <c r="AE32" s="94">
        <f>'2018-19_working'!W32</f>
        <v>0</v>
      </c>
      <c r="AF32" s="94">
        <f>'2018-19_working'!X32</f>
        <v>0</v>
      </c>
      <c r="AG32" s="94">
        <f>'2018-19_working'!Y32+'2018-19_working'!Z32</f>
        <v>0</v>
      </c>
      <c r="AH32" s="94">
        <f>'2018-19_working'!AA32</f>
        <v>0</v>
      </c>
      <c r="AI32" s="95" t="str">
        <f t="shared" si="14"/>
        <v>-</v>
      </c>
      <c r="AJ32" s="95" t="str">
        <f t="shared" si="15"/>
        <v>-</v>
      </c>
      <c r="AK32" s="94"/>
      <c r="AL32" s="94">
        <f>'2018-19_working'!AC32+'2018-19_working'!AD32</f>
        <v>20</v>
      </c>
      <c r="AM32" s="94">
        <f>'2018-19_working'!AE32</f>
        <v>0</v>
      </c>
      <c r="AN32" s="94">
        <f>'2018-19_working'!AF32</f>
        <v>2</v>
      </c>
      <c r="AO32" s="94">
        <f>'2018-19_working'!AG32</f>
        <v>0</v>
      </c>
      <c r="AP32" s="94">
        <f>'2018-19_working'!AH32+'2018-19_working'!AI32</f>
        <v>0</v>
      </c>
      <c r="AQ32" s="94">
        <f>'2018-19_working'!AJ32</f>
        <v>0</v>
      </c>
      <c r="AR32" s="95">
        <f t="shared" si="16"/>
        <v>9.0909090909090912E-2</v>
      </c>
      <c r="AS32" s="95">
        <f t="shared" si="17"/>
        <v>0</v>
      </c>
      <c r="AT32" s="94"/>
      <c r="AU32" s="94">
        <f t="shared" si="18"/>
        <v>134</v>
      </c>
      <c r="AV32" s="94">
        <f t="shared" si="19"/>
        <v>3</v>
      </c>
      <c r="AW32" s="94">
        <f t="shared" si="20"/>
        <v>4</v>
      </c>
      <c r="AX32" s="94">
        <f t="shared" si="21"/>
        <v>0</v>
      </c>
      <c r="AY32" s="94">
        <f t="shared" si="22"/>
        <v>1</v>
      </c>
      <c r="AZ32" s="94">
        <f t="shared" si="23"/>
        <v>7</v>
      </c>
      <c r="BA32" s="95">
        <f t="shared" si="24"/>
        <v>5.6338028169014086E-2</v>
      </c>
      <c r="BB32" s="95">
        <f t="shared" si="25"/>
        <v>4.6979865771812082E-2</v>
      </c>
    </row>
    <row r="33" spans="1:54" x14ac:dyDescent="0.35">
      <c r="A33" s="8" t="s">
        <v>40</v>
      </c>
      <c r="B33" s="94">
        <f>'2018-19_working'!B33+'2018-19_working'!C33</f>
        <v>6</v>
      </c>
      <c r="C33" s="94">
        <f>'2018-19_working'!D33</f>
        <v>0</v>
      </c>
      <c r="D33" s="94">
        <f>'2018-19_working'!E33</f>
        <v>0</v>
      </c>
      <c r="E33" s="94">
        <f>'2018-19_working'!F33</f>
        <v>0</v>
      </c>
      <c r="F33" s="94">
        <f>'2018-19_working'!G33+'2018-19_working'!H33</f>
        <v>0</v>
      </c>
      <c r="G33" s="94">
        <f>'2018-19_working'!I33</f>
        <v>2</v>
      </c>
      <c r="H33" s="95">
        <f t="shared" si="2"/>
        <v>0</v>
      </c>
      <c r="I33" s="95">
        <f t="shared" si="3"/>
        <v>0.25</v>
      </c>
      <c r="J33" s="94"/>
      <c r="K33" s="94">
        <f>'2018-19_working'!K33+'2018-19_working'!L33</f>
        <v>20</v>
      </c>
      <c r="L33" s="94">
        <f>'2018-19_working'!M33</f>
        <v>1</v>
      </c>
      <c r="M33" s="94">
        <f>'2018-19_working'!N33</f>
        <v>0</v>
      </c>
      <c r="N33" s="94">
        <f>'2018-19_working'!O33</f>
        <v>0</v>
      </c>
      <c r="O33" s="94">
        <f>'2018-19_working'!P33+'2018-19_working'!Q33</f>
        <v>0</v>
      </c>
      <c r="P33" s="94">
        <f>'2018-19_working'!R33</f>
        <v>12</v>
      </c>
      <c r="Q33" s="95">
        <f t="shared" si="4"/>
        <v>4.7619047619047616E-2</v>
      </c>
      <c r="R33" s="95">
        <f t="shared" si="5"/>
        <v>0.36363636363636365</v>
      </c>
      <c r="S33" s="94"/>
      <c r="T33" s="94">
        <f t="shared" si="6"/>
        <v>26</v>
      </c>
      <c r="U33" s="94">
        <f t="shared" si="7"/>
        <v>1</v>
      </c>
      <c r="V33" s="94">
        <f t="shared" si="8"/>
        <v>0</v>
      </c>
      <c r="W33" s="94">
        <f t="shared" si="9"/>
        <v>0</v>
      </c>
      <c r="X33" s="94">
        <f t="shared" si="10"/>
        <v>0</v>
      </c>
      <c r="Y33" s="94">
        <f t="shared" si="11"/>
        <v>14</v>
      </c>
      <c r="Z33" s="95">
        <f t="shared" si="12"/>
        <v>3.7037037037037035E-2</v>
      </c>
      <c r="AA33" s="95">
        <f t="shared" si="13"/>
        <v>0.34146341463414637</v>
      </c>
      <c r="AB33" s="94"/>
      <c r="AC33" s="94">
        <f>'2018-19_working'!T33+'2018-19_working'!U33</f>
        <v>0</v>
      </c>
      <c r="AD33" s="94">
        <f>'2018-19_working'!V33</f>
        <v>0</v>
      </c>
      <c r="AE33" s="94">
        <f>'2018-19_working'!W33</f>
        <v>0</v>
      </c>
      <c r="AF33" s="94">
        <f>'2018-19_working'!X33</f>
        <v>0</v>
      </c>
      <c r="AG33" s="94">
        <f>'2018-19_working'!Y33+'2018-19_working'!Z33</f>
        <v>0</v>
      </c>
      <c r="AH33" s="94">
        <f>'2018-19_working'!AA33</f>
        <v>0</v>
      </c>
      <c r="AI33" s="95" t="str">
        <f t="shared" si="14"/>
        <v>-</v>
      </c>
      <c r="AJ33" s="95" t="str">
        <f t="shared" si="15"/>
        <v>-</v>
      </c>
      <c r="AK33" s="94"/>
      <c r="AL33" s="94">
        <f>'2018-19_working'!AC33+'2018-19_working'!AD33</f>
        <v>9</v>
      </c>
      <c r="AM33" s="94">
        <f>'2018-19_working'!AE33</f>
        <v>0</v>
      </c>
      <c r="AN33" s="94">
        <f>'2018-19_working'!AF33</f>
        <v>0</v>
      </c>
      <c r="AO33" s="94">
        <f>'2018-19_working'!AG33</f>
        <v>0</v>
      </c>
      <c r="AP33" s="94">
        <f>'2018-19_working'!AH33+'2018-19_working'!AI33</f>
        <v>0</v>
      </c>
      <c r="AQ33" s="94">
        <f>'2018-19_working'!AJ33</f>
        <v>0</v>
      </c>
      <c r="AR33" s="95">
        <f t="shared" si="16"/>
        <v>0</v>
      </c>
      <c r="AS33" s="95">
        <f t="shared" si="17"/>
        <v>0</v>
      </c>
      <c r="AT33" s="94"/>
      <c r="AU33" s="94">
        <f t="shared" si="18"/>
        <v>35</v>
      </c>
      <c r="AV33" s="94">
        <f t="shared" si="19"/>
        <v>1</v>
      </c>
      <c r="AW33" s="94">
        <f t="shared" si="20"/>
        <v>0</v>
      </c>
      <c r="AX33" s="94">
        <f t="shared" si="21"/>
        <v>0</v>
      </c>
      <c r="AY33" s="94">
        <f t="shared" si="22"/>
        <v>0</v>
      </c>
      <c r="AZ33" s="94">
        <f t="shared" si="23"/>
        <v>14</v>
      </c>
      <c r="BA33" s="95">
        <f t="shared" si="24"/>
        <v>2.7777777777777776E-2</v>
      </c>
      <c r="BB33" s="95">
        <f t="shared" si="25"/>
        <v>0.28000000000000003</v>
      </c>
    </row>
    <row r="34" spans="1:54" x14ac:dyDescent="0.35">
      <c r="A34" s="8" t="s">
        <v>41</v>
      </c>
      <c r="B34" s="94">
        <f>'2018-19_working'!B34+'2018-19_working'!C34</f>
        <v>12</v>
      </c>
      <c r="C34" s="94">
        <f>'2018-19_working'!D34</f>
        <v>1</v>
      </c>
      <c r="D34" s="94">
        <f>'2018-19_working'!E34</f>
        <v>0</v>
      </c>
      <c r="E34" s="94">
        <f>'2018-19_working'!F34</f>
        <v>0</v>
      </c>
      <c r="F34" s="94">
        <f>'2018-19_working'!G34+'2018-19_working'!H34</f>
        <v>0</v>
      </c>
      <c r="G34" s="94">
        <f>'2018-19_working'!I34</f>
        <v>0</v>
      </c>
      <c r="H34" s="95">
        <f t="shared" si="2"/>
        <v>7.6923076923076927E-2</v>
      </c>
      <c r="I34" s="95">
        <f t="shared" si="3"/>
        <v>0</v>
      </c>
      <c r="J34" s="94"/>
      <c r="K34" s="94">
        <f>'2018-19_working'!K34+'2018-19_working'!L34</f>
        <v>52</v>
      </c>
      <c r="L34" s="94">
        <f>'2018-19_working'!M34</f>
        <v>0</v>
      </c>
      <c r="M34" s="94">
        <f>'2018-19_working'!N34</f>
        <v>0</v>
      </c>
      <c r="N34" s="94">
        <f>'2018-19_working'!O34</f>
        <v>0</v>
      </c>
      <c r="O34" s="94">
        <f>'2018-19_working'!P34+'2018-19_working'!Q34</f>
        <v>0</v>
      </c>
      <c r="P34" s="94">
        <f>'2018-19_working'!R34</f>
        <v>1</v>
      </c>
      <c r="Q34" s="95">
        <f t="shared" si="4"/>
        <v>0</v>
      </c>
      <c r="R34" s="95">
        <f t="shared" si="5"/>
        <v>1.8867924528301886E-2</v>
      </c>
      <c r="S34" s="94"/>
      <c r="T34" s="94">
        <f t="shared" si="6"/>
        <v>64</v>
      </c>
      <c r="U34" s="94">
        <f t="shared" si="7"/>
        <v>1</v>
      </c>
      <c r="V34" s="94">
        <f t="shared" si="8"/>
        <v>0</v>
      </c>
      <c r="W34" s="94">
        <f t="shared" si="9"/>
        <v>0</v>
      </c>
      <c r="X34" s="94">
        <f t="shared" si="10"/>
        <v>0</v>
      </c>
      <c r="Y34" s="94">
        <f t="shared" si="11"/>
        <v>1</v>
      </c>
      <c r="Z34" s="95">
        <f t="shared" si="12"/>
        <v>1.5384615384615385E-2</v>
      </c>
      <c r="AA34" s="95">
        <f t="shared" si="13"/>
        <v>1.5151515151515152E-2</v>
      </c>
      <c r="AB34" s="94"/>
      <c r="AC34" s="94">
        <f>'2018-19_working'!T34+'2018-19_working'!U34</f>
        <v>4</v>
      </c>
      <c r="AD34" s="94">
        <f>'2018-19_working'!V34</f>
        <v>0</v>
      </c>
      <c r="AE34" s="94">
        <f>'2018-19_working'!W34</f>
        <v>0</v>
      </c>
      <c r="AF34" s="94">
        <f>'2018-19_working'!X34</f>
        <v>0</v>
      </c>
      <c r="AG34" s="94">
        <f>'2018-19_working'!Y34+'2018-19_working'!Z34</f>
        <v>0</v>
      </c>
      <c r="AH34" s="94">
        <f>'2018-19_working'!AA34</f>
        <v>0</v>
      </c>
      <c r="AI34" s="95">
        <f t="shared" si="14"/>
        <v>0</v>
      </c>
      <c r="AJ34" s="95">
        <f t="shared" si="15"/>
        <v>0</v>
      </c>
      <c r="AK34" s="94"/>
      <c r="AL34" s="94">
        <f>'2018-19_working'!AC34+'2018-19_working'!AD34</f>
        <v>8</v>
      </c>
      <c r="AM34" s="94">
        <f>'2018-19_working'!AE34</f>
        <v>0</v>
      </c>
      <c r="AN34" s="94">
        <f>'2018-19_working'!AF34</f>
        <v>0</v>
      </c>
      <c r="AO34" s="94">
        <f>'2018-19_working'!AG34</f>
        <v>1</v>
      </c>
      <c r="AP34" s="94">
        <f>'2018-19_working'!AH34+'2018-19_working'!AI34</f>
        <v>0</v>
      </c>
      <c r="AQ34" s="94">
        <f>'2018-19_working'!AJ34</f>
        <v>1</v>
      </c>
      <c r="AR34" s="95">
        <f t="shared" si="16"/>
        <v>0.1111111111111111</v>
      </c>
      <c r="AS34" s="95">
        <f t="shared" si="17"/>
        <v>0.1</v>
      </c>
      <c r="AT34" s="94"/>
      <c r="AU34" s="94">
        <f t="shared" si="18"/>
        <v>76</v>
      </c>
      <c r="AV34" s="94">
        <f t="shared" si="19"/>
        <v>1</v>
      </c>
      <c r="AW34" s="94">
        <f t="shared" si="20"/>
        <v>0</v>
      </c>
      <c r="AX34" s="94">
        <f t="shared" si="21"/>
        <v>1</v>
      </c>
      <c r="AY34" s="94">
        <f t="shared" si="22"/>
        <v>0</v>
      </c>
      <c r="AZ34" s="94">
        <f t="shared" si="23"/>
        <v>2</v>
      </c>
      <c r="BA34" s="95">
        <f t="shared" si="24"/>
        <v>2.564102564102564E-2</v>
      </c>
      <c r="BB34" s="95">
        <f t="shared" si="25"/>
        <v>2.5000000000000001E-2</v>
      </c>
    </row>
    <row r="35" spans="1:54" x14ac:dyDescent="0.35">
      <c r="A35" s="8" t="s">
        <v>42</v>
      </c>
      <c r="B35" s="94">
        <f>'2018-19_working'!B35+'2018-19_working'!C35</f>
        <v>25</v>
      </c>
      <c r="C35" s="94">
        <f>'2018-19_working'!D35</f>
        <v>1</v>
      </c>
      <c r="D35" s="94">
        <f>'2018-19_working'!E35</f>
        <v>0</v>
      </c>
      <c r="E35" s="94">
        <f>'2018-19_working'!F35</f>
        <v>0</v>
      </c>
      <c r="F35" s="94">
        <f>'2018-19_working'!G35+'2018-19_working'!H35</f>
        <v>0</v>
      </c>
      <c r="G35" s="94">
        <f>'2018-19_working'!I35</f>
        <v>4</v>
      </c>
      <c r="H35" s="95">
        <f t="shared" si="2"/>
        <v>3.8461538461538464E-2</v>
      </c>
      <c r="I35" s="95">
        <f t="shared" si="3"/>
        <v>0.13333333333333333</v>
      </c>
      <c r="J35" s="94"/>
      <c r="K35" s="94">
        <f>'2018-19_working'!K35+'2018-19_working'!L35</f>
        <v>32</v>
      </c>
      <c r="L35" s="94">
        <f>'2018-19_working'!M35</f>
        <v>0</v>
      </c>
      <c r="M35" s="94">
        <f>'2018-19_working'!N35</f>
        <v>0</v>
      </c>
      <c r="N35" s="94">
        <f>'2018-19_working'!O35</f>
        <v>0</v>
      </c>
      <c r="O35" s="94">
        <f>'2018-19_working'!P35+'2018-19_working'!Q35</f>
        <v>0</v>
      </c>
      <c r="P35" s="94">
        <f>'2018-19_working'!R35</f>
        <v>6</v>
      </c>
      <c r="Q35" s="95">
        <f t="shared" si="4"/>
        <v>0</v>
      </c>
      <c r="R35" s="95">
        <f t="shared" si="5"/>
        <v>0.15789473684210525</v>
      </c>
      <c r="S35" s="94"/>
      <c r="T35" s="94">
        <f t="shared" si="6"/>
        <v>57</v>
      </c>
      <c r="U35" s="94">
        <f t="shared" si="7"/>
        <v>1</v>
      </c>
      <c r="V35" s="94">
        <f t="shared" si="8"/>
        <v>0</v>
      </c>
      <c r="W35" s="94">
        <f t="shared" si="9"/>
        <v>0</v>
      </c>
      <c r="X35" s="94">
        <f t="shared" si="10"/>
        <v>0</v>
      </c>
      <c r="Y35" s="94">
        <f t="shared" si="11"/>
        <v>10</v>
      </c>
      <c r="Z35" s="95">
        <f t="shared" si="12"/>
        <v>1.7241379310344827E-2</v>
      </c>
      <c r="AA35" s="95">
        <f t="shared" si="13"/>
        <v>0.14705882352941177</v>
      </c>
      <c r="AB35" s="94"/>
      <c r="AC35" s="94">
        <f>'2018-19_working'!T35+'2018-19_working'!U35</f>
        <v>2</v>
      </c>
      <c r="AD35" s="94">
        <f>'2018-19_working'!V35</f>
        <v>0</v>
      </c>
      <c r="AE35" s="94">
        <f>'2018-19_working'!W35</f>
        <v>0</v>
      </c>
      <c r="AF35" s="94">
        <f>'2018-19_working'!X35</f>
        <v>0</v>
      </c>
      <c r="AG35" s="94">
        <f>'2018-19_working'!Y35+'2018-19_working'!Z35</f>
        <v>0</v>
      </c>
      <c r="AH35" s="94">
        <f>'2018-19_working'!AA35</f>
        <v>0</v>
      </c>
      <c r="AI35" s="95">
        <f t="shared" si="14"/>
        <v>0</v>
      </c>
      <c r="AJ35" s="95">
        <f t="shared" si="15"/>
        <v>0</v>
      </c>
      <c r="AK35" s="94"/>
      <c r="AL35" s="94">
        <f>'2018-19_working'!AC35+'2018-19_working'!AD35</f>
        <v>6</v>
      </c>
      <c r="AM35" s="94">
        <f>'2018-19_working'!AE35</f>
        <v>0</v>
      </c>
      <c r="AN35" s="94">
        <f>'2018-19_working'!AF35</f>
        <v>0</v>
      </c>
      <c r="AO35" s="94">
        <f>'2018-19_working'!AG35</f>
        <v>0</v>
      </c>
      <c r="AP35" s="94">
        <f>'2018-19_working'!AH35+'2018-19_working'!AI35</f>
        <v>0</v>
      </c>
      <c r="AQ35" s="94">
        <f>'2018-19_working'!AJ35</f>
        <v>4</v>
      </c>
      <c r="AR35" s="95">
        <f t="shared" si="16"/>
        <v>0</v>
      </c>
      <c r="AS35" s="95">
        <f t="shared" si="17"/>
        <v>0.4</v>
      </c>
      <c r="AT35" s="94"/>
      <c r="AU35" s="94">
        <f t="shared" si="18"/>
        <v>65</v>
      </c>
      <c r="AV35" s="94">
        <f t="shared" si="19"/>
        <v>1</v>
      </c>
      <c r="AW35" s="94">
        <f t="shared" si="20"/>
        <v>0</v>
      </c>
      <c r="AX35" s="94">
        <f t="shared" si="21"/>
        <v>0</v>
      </c>
      <c r="AY35" s="94">
        <f t="shared" si="22"/>
        <v>0</v>
      </c>
      <c r="AZ35" s="94">
        <f t="shared" si="23"/>
        <v>14</v>
      </c>
      <c r="BA35" s="95">
        <f t="shared" si="24"/>
        <v>1.5151515151515152E-2</v>
      </c>
      <c r="BB35" s="95">
        <f t="shared" si="25"/>
        <v>0.17499999999999999</v>
      </c>
    </row>
    <row r="36" spans="1:54" x14ac:dyDescent="0.35">
      <c r="A36" s="8" t="s">
        <v>43</v>
      </c>
      <c r="B36" s="94">
        <f>'2018-19_working'!B36+'2018-19_working'!C36</f>
        <v>0</v>
      </c>
      <c r="C36" s="94">
        <f>'2018-19_working'!D36</f>
        <v>0</v>
      </c>
      <c r="D36" s="94">
        <f>'2018-19_working'!E36</f>
        <v>0</v>
      </c>
      <c r="E36" s="94">
        <f>'2018-19_working'!F36</f>
        <v>0</v>
      </c>
      <c r="F36" s="94">
        <f>'2018-19_working'!G36+'2018-19_working'!H36</f>
        <v>0</v>
      </c>
      <c r="G36" s="94">
        <f>'2018-19_working'!I36</f>
        <v>0</v>
      </c>
      <c r="H36" s="95" t="str">
        <f t="shared" si="2"/>
        <v>-</v>
      </c>
      <c r="I36" s="95" t="str">
        <f t="shared" si="3"/>
        <v>-</v>
      </c>
      <c r="J36" s="94"/>
      <c r="K36" s="94">
        <f>'2018-19_working'!K36+'2018-19_working'!L36</f>
        <v>0</v>
      </c>
      <c r="L36" s="94">
        <f>'2018-19_working'!M36</f>
        <v>0</v>
      </c>
      <c r="M36" s="94">
        <f>'2018-19_working'!N36</f>
        <v>0</v>
      </c>
      <c r="N36" s="94">
        <f>'2018-19_working'!O36</f>
        <v>0</v>
      </c>
      <c r="O36" s="94">
        <f>'2018-19_working'!P36+'2018-19_working'!Q36</f>
        <v>0</v>
      </c>
      <c r="P36" s="94">
        <f>'2018-19_working'!R36</f>
        <v>0</v>
      </c>
      <c r="Q36" s="95" t="str">
        <f t="shared" si="4"/>
        <v>-</v>
      </c>
      <c r="R36" s="95" t="str">
        <f t="shared" si="5"/>
        <v>-</v>
      </c>
      <c r="S36" s="94"/>
      <c r="T36" s="94">
        <f t="shared" si="6"/>
        <v>0</v>
      </c>
      <c r="U36" s="94">
        <f t="shared" si="7"/>
        <v>0</v>
      </c>
      <c r="V36" s="94">
        <f t="shared" si="8"/>
        <v>0</v>
      </c>
      <c r="W36" s="94">
        <f t="shared" si="9"/>
        <v>0</v>
      </c>
      <c r="X36" s="94">
        <f t="shared" si="10"/>
        <v>0</v>
      </c>
      <c r="Y36" s="94">
        <f t="shared" si="11"/>
        <v>0</v>
      </c>
      <c r="Z36" s="95" t="str">
        <f t="shared" si="12"/>
        <v>-</v>
      </c>
      <c r="AA36" s="95" t="str">
        <f t="shared" si="13"/>
        <v>-</v>
      </c>
      <c r="AB36" s="94"/>
      <c r="AC36" s="94">
        <f>'2018-19_working'!T36+'2018-19_working'!U36</f>
        <v>5</v>
      </c>
      <c r="AD36" s="94">
        <f>'2018-19_working'!V36</f>
        <v>0</v>
      </c>
      <c r="AE36" s="94">
        <f>'2018-19_working'!W36</f>
        <v>0</v>
      </c>
      <c r="AF36" s="94">
        <f>'2018-19_working'!X36</f>
        <v>0</v>
      </c>
      <c r="AG36" s="94">
        <f>'2018-19_working'!Y36+'2018-19_working'!Z36</f>
        <v>2</v>
      </c>
      <c r="AH36" s="94">
        <f>'2018-19_working'!AA36</f>
        <v>0</v>
      </c>
      <c r="AI36" s="95">
        <f t="shared" si="14"/>
        <v>0.2857142857142857</v>
      </c>
      <c r="AJ36" s="95">
        <f t="shared" si="15"/>
        <v>0</v>
      </c>
      <c r="AK36" s="94"/>
      <c r="AL36" s="94">
        <f>'2018-19_working'!AC36+'2018-19_working'!AD36</f>
        <v>1</v>
      </c>
      <c r="AM36" s="94">
        <f>'2018-19_working'!AE36</f>
        <v>0</v>
      </c>
      <c r="AN36" s="94">
        <f>'2018-19_working'!AF36</f>
        <v>0</v>
      </c>
      <c r="AO36" s="94">
        <f>'2018-19_working'!AG36</f>
        <v>0</v>
      </c>
      <c r="AP36" s="94">
        <f>'2018-19_working'!AH36+'2018-19_working'!AI36</f>
        <v>0</v>
      </c>
      <c r="AQ36" s="94">
        <f>'2018-19_working'!AJ36</f>
        <v>0</v>
      </c>
      <c r="AR36" s="95">
        <f t="shared" si="16"/>
        <v>0</v>
      </c>
      <c r="AS36" s="95">
        <f t="shared" si="17"/>
        <v>0</v>
      </c>
      <c r="AT36" s="94"/>
      <c r="AU36" s="94">
        <f t="shared" si="18"/>
        <v>6</v>
      </c>
      <c r="AV36" s="94">
        <f t="shared" si="19"/>
        <v>0</v>
      </c>
      <c r="AW36" s="94">
        <f t="shared" si="20"/>
        <v>0</v>
      </c>
      <c r="AX36" s="94">
        <f t="shared" si="21"/>
        <v>0</v>
      </c>
      <c r="AY36" s="94">
        <f t="shared" si="22"/>
        <v>2</v>
      </c>
      <c r="AZ36" s="94">
        <f t="shared" si="23"/>
        <v>0</v>
      </c>
      <c r="BA36" s="95">
        <f t="shared" si="24"/>
        <v>0.25</v>
      </c>
      <c r="BB36" s="95">
        <f t="shared" si="25"/>
        <v>0</v>
      </c>
    </row>
    <row r="37" spans="1:54" x14ac:dyDescent="0.35">
      <c r="A37" s="8" t="s">
        <v>44</v>
      </c>
      <c r="B37" s="94">
        <f>'2018-19_working'!B37+'2018-19_working'!C37</f>
        <v>25</v>
      </c>
      <c r="C37" s="94">
        <f>'2018-19_working'!D37</f>
        <v>0</v>
      </c>
      <c r="D37" s="94">
        <f>'2018-19_working'!E37</f>
        <v>0</v>
      </c>
      <c r="E37" s="94">
        <f>'2018-19_working'!F37</f>
        <v>0</v>
      </c>
      <c r="F37" s="94">
        <f>'2018-19_working'!G37+'2018-19_working'!H37</f>
        <v>0</v>
      </c>
      <c r="G37" s="94">
        <f>'2018-19_working'!I37</f>
        <v>5</v>
      </c>
      <c r="H37" s="95">
        <f t="shared" si="2"/>
        <v>0</v>
      </c>
      <c r="I37" s="95">
        <f t="shared" si="3"/>
        <v>0.16666666666666666</v>
      </c>
      <c r="J37" s="94"/>
      <c r="K37" s="94">
        <f>'2018-19_working'!K37+'2018-19_working'!L37</f>
        <v>41</v>
      </c>
      <c r="L37" s="94">
        <f>'2018-19_working'!M37</f>
        <v>0</v>
      </c>
      <c r="M37" s="94">
        <f>'2018-19_working'!N37</f>
        <v>0</v>
      </c>
      <c r="N37" s="94">
        <f>'2018-19_working'!O37</f>
        <v>0</v>
      </c>
      <c r="O37" s="94">
        <f>'2018-19_working'!P37+'2018-19_working'!Q37</f>
        <v>0</v>
      </c>
      <c r="P37" s="94">
        <f>'2018-19_working'!R37</f>
        <v>0</v>
      </c>
      <c r="Q37" s="95">
        <f t="shared" si="4"/>
        <v>0</v>
      </c>
      <c r="R37" s="95">
        <f t="shared" si="5"/>
        <v>0</v>
      </c>
      <c r="S37" s="94"/>
      <c r="T37" s="94">
        <f t="shared" si="6"/>
        <v>66</v>
      </c>
      <c r="U37" s="94">
        <f t="shared" si="7"/>
        <v>0</v>
      </c>
      <c r="V37" s="94">
        <f t="shared" si="8"/>
        <v>0</v>
      </c>
      <c r="W37" s="94">
        <f t="shared" si="9"/>
        <v>0</v>
      </c>
      <c r="X37" s="94">
        <f t="shared" si="10"/>
        <v>0</v>
      </c>
      <c r="Y37" s="94">
        <f t="shared" si="11"/>
        <v>5</v>
      </c>
      <c r="Z37" s="95">
        <f t="shared" si="12"/>
        <v>0</v>
      </c>
      <c r="AA37" s="95">
        <f t="shared" si="13"/>
        <v>7.0422535211267609E-2</v>
      </c>
      <c r="AB37" s="94"/>
      <c r="AC37" s="94">
        <f>'2018-19_working'!T37+'2018-19_working'!U37</f>
        <v>4</v>
      </c>
      <c r="AD37" s="94">
        <f>'2018-19_working'!V37</f>
        <v>0</v>
      </c>
      <c r="AE37" s="94">
        <f>'2018-19_working'!W37</f>
        <v>0</v>
      </c>
      <c r="AF37" s="94">
        <f>'2018-19_working'!X37</f>
        <v>0</v>
      </c>
      <c r="AG37" s="94">
        <f>'2018-19_working'!Y37+'2018-19_working'!Z37</f>
        <v>0</v>
      </c>
      <c r="AH37" s="94">
        <f>'2018-19_working'!AA37</f>
        <v>0</v>
      </c>
      <c r="AI37" s="95">
        <f t="shared" si="14"/>
        <v>0</v>
      </c>
      <c r="AJ37" s="95">
        <f t="shared" si="15"/>
        <v>0</v>
      </c>
      <c r="AK37" s="94"/>
      <c r="AL37" s="94">
        <f>'2018-19_working'!AC37+'2018-19_working'!AD37</f>
        <v>18</v>
      </c>
      <c r="AM37" s="94">
        <f>'2018-19_working'!AE37</f>
        <v>0</v>
      </c>
      <c r="AN37" s="94">
        <f>'2018-19_working'!AF37</f>
        <v>0</v>
      </c>
      <c r="AO37" s="94">
        <f>'2018-19_working'!AG37</f>
        <v>0</v>
      </c>
      <c r="AP37" s="94">
        <f>'2018-19_working'!AH37+'2018-19_working'!AI37</f>
        <v>0</v>
      </c>
      <c r="AQ37" s="94">
        <f>'2018-19_working'!AJ37</f>
        <v>0</v>
      </c>
      <c r="AR37" s="95">
        <f t="shared" si="16"/>
        <v>0</v>
      </c>
      <c r="AS37" s="95">
        <f t="shared" si="17"/>
        <v>0</v>
      </c>
      <c r="AT37" s="94"/>
      <c r="AU37" s="94">
        <f t="shared" si="18"/>
        <v>88</v>
      </c>
      <c r="AV37" s="94">
        <f t="shared" si="19"/>
        <v>0</v>
      </c>
      <c r="AW37" s="94">
        <f t="shared" si="20"/>
        <v>0</v>
      </c>
      <c r="AX37" s="94">
        <f t="shared" si="21"/>
        <v>0</v>
      </c>
      <c r="AY37" s="94">
        <f t="shared" si="22"/>
        <v>0</v>
      </c>
      <c r="AZ37" s="94">
        <f t="shared" si="23"/>
        <v>5</v>
      </c>
      <c r="BA37" s="95">
        <f t="shared" si="24"/>
        <v>0</v>
      </c>
      <c r="BB37" s="95">
        <f t="shared" si="25"/>
        <v>5.3763440860215055E-2</v>
      </c>
    </row>
    <row r="38" spans="1:54" x14ac:dyDescent="0.35">
      <c r="A38" s="8" t="s">
        <v>45</v>
      </c>
      <c r="B38" s="94">
        <f>'2018-19_working'!B38+'2018-19_working'!C38</f>
        <v>1</v>
      </c>
      <c r="C38" s="94">
        <f>'2018-19_working'!D38</f>
        <v>0</v>
      </c>
      <c r="D38" s="94">
        <f>'2018-19_working'!E38</f>
        <v>0</v>
      </c>
      <c r="E38" s="94">
        <f>'2018-19_working'!F38</f>
        <v>0</v>
      </c>
      <c r="F38" s="94">
        <f>'2018-19_working'!G38+'2018-19_working'!H38</f>
        <v>0</v>
      </c>
      <c r="G38" s="94">
        <f>'2018-19_working'!I38</f>
        <v>8</v>
      </c>
      <c r="H38" s="95">
        <f t="shared" si="2"/>
        <v>0</v>
      </c>
      <c r="I38" s="95">
        <f t="shared" si="3"/>
        <v>0.88888888888888884</v>
      </c>
      <c r="J38" s="94"/>
      <c r="K38" s="94">
        <f>'2018-19_working'!K38+'2018-19_working'!L38</f>
        <v>0</v>
      </c>
      <c r="L38" s="94">
        <f>'2018-19_working'!M38</f>
        <v>0</v>
      </c>
      <c r="M38" s="94">
        <f>'2018-19_working'!N38</f>
        <v>0</v>
      </c>
      <c r="N38" s="94">
        <f>'2018-19_working'!O38</f>
        <v>0</v>
      </c>
      <c r="O38" s="94">
        <f>'2018-19_working'!P38+'2018-19_working'!Q38</f>
        <v>0</v>
      </c>
      <c r="P38" s="94">
        <f>'2018-19_working'!R38</f>
        <v>48</v>
      </c>
      <c r="Q38" s="95" t="str">
        <f t="shared" si="4"/>
        <v>-</v>
      </c>
      <c r="R38" s="95">
        <f t="shared" si="5"/>
        <v>1</v>
      </c>
      <c r="S38" s="94"/>
      <c r="T38" s="94">
        <f t="shared" si="6"/>
        <v>1</v>
      </c>
      <c r="U38" s="94">
        <f t="shared" si="7"/>
        <v>0</v>
      </c>
      <c r="V38" s="94">
        <f t="shared" si="8"/>
        <v>0</v>
      </c>
      <c r="W38" s="94">
        <f t="shared" si="9"/>
        <v>0</v>
      </c>
      <c r="X38" s="94">
        <f t="shared" si="10"/>
        <v>0</v>
      </c>
      <c r="Y38" s="94">
        <f t="shared" si="11"/>
        <v>56</v>
      </c>
      <c r="Z38" s="95">
        <f t="shared" si="12"/>
        <v>0</v>
      </c>
      <c r="AA38" s="95">
        <f t="shared" si="13"/>
        <v>0.98245614035087714</v>
      </c>
      <c r="AB38" s="94"/>
      <c r="AC38" s="94">
        <f>'2018-19_working'!T38+'2018-19_working'!U38</f>
        <v>3</v>
      </c>
      <c r="AD38" s="94">
        <f>'2018-19_working'!V38</f>
        <v>0</v>
      </c>
      <c r="AE38" s="94">
        <f>'2018-19_working'!W38</f>
        <v>0</v>
      </c>
      <c r="AF38" s="94">
        <f>'2018-19_working'!X38</f>
        <v>0</v>
      </c>
      <c r="AG38" s="94">
        <f>'2018-19_working'!Y38+'2018-19_working'!Z38</f>
        <v>0</v>
      </c>
      <c r="AH38" s="94">
        <f>'2018-19_working'!AA38</f>
        <v>1</v>
      </c>
      <c r="AI38" s="95">
        <f t="shared" si="14"/>
        <v>0</v>
      </c>
      <c r="AJ38" s="95">
        <f t="shared" si="15"/>
        <v>0.25</v>
      </c>
      <c r="AK38" s="94"/>
      <c r="AL38" s="94">
        <f>'2018-19_working'!AC38+'2018-19_working'!AD38</f>
        <v>3</v>
      </c>
      <c r="AM38" s="94">
        <f>'2018-19_working'!AE38</f>
        <v>0</v>
      </c>
      <c r="AN38" s="94">
        <f>'2018-19_working'!AF38</f>
        <v>0</v>
      </c>
      <c r="AO38" s="94">
        <f>'2018-19_working'!AG38</f>
        <v>0</v>
      </c>
      <c r="AP38" s="94">
        <f>'2018-19_working'!AH38+'2018-19_working'!AI38</f>
        <v>0</v>
      </c>
      <c r="AQ38" s="94">
        <f>'2018-19_working'!AJ38</f>
        <v>6</v>
      </c>
      <c r="AR38" s="95">
        <f t="shared" si="16"/>
        <v>0</v>
      </c>
      <c r="AS38" s="95">
        <f t="shared" si="17"/>
        <v>0.66666666666666663</v>
      </c>
      <c r="AT38" s="94"/>
      <c r="AU38" s="94">
        <f t="shared" si="18"/>
        <v>7</v>
      </c>
      <c r="AV38" s="94">
        <f t="shared" si="19"/>
        <v>0</v>
      </c>
      <c r="AW38" s="94">
        <f t="shared" si="20"/>
        <v>0</v>
      </c>
      <c r="AX38" s="94">
        <f t="shared" si="21"/>
        <v>0</v>
      </c>
      <c r="AY38" s="94">
        <f t="shared" si="22"/>
        <v>0</v>
      </c>
      <c r="AZ38" s="94">
        <f t="shared" si="23"/>
        <v>63</v>
      </c>
      <c r="BA38" s="95">
        <f t="shared" si="24"/>
        <v>0</v>
      </c>
      <c r="BB38" s="95">
        <f t="shared" si="25"/>
        <v>0.9</v>
      </c>
    </row>
    <row r="39" spans="1:54" x14ac:dyDescent="0.35">
      <c r="A39" s="8" t="s">
        <v>46</v>
      </c>
      <c r="B39" s="94">
        <f>'2018-19_working'!B39+'2018-19_working'!C39</f>
        <v>9</v>
      </c>
      <c r="C39" s="94">
        <f>'2018-19_working'!D39</f>
        <v>0</v>
      </c>
      <c r="D39" s="94">
        <f>'2018-19_working'!E39</f>
        <v>0</v>
      </c>
      <c r="E39" s="94">
        <f>'2018-19_working'!F39</f>
        <v>0</v>
      </c>
      <c r="F39" s="94">
        <f>'2018-19_working'!G39+'2018-19_working'!H39</f>
        <v>0</v>
      </c>
      <c r="G39" s="94">
        <f>'2018-19_working'!I39</f>
        <v>0</v>
      </c>
      <c r="H39" s="95">
        <f t="shared" si="2"/>
        <v>0</v>
      </c>
      <c r="I39" s="95">
        <f t="shared" si="3"/>
        <v>0</v>
      </c>
      <c r="J39" s="94"/>
      <c r="K39" s="94">
        <f>'2018-19_working'!K39+'2018-19_working'!L39</f>
        <v>17</v>
      </c>
      <c r="L39" s="94">
        <f>'2018-19_working'!M39</f>
        <v>0</v>
      </c>
      <c r="M39" s="94">
        <f>'2018-19_working'!N39</f>
        <v>0</v>
      </c>
      <c r="N39" s="94">
        <f>'2018-19_working'!O39</f>
        <v>0</v>
      </c>
      <c r="O39" s="94">
        <f>'2018-19_working'!P39+'2018-19_working'!Q39</f>
        <v>0</v>
      </c>
      <c r="P39" s="94">
        <f>'2018-19_working'!R39</f>
        <v>2</v>
      </c>
      <c r="Q39" s="95">
        <f t="shared" si="4"/>
        <v>0</v>
      </c>
      <c r="R39" s="95">
        <f t="shared" si="5"/>
        <v>0.10526315789473684</v>
      </c>
      <c r="S39" s="94"/>
      <c r="T39" s="94">
        <f t="shared" si="6"/>
        <v>26</v>
      </c>
      <c r="U39" s="94">
        <f t="shared" si="7"/>
        <v>0</v>
      </c>
      <c r="V39" s="94">
        <f t="shared" si="8"/>
        <v>0</v>
      </c>
      <c r="W39" s="94">
        <f t="shared" si="9"/>
        <v>0</v>
      </c>
      <c r="X39" s="94">
        <f t="shared" si="10"/>
        <v>0</v>
      </c>
      <c r="Y39" s="94">
        <f t="shared" si="11"/>
        <v>2</v>
      </c>
      <c r="Z39" s="95">
        <f t="shared" si="12"/>
        <v>0</v>
      </c>
      <c r="AA39" s="95">
        <f t="shared" si="13"/>
        <v>7.1428571428571425E-2</v>
      </c>
      <c r="AB39" s="94"/>
      <c r="AC39" s="94">
        <f>'2018-19_working'!T39+'2018-19_working'!U39</f>
        <v>0</v>
      </c>
      <c r="AD39" s="94">
        <f>'2018-19_working'!V39</f>
        <v>0</v>
      </c>
      <c r="AE39" s="94">
        <f>'2018-19_working'!W39</f>
        <v>0</v>
      </c>
      <c r="AF39" s="94">
        <f>'2018-19_working'!X39</f>
        <v>0</v>
      </c>
      <c r="AG39" s="94">
        <f>'2018-19_working'!Y39+'2018-19_working'!Z39</f>
        <v>0</v>
      </c>
      <c r="AH39" s="94">
        <f>'2018-19_working'!AA39</f>
        <v>0</v>
      </c>
      <c r="AI39" s="95" t="str">
        <f t="shared" si="14"/>
        <v>-</v>
      </c>
      <c r="AJ39" s="95" t="str">
        <f t="shared" si="15"/>
        <v>-</v>
      </c>
      <c r="AK39" s="94"/>
      <c r="AL39" s="94">
        <f>'2018-19_working'!AC39+'2018-19_working'!AD39</f>
        <v>1</v>
      </c>
      <c r="AM39" s="94">
        <f>'2018-19_working'!AE39</f>
        <v>0</v>
      </c>
      <c r="AN39" s="94">
        <f>'2018-19_working'!AF39</f>
        <v>0</v>
      </c>
      <c r="AO39" s="94">
        <f>'2018-19_working'!AG39</f>
        <v>0</v>
      </c>
      <c r="AP39" s="94">
        <f>'2018-19_working'!AH39+'2018-19_working'!AI39</f>
        <v>0</v>
      </c>
      <c r="AQ39" s="94">
        <f>'2018-19_working'!AJ39</f>
        <v>0</v>
      </c>
      <c r="AR39" s="95">
        <f t="shared" si="16"/>
        <v>0</v>
      </c>
      <c r="AS39" s="95">
        <f t="shared" si="17"/>
        <v>0</v>
      </c>
      <c r="AT39" s="94"/>
      <c r="AU39" s="94">
        <f t="shared" si="18"/>
        <v>27</v>
      </c>
      <c r="AV39" s="94">
        <f t="shared" si="19"/>
        <v>0</v>
      </c>
      <c r="AW39" s="94">
        <f t="shared" si="20"/>
        <v>0</v>
      </c>
      <c r="AX39" s="94">
        <f t="shared" si="21"/>
        <v>0</v>
      </c>
      <c r="AY39" s="94">
        <f t="shared" si="22"/>
        <v>0</v>
      </c>
      <c r="AZ39" s="94">
        <f t="shared" si="23"/>
        <v>2</v>
      </c>
      <c r="BA39" s="95">
        <f t="shared" si="24"/>
        <v>0</v>
      </c>
      <c r="BB39" s="95">
        <f t="shared" si="25"/>
        <v>6.8965517241379309E-2</v>
      </c>
    </row>
    <row r="40" spans="1:54" x14ac:dyDescent="0.35">
      <c r="A40" s="8" t="s">
        <v>47</v>
      </c>
      <c r="B40" s="94">
        <f>'2018-19_working'!B40+'2018-19_working'!C40</f>
        <v>24</v>
      </c>
      <c r="C40" s="94">
        <f>'2018-19_working'!D40</f>
        <v>5</v>
      </c>
      <c r="D40" s="94">
        <f>'2018-19_working'!E40</f>
        <v>1</v>
      </c>
      <c r="E40" s="94">
        <f>'2018-19_working'!F40</f>
        <v>0</v>
      </c>
      <c r="F40" s="94">
        <f>'2018-19_working'!G40+'2018-19_working'!H40</f>
        <v>0</v>
      </c>
      <c r="G40" s="94">
        <f>'2018-19_working'!I40</f>
        <v>0</v>
      </c>
      <c r="H40" s="95">
        <f t="shared" si="2"/>
        <v>0.2</v>
      </c>
      <c r="I40" s="95">
        <f t="shared" si="3"/>
        <v>0</v>
      </c>
      <c r="J40" s="94"/>
      <c r="K40" s="94">
        <f>'2018-19_working'!K40+'2018-19_working'!L40</f>
        <v>25</v>
      </c>
      <c r="L40" s="94">
        <f>'2018-19_working'!M40</f>
        <v>0</v>
      </c>
      <c r="M40" s="94">
        <f>'2018-19_working'!N40</f>
        <v>0</v>
      </c>
      <c r="N40" s="94">
        <f>'2018-19_working'!O40</f>
        <v>0</v>
      </c>
      <c r="O40" s="94">
        <f>'2018-19_working'!P40+'2018-19_working'!Q40</f>
        <v>0</v>
      </c>
      <c r="P40" s="94">
        <f>'2018-19_working'!R40</f>
        <v>0</v>
      </c>
      <c r="Q40" s="95">
        <f t="shared" si="4"/>
        <v>0</v>
      </c>
      <c r="R40" s="95">
        <f t="shared" si="5"/>
        <v>0</v>
      </c>
      <c r="S40" s="94"/>
      <c r="T40" s="94">
        <f t="shared" si="6"/>
        <v>49</v>
      </c>
      <c r="U40" s="94">
        <f t="shared" si="7"/>
        <v>5</v>
      </c>
      <c r="V40" s="94">
        <f t="shared" si="8"/>
        <v>1</v>
      </c>
      <c r="W40" s="94">
        <f t="shared" si="9"/>
        <v>0</v>
      </c>
      <c r="X40" s="94">
        <f t="shared" si="10"/>
        <v>0</v>
      </c>
      <c r="Y40" s="94">
        <f t="shared" si="11"/>
        <v>0</v>
      </c>
      <c r="Z40" s="95">
        <f t="shared" si="12"/>
        <v>0.10909090909090909</v>
      </c>
      <c r="AA40" s="95">
        <f t="shared" si="13"/>
        <v>0</v>
      </c>
      <c r="AB40" s="94"/>
      <c r="AC40" s="94">
        <f>'2018-19_working'!T40+'2018-19_working'!U40</f>
        <v>0</v>
      </c>
      <c r="AD40" s="94">
        <f>'2018-19_working'!V40</f>
        <v>0</v>
      </c>
      <c r="AE40" s="94">
        <f>'2018-19_working'!W40</f>
        <v>0</v>
      </c>
      <c r="AF40" s="94">
        <f>'2018-19_working'!X40</f>
        <v>0</v>
      </c>
      <c r="AG40" s="94">
        <f>'2018-19_working'!Y40+'2018-19_working'!Z40</f>
        <v>0</v>
      </c>
      <c r="AH40" s="94">
        <f>'2018-19_working'!AA40</f>
        <v>0</v>
      </c>
      <c r="AI40" s="95" t="str">
        <f t="shared" si="14"/>
        <v>-</v>
      </c>
      <c r="AJ40" s="95" t="str">
        <f t="shared" si="15"/>
        <v>-</v>
      </c>
      <c r="AK40" s="94"/>
      <c r="AL40" s="94">
        <f>'2018-19_working'!AC40+'2018-19_working'!AD40</f>
        <v>3</v>
      </c>
      <c r="AM40" s="94">
        <f>'2018-19_working'!AE40</f>
        <v>0</v>
      </c>
      <c r="AN40" s="94">
        <f>'2018-19_working'!AF40</f>
        <v>0</v>
      </c>
      <c r="AO40" s="94">
        <f>'2018-19_working'!AG40</f>
        <v>1</v>
      </c>
      <c r="AP40" s="94">
        <f>'2018-19_working'!AH40+'2018-19_working'!AI40</f>
        <v>0</v>
      </c>
      <c r="AQ40" s="94">
        <f>'2018-19_working'!AJ40</f>
        <v>5</v>
      </c>
      <c r="AR40" s="95">
        <f t="shared" si="16"/>
        <v>0.25</v>
      </c>
      <c r="AS40" s="95">
        <f t="shared" si="17"/>
        <v>0.55555555555555558</v>
      </c>
      <c r="AT40" s="94"/>
      <c r="AU40" s="94">
        <f t="shared" si="18"/>
        <v>52</v>
      </c>
      <c r="AV40" s="94">
        <f t="shared" si="19"/>
        <v>5</v>
      </c>
      <c r="AW40" s="94">
        <f t="shared" si="20"/>
        <v>1</v>
      </c>
      <c r="AX40" s="94">
        <f t="shared" si="21"/>
        <v>1</v>
      </c>
      <c r="AY40" s="94">
        <f t="shared" si="22"/>
        <v>0</v>
      </c>
      <c r="AZ40" s="94">
        <f t="shared" si="23"/>
        <v>5</v>
      </c>
      <c r="BA40" s="95">
        <f t="shared" si="24"/>
        <v>0.11864406779661017</v>
      </c>
      <c r="BB40" s="95">
        <f t="shared" si="25"/>
        <v>7.8125E-2</v>
      </c>
    </row>
    <row r="41" spans="1:54" x14ac:dyDescent="0.35">
      <c r="A41" s="8" t="s">
        <v>48</v>
      </c>
      <c r="B41" s="94">
        <f>'2018-19_working'!B41+'2018-19_working'!C41</f>
        <v>2</v>
      </c>
      <c r="C41" s="94">
        <f>'2018-19_working'!D41</f>
        <v>0</v>
      </c>
      <c r="D41" s="94">
        <f>'2018-19_working'!E41</f>
        <v>0</v>
      </c>
      <c r="E41" s="94">
        <f>'2018-19_working'!F41</f>
        <v>0</v>
      </c>
      <c r="F41" s="94">
        <f>'2018-19_working'!G41+'2018-19_working'!H41</f>
        <v>0</v>
      </c>
      <c r="G41" s="94">
        <f>'2018-19_working'!I41</f>
        <v>6</v>
      </c>
      <c r="H41" s="95">
        <f t="shared" si="2"/>
        <v>0</v>
      </c>
      <c r="I41" s="95">
        <f t="shared" si="3"/>
        <v>0.75</v>
      </c>
      <c r="J41" s="94"/>
      <c r="K41" s="94">
        <f>'2018-19_working'!K41+'2018-19_working'!L41</f>
        <v>35</v>
      </c>
      <c r="L41" s="94">
        <f>'2018-19_working'!M41</f>
        <v>1</v>
      </c>
      <c r="M41" s="94">
        <f>'2018-19_working'!N41</f>
        <v>0</v>
      </c>
      <c r="N41" s="94">
        <f>'2018-19_working'!O41</f>
        <v>1</v>
      </c>
      <c r="O41" s="94">
        <f>'2018-19_working'!P41+'2018-19_working'!Q41</f>
        <v>0</v>
      </c>
      <c r="P41" s="94">
        <f>'2018-19_working'!R41</f>
        <v>19</v>
      </c>
      <c r="Q41" s="95">
        <f t="shared" si="4"/>
        <v>5.4054054054054057E-2</v>
      </c>
      <c r="R41" s="95">
        <f t="shared" si="5"/>
        <v>0.3392857142857143</v>
      </c>
      <c r="S41" s="94"/>
      <c r="T41" s="94">
        <f t="shared" si="6"/>
        <v>37</v>
      </c>
      <c r="U41" s="94">
        <f t="shared" si="7"/>
        <v>1</v>
      </c>
      <c r="V41" s="94">
        <f t="shared" si="8"/>
        <v>0</v>
      </c>
      <c r="W41" s="94">
        <f t="shared" si="9"/>
        <v>1</v>
      </c>
      <c r="X41" s="94">
        <f t="shared" si="10"/>
        <v>0</v>
      </c>
      <c r="Y41" s="94">
        <f t="shared" si="11"/>
        <v>25</v>
      </c>
      <c r="Z41" s="95">
        <f t="shared" si="12"/>
        <v>5.128205128205128E-2</v>
      </c>
      <c r="AA41" s="95">
        <f t="shared" si="13"/>
        <v>0.390625</v>
      </c>
      <c r="AB41" s="94"/>
      <c r="AC41" s="94">
        <f>'2018-19_working'!T41+'2018-19_working'!U41</f>
        <v>0</v>
      </c>
      <c r="AD41" s="94">
        <f>'2018-19_working'!V41</f>
        <v>0</v>
      </c>
      <c r="AE41" s="94">
        <f>'2018-19_working'!W41</f>
        <v>0</v>
      </c>
      <c r="AF41" s="94">
        <f>'2018-19_working'!X41</f>
        <v>0</v>
      </c>
      <c r="AG41" s="94">
        <f>'2018-19_working'!Y41+'2018-19_working'!Z41</f>
        <v>0</v>
      </c>
      <c r="AH41" s="94">
        <f>'2018-19_working'!AA41</f>
        <v>0</v>
      </c>
      <c r="AI41" s="95" t="str">
        <f t="shared" si="14"/>
        <v>-</v>
      </c>
      <c r="AJ41" s="95" t="str">
        <f t="shared" si="15"/>
        <v>-</v>
      </c>
      <c r="AK41" s="94"/>
      <c r="AL41" s="94">
        <f>'2018-19_working'!AC41+'2018-19_working'!AD41</f>
        <v>8</v>
      </c>
      <c r="AM41" s="94">
        <f>'2018-19_working'!AE41</f>
        <v>0</v>
      </c>
      <c r="AN41" s="94">
        <f>'2018-19_working'!AF41</f>
        <v>0</v>
      </c>
      <c r="AO41" s="94">
        <f>'2018-19_working'!AG41</f>
        <v>0</v>
      </c>
      <c r="AP41" s="94">
        <f>'2018-19_working'!AH41+'2018-19_working'!AI41</f>
        <v>0</v>
      </c>
      <c r="AQ41" s="94">
        <f>'2018-19_working'!AJ41</f>
        <v>1</v>
      </c>
      <c r="AR41" s="95">
        <f t="shared" si="16"/>
        <v>0</v>
      </c>
      <c r="AS41" s="95">
        <f t="shared" si="17"/>
        <v>0.1111111111111111</v>
      </c>
      <c r="AT41" s="94"/>
      <c r="AU41" s="94">
        <f t="shared" si="18"/>
        <v>45</v>
      </c>
      <c r="AV41" s="94">
        <f t="shared" si="19"/>
        <v>1</v>
      </c>
      <c r="AW41" s="94">
        <f t="shared" si="20"/>
        <v>0</v>
      </c>
      <c r="AX41" s="94">
        <f t="shared" si="21"/>
        <v>1</v>
      </c>
      <c r="AY41" s="94">
        <f t="shared" si="22"/>
        <v>0</v>
      </c>
      <c r="AZ41" s="94">
        <f t="shared" si="23"/>
        <v>26</v>
      </c>
      <c r="BA41" s="95">
        <f t="shared" si="24"/>
        <v>4.2553191489361701E-2</v>
      </c>
      <c r="BB41" s="95">
        <f t="shared" si="25"/>
        <v>0.35616438356164382</v>
      </c>
    </row>
    <row r="42" spans="1:54" x14ac:dyDescent="0.35">
      <c r="A42" s="8" t="s">
        <v>49</v>
      </c>
      <c r="B42" s="94">
        <f>'2018-19_working'!B42+'2018-19_working'!C42</f>
        <v>11</v>
      </c>
      <c r="C42" s="94">
        <f>'2018-19_working'!D42</f>
        <v>0</v>
      </c>
      <c r="D42" s="94">
        <f>'2018-19_working'!E42</f>
        <v>0</v>
      </c>
      <c r="E42" s="94">
        <f>'2018-19_working'!F42</f>
        <v>0</v>
      </c>
      <c r="F42" s="94">
        <f>'2018-19_working'!G42+'2018-19_working'!H42</f>
        <v>1</v>
      </c>
      <c r="G42" s="94">
        <f>'2018-19_working'!I42</f>
        <v>0</v>
      </c>
      <c r="H42" s="95">
        <f t="shared" si="2"/>
        <v>8.3333333333333329E-2</v>
      </c>
      <c r="I42" s="95">
        <f t="shared" si="3"/>
        <v>0</v>
      </c>
      <c r="J42" s="94"/>
      <c r="K42" s="94">
        <f>'2018-19_working'!K42+'2018-19_working'!L42</f>
        <v>21</v>
      </c>
      <c r="L42" s="94">
        <f>'2018-19_working'!M42</f>
        <v>0</v>
      </c>
      <c r="M42" s="94">
        <f>'2018-19_working'!N42</f>
        <v>0</v>
      </c>
      <c r="N42" s="94">
        <f>'2018-19_working'!O42</f>
        <v>0</v>
      </c>
      <c r="O42" s="94">
        <f>'2018-19_working'!P42+'2018-19_working'!Q42</f>
        <v>1</v>
      </c>
      <c r="P42" s="94">
        <f>'2018-19_working'!R42</f>
        <v>6</v>
      </c>
      <c r="Q42" s="95">
        <f t="shared" si="4"/>
        <v>4.5454545454545456E-2</v>
      </c>
      <c r="R42" s="95">
        <f t="shared" si="5"/>
        <v>0.21428571428571427</v>
      </c>
      <c r="S42" s="94"/>
      <c r="T42" s="94">
        <f t="shared" si="6"/>
        <v>32</v>
      </c>
      <c r="U42" s="94">
        <f t="shared" si="7"/>
        <v>0</v>
      </c>
      <c r="V42" s="94">
        <f t="shared" si="8"/>
        <v>0</v>
      </c>
      <c r="W42" s="94">
        <f t="shared" si="9"/>
        <v>0</v>
      </c>
      <c r="X42" s="94">
        <f t="shared" si="10"/>
        <v>2</v>
      </c>
      <c r="Y42" s="94">
        <f t="shared" si="11"/>
        <v>6</v>
      </c>
      <c r="Z42" s="95">
        <f t="shared" si="12"/>
        <v>5.8823529411764705E-2</v>
      </c>
      <c r="AA42" s="95">
        <f t="shared" si="13"/>
        <v>0.15</v>
      </c>
      <c r="AB42" s="94"/>
      <c r="AC42" s="94">
        <f>'2018-19_working'!T42+'2018-19_working'!U42</f>
        <v>1</v>
      </c>
      <c r="AD42" s="94">
        <f>'2018-19_working'!V42</f>
        <v>0</v>
      </c>
      <c r="AE42" s="94">
        <f>'2018-19_working'!W42</f>
        <v>0</v>
      </c>
      <c r="AF42" s="94">
        <f>'2018-19_working'!X42</f>
        <v>0</v>
      </c>
      <c r="AG42" s="94">
        <f>'2018-19_working'!Y42+'2018-19_working'!Z42</f>
        <v>0</v>
      </c>
      <c r="AH42" s="94">
        <f>'2018-19_working'!AA42</f>
        <v>1</v>
      </c>
      <c r="AI42" s="95">
        <f t="shared" si="14"/>
        <v>0</v>
      </c>
      <c r="AJ42" s="95">
        <f t="shared" si="15"/>
        <v>0.5</v>
      </c>
      <c r="AK42" s="94"/>
      <c r="AL42" s="94">
        <f>'2018-19_working'!AC42+'2018-19_working'!AD42</f>
        <v>6</v>
      </c>
      <c r="AM42" s="94">
        <f>'2018-19_working'!AE42</f>
        <v>0</v>
      </c>
      <c r="AN42" s="94">
        <f>'2018-19_working'!AF42</f>
        <v>0</v>
      </c>
      <c r="AO42" s="94">
        <f>'2018-19_working'!AG42</f>
        <v>0</v>
      </c>
      <c r="AP42" s="94">
        <f>'2018-19_working'!AH42+'2018-19_working'!AI42</f>
        <v>1</v>
      </c>
      <c r="AQ42" s="94">
        <f>'2018-19_working'!AJ42</f>
        <v>1</v>
      </c>
      <c r="AR42" s="95">
        <f t="shared" si="16"/>
        <v>0.14285714285714285</v>
      </c>
      <c r="AS42" s="95">
        <f t="shared" si="17"/>
        <v>0.125</v>
      </c>
      <c r="AT42" s="94"/>
      <c r="AU42" s="94">
        <f t="shared" si="18"/>
        <v>39</v>
      </c>
      <c r="AV42" s="94">
        <f t="shared" si="19"/>
        <v>0</v>
      </c>
      <c r="AW42" s="94">
        <f t="shared" si="20"/>
        <v>0</v>
      </c>
      <c r="AX42" s="94">
        <f t="shared" si="21"/>
        <v>0</v>
      </c>
      <c r="AY42" s="94">
        <f t="shared" si="22"/>
        <v>3</v>
      </c>
      <c r="AZ42" s="94">
        <f t="shared" si="23"/>
        <v>8</v>
      </c>
      <c r="BA42" s="95">
        <f t="shared" si="24"/>
        <v>7.1428571428571425E-2</v>
      </c>
      <c r="BB42" s="95">
        <f t="shared" si="25"/>
        <v>0.16</v>
      </c>
    </row>
    <row r="43" spans="1:54" x14ac:dyDescent="0.35">
      <c r="A43" s="8" t="s">
        <v>50</v>
      </c>
      <c r="B43" s="94">
        <f>'2018-19_working'!B43+'2018-19_working'!C43</f>
        <v>12</v>
      </c>
      <c r="C43" s="94">
        <f>'2018-19_working'!D43</f>
        <v>0</v>
      </c>
      <c r="D43" s="94">
        <f>'2018-19_working'!E43</f>
        <v>0</v>
      </c>
      <c r="E43" s="94">
        <f>'2018-19_working'!F43</f>
        <v>1</v>
      </c>
      <c r="F43" s="94">
        <f>'2018-19_working'!G43+'2018-19_working'!H43</f>
        <v>0</v>
      </c>
      <c r="G43" s="94">
        <f>'2018-19_working'!I43</f>
        <v>0</v>
      </c>
      <c r="H43" s="95">
        <f t="shared" si="2"/>
        <v>7.6923076923076927E-2</v>
      </c>
      <c r="I43" s="95">
        <f t="shared" si="3"/>
        <v>0</v>
      </c>
      <c r="J43" s="94"/>
      <c r="K43" s="94">
        <f>'2018-19_working'!K43+'2018-19_working'!L43</f>
        <v>42</v>
      </c>
      <c r="L43" s="94">
        <f>'2018-19_working'!M43</f>
        <v>0</v>
      </c>
      <c r="M43" s="94">
        <f>'2018-19_working'!N43</f>
        <v>0</v>
      </c>
      <c r="N43" s="94">
        <f>'2018-19_working'!O43</f>
        <v>2</v>
      </c>
      <c r="O43" s="94">
        <f>'2018-19_working'!P43+'2018-19_working'!Q43</f>
        <v>0</v>
      </c>
      <c r="P43" s="94">
        <f>'2018-19_working'!R43</f>
        <v>0</v>
      </c>
      <c r="Q43" s="95">
        <f t="shared" si="4"/>
        <v>4.5454545454545456E-2</v>
      </c>
      <c r="R43" s="95">
        <f t="shared" si="5"/>
        <v>0</v>
      </c>
      <c r="S43" s="94"/>
      <c r="T43" s="94">
        <f t="shared" si="6"/>
        <v>54</v>
      </c>
      <c r="U43" s="94">
        <f t="shared" si="7"/>
        <v>0</v>
      </c>
      <c r="V43" s="94">
        <f t="shared" si="8"/>
        <v>0</v>
      </c>
      <c r="W43" s="94">
        <f t="shared" si="9"/>
        <v>3</v>
      </c>
      <c r="X43" s="94">
        <f t="shared" si="10"/>
        <v>0</v>
      </c>
      <c r="Y43" s="94">
        <f t="shared" si="11"/>
        <v>0</v>
      </c>
      <c r="Z43" s="95">
        <f t="shared" si="12"/>
        <v>5.2631578947368418E-2</v>
      </c>
      <c r="AA43" s="95">
        <f t="shared" si="13"/>
        <v>0</v>
      </c>
      <c r="AB43" s="94"/>
      <c r="AC43" s="94">
        <f>'2018-19_working'!T43+'2018-19_working'!U43</f>
        <v>0</v>
      </c>
      <c r="AD43" s="94">
        <f>'2018-19_working'!V43</f>
        <v>0</v>
      </c>
      <c r="AE43" s="94">
        <f>'2018-19_working'!W43</f>
        <v>0</v>
      </c>
      <c r="AF43" s="94">
        <f>'2018-19_working'!X43</f>
        <v>0</v>
      </c>
      <c r="AG43" s="94">
        <f>'2018-19_working'!Y43+'2018-19_working'!Z43</f>
        <v>0</v>
      </c>
      <c r="AH43" s="94">
        <f>'2018-19_working'!AA43</f>
        <v>0</v>
      </c>
      <c r="AI43" s="95" t="str">
        <f t="shared" si="14"/>
        <v>-</v>
      </c>
      <c r="AJ43" s="95" t="str">
        <f t="shared" si="15"/>
        <v>-</v>
      </c>
      <c r="AK43" s="94"/>
      <c r="AL43" s="94">
        <f>'2018-19_working'!AC43+'2018-19_working'!AD43</f>
        <v>24</v>
      </c>
      <c r="AM43" s="94">
        <f>'2018-19_working'!AE43</f>
        <v>0</v>
      </c>
      <c r="AN43" s="94">
        <f>'2018-19_working'!AF43</f>
        <v>0</v>
      </c>
      <c r="AO43" s="94">
        <f>'2018-19_working'!AG43</f>
        <v>0</v>
      </c>
      <c r="AP43" s="94">
        <f>'2018-19_working'!AH43+'2018-19_working'!AI43</f>
        <v>0</v>
      </c>
      <c r="AQ43" s="94">
        <f>'2018-19_working'!AJ43</f>
        <v>0</v>
      </c>
      <c r="AR43" s="95">
        <f t="shared" si="16"/>
        <v>0</v>
      </c>
      <c r="AS43" s="95">
        <f t="shared" si="17"/>
        <v>0</v>
      </c>
      <c r="AT43" s="94"/>
      <c r="AU43" s="94">
        <f t="shared" si="18"/>
        <v>78</v>
      </c>
      <c r="AV43" s="94">
        <f t="shared" si="19"/>
        <v>0</v>
      </c>
      <c r="AW43" s="94">
        <f t="shared" si="20"/>
        <v>0</v>
      </c>
      <c r="AX43" s="94">
        <f t="shared" si="21"/>
        <v>3</v>
      </c>
      <c r="AY43" s="94">
        <f t="shared" si="22"/>
        <v>0</v>
      </c>
      <c r="AZ43" s="94">
        <f t="shared" si="23"/>
        <v>0</v>
      </c>
      <c r="BA43" s="95">
        <f t="shared" si="24"/>
        <v>3.7037037037037035E-2</v>
      </c>
      <c r="BB43" s="95">
        <f t="shared" si="25"/>
        <v>0</v>
      </c>
    </row>
    <row r="44" spans="1:54" x14ac:dyDescent="0.35">
      <c r="A44" s="8" t="s">
        <v>51</v>
      </c>
      <c r="B44" s="94">
        <f>'2018-19_working'!B44+'2018-19_working'!C44</f>
        <v>2</v>
      </c>
      <c r="C44" s="94">
        <f>'2018-19_working'!D44</f>
        <v>1</v>
      </c>
      <c r="D44" s="94">
        <f>'2018-19_working'!E44</f>
        <v>0</v>
      </c>
      <c r="E44" s="94">
        <f>'2018-19_working'!F44</f>
        <v>0</v>
      </c>
      <c r="F44" s="94">
        <f>'2018-19_working'!G44+'2018-19_working'!H44</f>
        <v>0</v>
      </c>
      <c r="G44" s="94">
        <f>'2018-19_working'!I44</f>
        <v>5</v>
      </c>
      <c r="H44" s="95">
        <f t="shared" si="2"/>
        <v>0.33333333333333331</v>
      </c>
      <c r="I44" s="95">
        <f t="shared" si="3"/>
        <v>0.625</v>
      </c>
      <c r="J44" s="94"/>
      <c r="K44" s="94">
        <f>'2018-19_working'!K44+'2018-19_working'!L44</f>
        <v>15</v>
      </c>
      <c r="L44" s="94">
        <f>'2018-19_working'!M44</f>
        <v>0</v>
      </c>
      <c r="M44" s="94">
        <f>'2018-19_working'!N44</f>
        <v>0</v>
      </c>
      <c r="N44" s="94">
        <f>'2018-19_working'!O44</f>
        <v>0</v>
      </c>
      <c r="O44" s="94">
        <f>'2018-19_working'!P44+'2018-19_working'!Q44</f>
        <v>0</v>
      </c>
      <c r="P44" s="94">
        <f>'2018-19_working'!R44</f>
        <v>31</v>
      </c>
      <c r="Q44" s="95">
        <f t="shared" si="4"/>
        <v>0</v>
      </c>
      <c r="R44" s="95">
        <f t="shared" si="5"/>
        <v>0.67391304347826086</v>
      </c>
      <c r="S44" s="94"/>
      <c r="T44" s="94">
        <f t="shared" si="6"/>
        <v>17</v>
      </c>
      <c r="U44" s="94">
        <f t="shared" si="7"/>
        <v>1</v>
      </c>
      <c r="V44" s="94">
        <f t="shared" si="8"/>
        <v>0</v>
      </c>
      <c r="W44" s="94">
        <f t="shared" si="9"/>
        <v>0</v>
      </c>
      <c r="X44" s="94">
        <f t="shared" si="10"/>
        <v>0</v>
      </c>
      <c r="Y44" s="94">
        <f t="shared" si="11"/>
        <v>36</v>
      </c>
      <c r="Z44" s="95">
        <f t="shared" si="12"/>
        <v>5.5555555555555552E-2</v>
      </c>
      <c r="AA44" s="95">
        <f t="shared" si="13"/>
        <v>0.66666666666666663</v>
      </c>
      <c r="AB44" s="94"/>
      <c r="AC44" s="94">
        <f>'2018-19_working'!T44+'2018-19_working'!U44</f>
        <v>0</v>
      </c>
      <c r="AD44" s="94">
        <f>'2018-19_working'!V44</f>
        <v>0</v>
      </c>
      <c r="AE44" s="94">
        <f>'2018-19_working'!W44</f>
        <v>0</v>
      </c>
      <c r="AF44" s="94">
        <f>'2018-19_working'!X44</f>
        <v>0</v>
      </c>
      <c r="AG44" s="94">
        <f>'2018-19_working'!Y44+'2018-19_working'!Z44</f>
        <v>0</v>
      </c>
      <c r="AH44" s="94">
        <f>'2018-19_working'!AA44</f>
        <v>0</v>
      </c>
      <c r="AI44" s="95" t="str">
        <f t="shared" si="14"/>
        <v>-</v>
      </c>
      <c r="AJ44" s="95" t="str">
        <f t="shared" si="15"/>
        <v>-</v>
      </c>
      <c r="AK44" s="94"/>
      <c r="AL44" s="94">
        <f>'2018-19_working'!AC44+'2018-19_working'!AD44</f>
        <v>4</v>
      </c>
      <c r="AM44" s="94">
        <f>'2018-19_working'!AE44</f>
        <v>0</v>
      </c>
      <c r="AN44" s="94">
        <f>'2018-19_working'!AF44</f>
        <v>0</v>
      </c>
      <c r="AO44" s="94">
        <f>'2018-19_working'!AG44</f>
        <v>0</v>
      </c>
      <c r="AP44" s="94">
        <f>'2018-19_working'!AH44+'2018-19_working'!AI44</f>
        <v>0</v>
      </c>
      <c r="AQ44" s="94">
        <f>'2018-19_working'!AJ44</f>
        <v>2</v>
      </c>
      <c r="AR44" s="95">
        <f t="shared" si="16"/>
        <v>0</v>
      </c>
      <c r="AS44" s="95">
        <f t="shared" si="17"/>
        <v>0.33333333333333331</v>
      </c>
      <c r="AT44" s="94"/>
      <c r="AU44" s="94">
        <f t="shared" si="18"/>
        <v>21</v>
      </c>
      <c r="AV44" s="94">
        <f t="shared" si="19"/>
        <v>1</v>
      </c>
      <c r="AW44" s="94">
        <f t="shared" si="20"/>
        <v>0</v>
      </c>
      <c r="AX44" s="94">
        <f t="shared" si="21"/>
        <v>0</v>
      </c>
      <c r="AY44" s="94">
        <f t="shared" si="22"/>
        <v>0</v>
      </c>
      <c r="AZ44" s="94">
        <f t="shared" si="23"/>
        <v>38</v>
      </c>
      <c r="BA44" s="95">
        <f t="shared" si="24"/>
        <v>4.5454545454545456E-2</v>
      </c>
      <c r="BB44" s="95">
        <f t="shared" si="25"/>
        <v>0.6333333333333333</v>
      </c>
    </row>
    <row r="45" spans="1:54" x14ac:dyDescent="0.35">
      <c r="A45" s="8" t="s">
        <v>52</v>
      </c>
      <c r="B45" s="94">
        <f>'2018-19_working'!B45+'2018-19_working'!C45</f>
        <v>30</v>
      </c>
      <c r="C45" s="94">
        <f>'2018-19_working'!D45</f>
        <v>0</v>
      </c>
      <c r="D45" s="94">
        <f>'2018-19_working'!E45</f>
        <v>0</v>
      </c>
      <c r="E45" s="94">
        <f>'2018-19_working'!F45</f>
        <v>0</v>
      </c>
      <c r="F45" s="94">
        <f>'2018-19_working'!G45+'2018-19_working'!H45</f>
        <v>0</v>
      </c>
      <c r="G45" s="94">
        <f>'2018-19_working'!I45</f>
        <v>0</v>
      </c>
      <c r="H45" s="95">
        <f t="shared" si="2"/>
        <v>0</v>
      </c>
      <c r="I45" s="95">
        <f t="shared" si="3"/>
        <v>0</v>
      </c>
      <c r="J45" s="94"/>
      <c r="K45" s="94">
        <f>'2018-19_working'!K45+'2018-19_working'!L45</f>
        <v>7</v>
      </c>
      <c r="L45" s="94">
        <f>'2018-19_working'!M45</f>
        <v>0</v>
      </c>
      <c r="M45" s="94">
        <f>'2018-19_working'!N45</f>
        <v>0</v>
      </c>
      <c r="N45" s="94">
        <f>'2018-19_working'!O45</f>
        <v>0</v>
      </c>
      <c r="O45" s="94">
        <f>'2018-19_working'!P45+'2018-19_working'!Q45</f>
        <v>0</v>
      </c>
      <c r="P45" s="94">
        <f>'2018-19_working'!R45</f>
        <v>0</v>
      </c>
      <c r="Q45" s="95">
        <f t="shared" si="4"/>
        <v>0</v>
      </c>
      <c r="R45" s="95">
        <f t="shared" si="5"/>
        <v>0</v>
      </c>
      <c r="S45" s="94"/>
      <c r="T45" s="94">
        <f t="shared" si="6"/>
        <v>37</v>
      </c>
      <c r="U45" s="94">
        <f t="shared" si="7"/>
        <v>0</v>
      </c>
      <c r="V45" s="94">
        <f t="shared" si="8"/>
        <v>0</v>
      </c>
      <c r="W45" s="94">
        <f t="shared" si="9"/>
        <v>0</v>
      </c>
      <c r="X45" s="94">
        <f t="shared" si="10"/>
        <v>0</v>
      </c>
      <c r="Y45" s="94">
        <f t="shared" si="11"/>
        <v>0</v>
      </c>
      <c r="Z45" s="95">
        <f t="shared" si="12"/>
        <v>0</v>
      </c>
      <c r="AA45" s="95">
        <f t="shared" si="13"/>
        <v>0</v>
      </c>
      <c r="AB45" s="94"/>
      <c r="AC45" s="94">
        <f>'2018-19_working'!T45+'2018-19_working'!U45</f>
        <v>4</v>
      </c>
      <c r="AD45" s="94">
        <f>'2018-19_working'!V45</f>
        <v>0</v>
      </c>
      <c r="AE45" s="94">
        <f>'2018-19_working'!W45</f>
        <v>0</v>
      </c>
      <c r="AF45" s="94">
        <f>'2018-19_working'!X45</f>
        <v>0</v>
      </c>
      <c r="AG45" s="94">
        <f>'2018-19_working'!Y45+'2018-19_working'!Z45</f>
        <v>0</v>
      </c>
      <c r="AH45" s="94">
        <f>'2018-19_working'!AA45</f>
        <v>0</v>
      </c>
      <c r="AI45" s="95">
        <f t="shared" si="14"/>
        <v>0</v>
      </c>
      <c r="AJ45" s="95">
        <f t="shared" si="15"/>
        <v>0</v>
      </c>
      <c r="AK45" s="94"/>
      <c r="AL45" s="94">
        <f>'2018-19_working'!AC45+'2018-19_working'!AD45</f>
        <v>16</v>
      </c>
      <c r="AM45" s="94">
        <f>'2018-19_working'!AE45</f>
        <v>0</v>
      </c>
      <c r="AN45" s="94">
        <f>'2018-19_working'!AF45</f>
        <v>0</v>
      </c>
      <c r="AO45" s="94">
        <f>'2018-19_working'!AG45</f>
        <v>0</v>
      </c>
      <c r="AP45" s="94">
        <f>'2018-19_working'!AH45+'2018-19_working'!AI45</f>
        <v>0</v>
      </c>
      <c r="AQ45" s="94">
        <f>'2018-19_working'!AJ45</f>
        <v>0</v>
      </c>
      <c r="AR45" s="95">
        <f t="shared" si="16"/>
        <v>0</v>
      </c>
      <c r="AS45" s="95">
        <f t="shared" si="17"/>
        <v>0</v>
      </c>
      <c r="AT45" s="94"/>
      <c r="AU45" s="94">
        <f t="shared" si="18"/>
        <v>57</v>
      </c>
      <c r="AV45" s="94">
        <f t="shared" si="19"/>
        <v>0</v>
      </c>
      <c r="AW45" s="94">
        <f t="shared" si="20"/>
        <v>0</v>
      </c>
      <c r="AX45" s="94">
        <f t="shared" si="21"/>
        <v>0</v>
      </c>
      <c r="AY45" s="94">
        <f t="shared" si="22"/>
        <v>0</v>
      </c>
      <c r="AZ45" s="94">
        <f t="shared" si="23"/>
        <v>0</v>
      </c>
      <c r="BA45" s="95">
        <f t="shared" si="24"/>
        <v>0</v>
      </c>
      <c r="BB45" s="95">
        <f t="shared" si="25"/>
        <v>0</v>
      </c>
    </row>
    <row r="46" spans="1:54" x14ac:dyDescent="0.35">
      <c r="A46" s="8" t="s">
        <v>53</v>
      </c>
      <c r="B46" s="94">
        <f>'2018-19_working'!B46+'2018-19_working'!C46</f>
        <v>9</v>
      </c>
      <c r="C46" s="94">
        <f>'2018-19_working'!D46</f>
        <v>0</v>
      </c>
      <c r="D46" s="94">
        <f>'2018-19_working'!E46</f>
        <v>0</v>
      </c>
      <c r="E46" s="94">
        <f>'2018-19_working'!F46</f>
        <v>0</v>
      </c>
      <c r="F46" s="94">
        <f>'2018-19_working'!G46+'2018-19_working'!H46</f>
        <v>0</v>
      </c>
      <c r="G46" s="94">
        <f>'2018-19_working'!I46</f>
        <v>4</v>
      </c>
      <c r="H46" s="95">
        <f t="shared" si="2"/>
        <v>0</v>
      </c>
      <c r="I46" s="95">
        <f t="shared" si="3"/>
        <v>0.30769230769230771</v>
      </c>
      <c r="J46" s="94"/>
      <c r="K46" s="94">
        <f>'2018-19_working'!K46+'2018-19_working'!L46</f>
        <v>15</v>
      </c>
      <c r="L46" s="94">
        <f>'2018-19_working'!M46</f>
        <v>0</v>
      </c>
      <c r="M46" s="94">
        <f>'2018-19_working'!N46</f>
        <v>0</v>
      </c>
      <c r="N46" s="94">
        <f>'2018-19_working'!O46</f>
        <v>0</v>
      </c>
      <c r="O46" s="94">
        <f>'2018-19_working'!P46+'2018-19_working'!Q46</f>
        <v>0</v>
      </c>
      <c r="P46" s="94">
        <f>'2018-19_working'!R46</f>
        <v>4</v>
      </c>
      <c r="Q46" s="95">
        <f t="shared" si="4"/>
        <v>0</v>
      </c>
      <c r="R46" s="95">
        <f t="shared" si="5"/>
        <v>0.21052631578947367</v>
      </c>
      <c r="S46" s="94"/>
      <c r="T46" s="94">
        <f t="shared" si="6"/>
        <v>24</v>
      </c>
      <c r="U46" s="94">
        <f t="shared" si="7"/>
        <v>0</v>
      </c>
      <c r="V46" s="94">
        <f t="shared" si="8"/>
        <v>0</v>
      </c>
      <c r="W46" s="94">
        <f t="shared" si="9"/>
        <v>0</v>
      </c>
      <c r="X46" s="94">
        <f t="shared" si="10"/>
        <v>0</v>
      </c>
      <c r="Y46" s="94">
        <f t="shared" si="11"/>
        <v>8</v>
      </c>
      <c r="Z46" s="95">
        <f t="shared" si="12"/>
        <v>0</v>
      </c>
      <c r="AA46" s="95">
        <f t="shared" si="13"/>
        <v>0.25</v>
      </c>
      <c r="AB46" s="94"/>
      <c r="AC46" s="94">
        <f>'2018-19_working'!T46+'2018-19_working'!U46</f>
        <v>1</v>
      </c>
      <c r="AD46" s="94">
        <f>'2018-19_working'!V46</f>
        <v>0</v>
      </c>
      <c r="AE46" s="94">
        <f>'2018-19_working'!W46</f>
        <v>0</v>
      </c>
      <c r="AF46" s="94">
        <f>'2018-19_working'!X46</f>
        <v>0</v>
      </c>
      <c r="AG46" s="94">
        <f>'2018-19_working'!Y46+'2018-19_working'!Z46</f>
        <v>0</v>
      </c>
      <c r="AH46" s="94">
        <f>'2018-19_working'!AA46</f>
        <v>0</v>
      </c>
      <c r="AI46" s="95">
        <f t="shared" si="14"/>
        <v>0</v>
      </c>
      <c r="AJ46" s="95">
        <f t="shared" si="15"/>
        <v>0</v>
      </c>
      <c r="AK46" s="94"/>
      <c r="AL46" s="94">
        <f>'2018-19_working'!AC46+'2018-19_working'!AD46</f>
        <v>10</v>
      </c>
      <c r="AM46" s="94">
        <f>'2018-19_working'!AE46</f>
        <v>0</v>
      </c>
      <c r="AN46" s="94">
        <f>'2018-19_working'!AF46</f>
        <v>1</v>
      </c>
      <c r="AO46" s="94">
        <f>'2018-19_working'!AG46</f>
        <v>0</v>
      </c>
      <c r="AP46" s="94">
        <f>'2018-19_working'!AH46+'2018-19_working'!AI46</f>
        <v>0</v>
      </c>
      <c r="AQ46" s="94">
        <f>'2018-19_working'!AJ46</f>
        <v>2</v>
      </c>
      <c r="AR46" s="95">
        <f t="shared" si="16"/>
        <v>9.0909090909090912E-2</v>
      </c>
      <c r="AS46" s="95">
        <f t="shared" si="17"/>
        <v>0.15384615384615385</v>
      </c>
      <c r="AT46" s="94"/>
      <c r="AU46" s="94">
        <f t="shared" si="18"/>
        <v>35</v>
      </c>
      <c r="AV46" s="94">
        <f t="shared" si="19"/>
        <v>0</v>
      </c>
      <c r="AW46" s="94">
        <f t="shared" si="20"/>
        <v>1</v>
      </c>
      <c r="AX46" s="94">
        <f t="shared" si="21"/>
        <v>0</v>
      </c>
      <c r="AY46" s="94">
        <f t="shared" si="22"/>
        <v>0</v>
      </c>
      <c r="AZ46" s="94">
        <f t="shared" si="23"/>
        <v>10</v>
      </c>
      <c r="BA46" s="95">
        <f t="shared" si="24"/>
        <v>2.7777777777777776E-2</v>
      </c>
      <c r="BB46" s="95">
        <f t="shared" si="25"/>
        <v>0.21739130434782608</v>
      </c>
    </row>
    <row r="47" spans="1:54" x14ac:dyDescent="0.35">
      <c r="A47" s="8" t="s">
        <v>54</v>
      </c>
      <c r="B47" s="94">
        <f>'2018-19_working'!B47+'2018-19_working'!C47</f>
        <v>13</v>
      </c>
      <c r="C47" s="94">
        <f>'2018-19_working'!D47</f>
        <v>0</v>
      </c>
      <c r="D47" s="94">
        <f>'2018-19_working'!E47</f>
        <v>0</v>
      </c>
      <c r="E47" s="94">
        <f>'2018-19_working'!F47</f>
        <v>0</v>
      </c>
      <c r="F47" s="94">
        <f>'2018-19_working'!G47+'2018-19_working'!H47</f>
        <v>0</v>
      </c>
      <c r="G47" s="94">
        <f>'2018-19_working'!I47</f>
        <v>4</v>
      </c>
      <c r="H47" s="95">
        <f t="shared" si="2"/>
        <v>0</v>
      </c>
      <c r="I47" s="95">
        <f t="shared" si="3"/>
        <v>0.23529411764705882</v>
      </c>
      <c r="J47" s="94"/>
      <c r="K47" s="94">
        <f>'2018-19_working'!K47+'2018-19_working'!L47</f>
        <v>28</v>
      </c>
      <c r="L47" s="94">
        <f>'2018-19_working'!M47</f>
        <v>0</v>
      </c>
      <c r="M47" s="94">
        <f>'2018-19_working'!N47</f>
        <v>0</v>
      </c>
      <c r="N47" s="94">
        <f>'2018-19_working'!O47</f>
        <v>0</v>
      </c>
      <c r="O47" s="94">
        <f>'2018-19_working'!P47+'2018-19_working'!Q47</f>
        <v>0</v>
      </c>
      <c r="P47" s="94">
        <f>'2018-19_working'!R47</f>
        <v>14</v>
      </c>
      <c r="Q47" s="95">
        <f t="shared" si="4"/>
        <v>0</v>
      </c>
      <c r="R47" s="95">
        <f t="shared" si="5"/>
        <v>0.33333333333333331</v>
      </c>
      <c r="S47" s="94"/>
      <c r="T47" s="94">
        <f t="shared" si="6"/>
        <v>41</v>
      </c>
      <c r="U47" s="94">
        <f t="shared" si="7"/>
        <v>0</v>
      </c>
      <c r="V47" s="94">
        <f t="shared" si="8"/>
        <v>0</v>
      </c>
      <c r="W47" s="94">
        <f t="shared" si="9"/>
        <v>0</v>
      </c>
      <c r="X47" s="94">
        <f t="shared" si="10"/>
        <v>0</v>
      </c>
      <c r="Y47" s="94">
        <f t="shared" si="11"/>
        <v>18</v>
      </c>
      <c r="Z47" s="95">
        <f t="shared" si="12"/>
        <v>0</v>
      </c>
      <c r="AA47" s="95">
        <f t="shared" si="13"/>
        <v>0.30508474576271188</v>
      </c>
      <c r="AB47" s="94"/>
      <c r="AC47" s="94">
        <f>'2018-19_working'!T47+'2018-19_working'!U47</f>
        <v>0</v>
      </c>
      <c r="AD47" s="94">
        <f>'2018-19_working'!V47</f>
        <v>0</v>
      </c>
      <c r="AE47" s="94">
        <f>'2018-19_working'!W47</f>
        <v>0</v>
      </c>
      <c r="AF47" s="94">
        <f>'2018-19_working'!X47</f>
        <v>0</v>
      </c>
      <c r="AG47" s="94">
        <f>'2018-19_working'!Y47+'2018-19_working'!Z47</f>
        <v>0</v>
      </c>
      <c r="AH47" s="94">
        <f>'2018-19_working'!AA47</f>
        <v>0</v>
      </c>
      <c r="AI47" s="95" t="str">
        <f t="shared" si="14"/>
        <v>-</v>
      </c>
      <c r="AJ47" s="95" t="str">
        <f t="shared" si="15"/>
        <v>-</v>
      </c>
      <c r="AK47" s="94"/>
      <c r="AL47" s="94">
        <f>'2018-19_working'!AC47+'2018-19_working'!AD47</f>
        <v>1</v>
      </c>
      <c r="AM47" s="94">
        <f>'2018-19_working'!AE47</f>
        <v>0</v>
      </c>
      <c r="AN47" s="94">
        <f>'2018-19_working'!AF47</f>
        <v>0</v>
      </c>
      <c r="AO47" s="94">
        <f>'2018-19_working'!AG47</f>
        <v>0</v>
      </c>
      <c r="AP47" s="94">
        <f>'2018-19_working'!AH47+'2018-19_working'!AI47</f>
        <v>0</v>
      </c>
      <c r="AQ47" s="94">
        <f>'2018-19_working'!AJ47</f>
        <v>10</v>
      </c>
      <c r="AR47" s="95">
        <f t="shared" si="16"/>
        <v>0</v>
      </c>
      <c r="AS47" s="95">
        <f t="shared" si="17"/>
        <v>0.90909090909090906</v>
      </c>
      <c r="AT47" s="94"/>
      <c r="AU47" s="94">
        <f t="shared" si="18"/>
        <v>42</v>
      </c>
      <c r="AV47" s="94">
        <f t="shared" si="19"/>
        <v>0</v>
      </c>
      <c r="AW47" s="94">
        <f t="shared" si="20"/>
        <v>0</v>
      </c>
      <c r="AX47" s="94">
        <f t="shared" si="21"/>
        <v>0</v>
      </c>
      <c r="AY47" s="94">
        <f t="shared" si="22"/>
        <v>0</v>
      </c>
      <c r="AZ47" s="94">
        <f t="shared" si="23"/>
        <v>28</v>
      </c>
      <c r="BA47" s="95">
        <f t="shared" si="24"/>
        <v>0</v>
      </c>
      <c r="BB47" s="95">
        <f t="shared" si="25"/>
        <v>0.4</v>
      </c>
    </row>
    <row r="48" spans="1:54" x14ac:dyDescent="0.35">
      <c r="A48" s="8" t="s">
        <v>55</v>
      </c>
      <c r="B48" s="94">
        <f>'2018-19_working'!B48+'2018-19_working'!C48</f>
        <v>0</v>
      </c>
      <c r="C48" s="94">
        <f>'2018-19_working'!D48</f>
        <v>0</v>
      </c>
      <c r="D48" s="94">
        <f>'2018-19_working'!E48</f>
        <v>0</v>
      </c>
      <c r="E48" s="94">
        <f>'2018-19_working'!F48</f>
        <v>0</v>
      </c>
      <c r="F48" s="94">
        <f>'2018-19_working'!G48+'2018-19_working'!H48</f>
        <v>0</v>
      </c>
      <c r="G48" s="94">
        <f>'2018-19_working'!I48</f>
        <v>0</v>
      </c>
      <c r="H48" s="95" t="str">
        <f t="shared" si="2"/>
        <v>-</v>
      </c>
      <c r="I48" s="95" t="str">
        <f t="shared" si="3"/>
        <v>-</v>
      </c>
      <c r="J48" s="94"/>
      <c r="K48" s="94">
        <f>'2018-19_working'!K48+'2018-19_working'!L48</f>
        <v>2</v>
      </c>
      <c r="L48" s="94">
        <f>'2018-19_working'!M48</f>
        <v>0</v>
      </c>
      <c r="M48" s="94">
        <f>'2018-19_working'!N48</f>
        <v>0</v>
      </c>
      <c r="N48" s="94">
        <f>'2018-19_working'!O48</f>
        <v>1</v>
      </c>
      <c r="O48" s="94">
        <f>'2018-19_working'!P48+'2018-19_working'!Q48</f>
        <v>0</v>
      </c>
      <c r="P48" s="94">
        <f>'2018-19_working'!R48</f>
        <v>0</v>
      </c>
      <c r="Q48" s="95">
        <f t="shared" si="4"/>
        <v>0.33333333333333331</v>
      </c>
      <c r="R48" s="95">
        <f t="shared" si="5"/>
        <v>0</v>
      </c>
      <c r="S48" s="94"/>
      <c r="T48" s="94">
        <f t="shared" si="6"/>
        <v>2</v>
      </c>
      <c r="U48" s="94">
        <f t="shared" si="7"/>
        <v>0</v>
      </c>
      <c r="V48" s="94">
        <f t="shared" si="8"/>
        <v>0</v>
      </c>
      <c r="W48" s="94">
        <f t="shared" si="9"/>
        <v>1</v>
      </c>
      <c r="X48" s="94">
        <f t="shared" si="10"/>
        <v>0</v>
      </c>
      <c r="Y48" s="94">
        <f t="shared" si="11"/>
        <v>0</v>
      </c>
      <c r="Z48" s="95">
        <f t="shared" si="12"/>
        <v>0.33333333333333331</v>
      </c>
      <c r="AA48" s="95">
        <f t="shared" si="13"/>
        <v>0</v>
      </c>
      <c r="AB48" s="94"/>
      <c r="AC48" s="94">
        <f>'2018-19_working'!T48+'2018-19_working'!U48</f>
        <v>0</v>
      </c>
      <c r="AD48" s="94">
        <f>'2018-19_working'!V48</f>
        <v>0</v>
      </c>
      <c r="AE48" s="94">
        <f>'2018-19_working'!W48</f>
        <v>0</v>
      </c>
      <c r="AF48" s="94">
        <f>'2018-19_working'!X48</f>
        <v>0</v>
      </c>
      <c r="AG48" s="94">
        <f>'2018-19_working'!Y48+'2018-19_working'!Z48</f>
        <v>0</v>
      </c>
      <c r="AH48" s="94">
        <f>'2018-19_working'!AA48</f>
        <v>0</v>
      </c>
      <c r="AI48" s="95" t="str">
        <f t="shared" si="14"/>
        <v>-</v>
      </c>
      <c r="AJ48" s="95" t="str">
        <f t="shared" si="15"/>
        <v>-</v>
      </c>
      <c r="AK48" s="94"/>
      <c r="AL48" s="94">
        <f>'2018-19_working'!AC48+'2018-19_working'!AD48</f>
        <v>1</v>
      </c>
      <c r="AM48" s="94">
        <f>'2018-19_working'!AE48</f>
        <v>0</v>
      </c>
      <c r="AN48" s="94">
        <f>'2018-19_working'!AF48</f>
        <v>0</v>
      </c>
      <c r="AO48" s="94">
        <f>'2018-19_working'!AG48</f>
        <v>0</v>
      </c>
      <c r="AP48" s="94">
        <f>'2018-19_working'!AH48+'2018-19_working'!AI48</f>
        <v>0</v>
      </c>
      <c r="AQ48" s="94">
        <f>'2018-19_working'!AJ48</f>
        <v>0</v>
      </c>
      <c r="AR48" s="95">
        <f t="shared" si="16"/>
        <v>0</v>
      </c>
      <c r="AS48" s="95">
        <f t="shared" si="17"/>
        <v>0</v>
      </c>
      <c r="AT48" s="94"/>
      <c r="AU48" s="94">
        <f t="shared" si="18"/>
        <v>3</v>
      </c>
      <c r="AV48" s="94">
        <f t="shared" si="19"/>
        <v>0</v>
      </c>
      <c r="AW48" s="94">
        <f t="shared" si="20"/>
        <v>0</v>
      </c>
      <c r="AX48" s="94">
        <f t="shared" si="21"/>
        <v>1</v>
      </c>
      <c r="AY48" s="94">
        <f t="shared" si="22"/>
        <v>0</v>
      </c>
      <c r="AZ48" s="94">
        <f t="shared" si="23"/>
        <v>0</v>
      </c>
      <c r="BA48" s="95">
        <f t="shared" si="24"/>
        <v>0.25</v>
      </c>
      <c r="BB48" s="95">
        <f t="shared" si="25"/>
        <v>0</v>
      </c>
    </row>
    <row r="49" spans="1:54" x14ac:dyDescent="0.35">
      <c r="A49" s="8" t="s">
        <v>56</v>
      </c>
      <c r="B49" s="94">
        <f>'2018-19_working'!B49+'2018-19_working'!C49</f>
        <v>644</v>
      </c>
      <c r="C49" s="94">
        <f>'2018-19_working'!D49</f>
        <v>38</v>
      </c>
      <c r="D49" s="94">
        <f>'2018-19_working'!E49</f>
        <v>11</v>
      </c>
      <c r="E49" s="94">
        <f>'2018-19_working'!F49</f>
        <v>22</v>
      </c>
      <c r="F49" s="94">
        <f>'2018-19_working'!G49+'2018-19_working'!H49</f>
        <v>10</v>
      </c>
      <c r="G49" s="94">
        <f>'2018-19_working'!I49</f>
        <v>84</v>
      </c>
      <c r="H49" s="95">
        <f t="shared" si="2"/>
        <v>0.11172413793103449</v>
      </c>
      <c r="I49" s="95">
        <f t="shared" si="3"/>
        <v>0.103831891223733</v>
      </c>
      <c r="J49" s="94"/>
      <c r="K49" s="94">
        <f>'2018-19_working'!K49+'2018-19_working'!L49</f>
        <v>42</v>
      </c>
      <c r="L49" s="94">
        <f>'2018-19_working'!M49</f>
        <v>2</v>
      </c>
      <c r="M49" s="94">
        <f>'2018-19_working'!N49</f>
        <v>0</v>
      </c>
      <c r="N49" s="94">
        <f>'2018-19_working'!O49</f>
        <v>2</v>
      </c>
      <c r="O49" s="94">
        <f>'2018-19_working'!P49+'2018-19_working'!Q49</f>
        <v>1</v>
      </c>
      <c r="P49" s="94">
        <f>'2018-19_working'!R49</f>
        <v>1</v>
      </c>
      <c r="Q49" s="95">
        <f t="shared" si="4"/>
        <v>0.10638297872340426</v>
      </c>
      <c r="R49" s="95">
        <f t="shared" si="5"/>
        <v>2.0833333333333332E-2</v>
      </c>
      <c r="S49" s="94"/>
      <c r="T49" s="94">
        <f t="shared" si="6"/>
        <v>686</v>
      </c>
      <c r="U49" s="94">
        <f t="shared" si="7"/>
        <v>40</v>
      </c>
      <c r="V49" s="94">
        <f t="shared" si="8"/>
        <v>11</v>
      </c>
      <c r="W49" s="94">
        <f t="shared" si="9"/>
        <v>24</v>
      </c>
      <c r="X49" s="94">
        <f t="shared" si="10"/>
        <v>11</v>
      </c>
      <c r="Y49" s="94">
        <f t="shared" si="11"/>
        <v>85</v>
      </c>
      <c r="Z49" s="95">
        <f t="shared" si="12"/>
        <v>0.11139896373056994</v>
      </c>
      <c r="AA49" s="95">
        <f t="shared" si="13"/>
        <v>9.9183197199533252E-2</v>
      </c>
      <c r="AB49" s="94"/>
      <c r="AC49" s="94">
        <f>'2018-19_working'!T49+'2018-19_working'!U49</f>
        <v>21</v>
      </c>
      <c r="AD49" s="94">
        <f>'2018-19_working'!V49</f>
        <v>1</v>
      </c>
      <c r="AE49" s="94">
        <f>'2018-19_working'!W49</f>
        <v>0</v>
      </c>
      <c r="AF49" s="94">
        <f>'2018-19_working'!X49</f>
        <v>0</v>
      </c>
      <c r="AG49" s="94">
        <f>'2018-19_working'!Y49+'2018-19_working'!Z49</f>
        <v>0</v>
      </c>
      <c r="AH49" s="94">
        <f>'2018-19_working'!AA49</f>
        <v>0</v>
      </c>
      <c r="AI49" s="95">
        <f t="shared" si="14"/>
        <v>4.5454545454545456E-2</v>
      </c>
      <c r="AJ49" s="95">
        <f t="shared" si="15"/>
        <v>0</v>
      </c>
      <c r="AK49" s="94"/>
      <c r="AL49" s="94">
        <f>'2018-19_working'!AC49+'2018-19_working'!AD49</f>
        <v>251</v>
      </c>
      <c r="AM49" s="94">
        <f>'2018-19_working'!AE49</f>
        <v>6</v>
      </c>
      <c r="AN49" s="94">
        <f>'2018-19_working'!AF49</f>
        <v>17</v>
      </c>
      <c r="AO49" s="94">
        <f>'2018-19_working'!AG49</f>
        <v>19</v>
      </c>
      <c r="AP49" s="94">
        <f>'2018-19_working'!AH49+'2018-19_working'!AI49</f>
        <v>11</v>
      </c>
      <c r="AQ49" s="94">
        <f>'2018-19_working'!AJ49</f>
        <v>30</v>
      </c>
      <c r="AR49" s="95">
        <f t="shared" si="16"/>
        <v>0.17434210526315788</v>
      </c>
      <c r="AS49" s="95">
        <f t="shared" si="17"/>
        <v>8.9820359281437126E-2</v>
      </c>
      <c r="AT49" s="94"/>
      <c r="AU49" s="94">
        <f t="shared" si="18"/>
        <v>958</v>
      </c>
      <c r="AV49" s="94">
        <f t="shared" si="19"/>
        <v>47</v>
      </c>
      <c r="AW49" s="94">
        <f t="shared" si="20"/>
        <v>28</v>
      </c>
      <c r="AX49" s="94">
        <f t="shared" si="21"/>
        <v>43</v>
      </c>
      <c r="AY49" s="94">
        <f t="shared" si="22"/>
        <v>22</v>
      </c>
      <c r="AZ49" s="94">
        <f t="shared" si="23"/>
        <v>115</v>
      </c>
      <c r="BA49" s="95">
        <f t="shared" si="24"/>
        <v>0.12750455373406194</v>
      </c>
      <c r="BB49" s="95">
        <f t="shared" si="25"/>
        <v>9.4806265457543282E-2</v>
      </c>
    </row>
    <row r="50" spans="1:54" x14ac:dyDescent="0.35">
      <c r="A50" s="8" t="s">
        <v>57</v>
      </c>
      <c r="B50" s="94">
        <f>'2018-19_working'!B50+'2018-19_working'!C50</f>
        <v>52</v>
      </c>
      <c r="C50" s="94">
        <f>'2018-19_working'!D50</f>
        <v>4</v>
      </c>
      <c r="D50" s="94">
        <f>'2018-19_working'!E50</f>
        <v>2</v>
      </c>
      <c r="E50" s="94">
        <f>'2018-19_working'!F50</f>
        <v>0</v>
      </c>
      <c r="F50" s="94">
        <f>'2018-19_working'!G50+'2018-19_working'!H50</f>
        <v>0</v>
      </c>
      <c r="G50" s="94">
        <f>'2018-19_working'!I50</f>
        <v>67</v>
      </c>
      <c r="H50" s="95">
        <f t="shared" si="2"/>
        <v>0.10344827586206896</v>
      </c>
      <c r="I50" s="95">
        <f t="shared" si="3"/>
        <v>0.53600000000000003</v>
      </c>
      <c r="J50" s="94"/>
      <c r="K50" s="94">
        <f>'2018-19_working'!K50+'2018-19_working'!L50</f>
        <v>0</v>
      </c>
      <c r="L50" s="94">
        <f>'2018-19_working'!M50</f>
        <v>0</v>
      </c>
      <c r="M50" s="94">
        <f>'2018-19_working'!N50</f>
        <v>0</v>
      </c>
      <c r="N50" s="94">
        <f>'2018-19_working'!O50</f>
        <v>0</v>
      </c>
      <c r="O50" s="94">
        <f>'2018-19_working'!P50+'2018-19_working'!Q50</f>
        <v>0</v>
      </c>
      <c r="P50" s="94">
        <f>'2018-19_working'!R50</f>
        <v>0</v>
      </c>
      <c r="Q50" s="95" t="str">
        <f t="shared" si="4"/>
        <v>-</v>
      </c>
      <c r="R50" s="95" t="str">
        <f t="shared" si="5"/>
        <v>-</v>
      </c>
      <c r="S50" s="94"/>
      <c r="T50" s="94">
        <f t="shared" si="6"/>
        <v>52</v>
      </c>
      <c r="U50" s="94">
        <f t="shared" si="7"/>
        <v>4</v>
      </c>
      <c r="V50" s="94">
        <f t="shared" si="8"/>
        <v>2</v>
      </c>
      <c r="W50" s="94">
        <f t="shared" si="9"/>
        <v>0</v>
      </c>
      <c r="X50" s="94">
        <f t="shared" si="10"/>
        <v>0</v>
      </c>
      <c r="Y50" s="94">
        <f t="shared" si="11"/>
        <v>67</v>
      </c>
      <c r="Z50" s="95">
        <f t="shared" si="12"/>
        <v>0.10344827586206896</v>
      </c>
      <c r="AA50" s="95">
        <f t="shared" si="13"/>
        <v>0.53600000000000003</v>
      </c>
      <c r="AB50" s="94"/>
      <c r="AC50" s="94">
        <f>'2018-19_working'!T50+'2018-19_working'!U50</f>
        <v>0</v>
      </c>
      <c r="AD50" s="94">
        <f>'2018-19_working'!V50</f>
        <v>0</v>
      </c>
      <c r="AE50" s="94">
        <f>'2018-19_working'!W50</f>
        <v>0</v>
      </c>
      <c r="AF50" s="94">
        <f>'2018-19_working'!X50</f>
        <v>0</v>
      </c>
      <c r="AG50" s="94">
        <f>'2018-19_working'!Y50+'2018-19_working'!Z50</f>
        <v>0</v>
      </c>
      <c r="AH50" s="94">
        <f>'2018-19_working'!AA50</f>
        <v>0</v>
      </c>
      <c r="AI50" s="95" t="str">
        <f t="shared" si="14"/>
        <v>-</v>
      </c>
      <c r="AJ50" s="95" t="str">
        <f t="shared" si="15"/>
        <v>-</v>
      </c>
      <c r="AK50" s="94"/>
      <c r="AL50" s="94">
        <f>'2018-19_working'!AC50+'2018-19_working'!AD50</f>
        <v>41</v>
      </c>
      <c r="AM50" s="94">
        <f>'2018-19_working'!AE50</f>
        <v>0</v>
      </c>
      <c r="AN50" s="94">
        <f>'2018-19_working'!AF50</f>
        <v>1</v>
      </c>
      <c r="AO50" s="94">
        <f>'2018-19_working'!AG50</f>
        <v>0</v>
      </c>
      <c r="AP50" s="94">
        <f>'2018-19_working'!AH50+'2018-19_working'!AI50</f>
        <v>1</v>
      </c>
      <c r="AQ50" s="94">
        <f>'2018-19_working'!AJ50</f>
        <v>16</v>
      </c>
      <c r="AR50" s="95">
        <f t="shared" si="16"/>
        <v>4.6511627906976744E-2</v>
      </c>
      <c r="AS50" s="95">
        <f t="shared" si="17"/>
        <v>0.2711864406779661</v>
      </c>
      <c r="AT50" s="94"/>
      <c r="AU50" s="94">
        <f t="shared" si="18"/>
        <v>93</v>
      </c>
      <c r="AV50" s="94">
        <f t="shared" si="19"/>
        <v>4</v>
      </c>
      <c r="AW50" s="94">
        <f t="shared" si="20"/>
        <v>3</v>
      </c>
      <c r="AX50" s="94">
        <f t="shared" si="21"/>
        <v>0</v>
      </c>
      <c r="AY50" s="94">
        <f t="shared" si="22"/>
        <v>1</v>
      </c>
      <c r="AZ50" s="94">
        <f t="shared" si="23"/>
        <v>83</v>
      </c>
      <c r="BA50" s="95">
        <f t="shared" si="24"/>
        <v>7.9207920792079209E-2</v>
      </c>
      <c r="BB50" s="95">
        <f t="shared" si="25"/>
        <v>0.45108695652173914</v>
      </c>
    </row>
    <row r="51" spans="1:54" x14ac:dyDescent="0.35">
      <c r="A51" s="8" t="s">
        <v>58</v>
      </c>
      <c r="B51" s="94">
        <f>'2018-19_working'!B51+'2018-19_working'!C51</f>
        <v>45</v>
      </c>
      <c r="C51" s="94">
        <f>'2018-19_working'!D51</f>
        <v>3</v>
      </c>
      <c r="D51" s="94">
        <f>'2018-19_working'!E51</f>
        <v>0</v>
      </c>
      <c r="E51" s="94">
        <f>'2018-19_working'!F51</f>
        <v>0</v>
      </c>
      <c r="F51" s="94">
        <f>'2018-19_working'!G51+'2018-19_working'!H51</f>
        <v>1</v>
      </c>
      <c r="G51" s="94">
        <f>'2018-19_working'!I51</f>
        <v>2</v>
      </c>
      <c r="H51" s="95">
        <f t="shared" si="2"/>
        <v>8.1632653061224483E-2</v>
      </c>
      <c r="I51" s="95">
        <f t="shared" si="3"/>
        <v>3.9215686274509803E-2</v>
      </c>
      <c r="J51" s="94"/>
      <c r="K51" s="94">
        <f>'2018-19_working'!K51+'2018-19_working'!L51</f>
        <v>21</v>
      </c>
      <c r="L51" s="94">
        <f>'2018-19_working'!M51</f>
        <v>2</v>
      </c>
      <c r="M51" s="94">
        <f>'2018-19_working'!N51</f>
        <v>0</v>
      </c>
      <c r="N51" s="94">
        <f>'2018-19_working'!O51</f>
        <v>0</v>
      </c>
      <c r="O51" s="94">
        <f>'2018-19_working'!P51+'2018-19_working'!Q51</f>
        <v>1</v>
      </c>
      <c r="P51" s="94">
        <f>'2018-19_working'!R51</f>
        <v>1</v>
      </c>
      <c r="Q51" s="95">
        <f t="shared" si="4"/>
        <v>0.125</v>
      </c>
      <c r="R51" s="95">
        <f t="shared" si="5"/>
        <v>0.04</v>
      </c>
      <c r="S51" s="94"/>
      <c r="T51" s="94">
        <f t="shared" si="6"/>
        <v>66</v>
      </c>
      <c r="U51" s="94">
        <f t="shared" si="7"/>
        <v>5</v>
      </c>
      <c r="V51" s="94">
        <f t="shared" si="8"/>
        <v>0</v>
      </c>
      <c r="W51" s="94">
        <f t="shared" si="9"/>
        <v>0</v>
      </c>
      <c r="X51" s="94">
        <f t="shared" si="10"/>
        <v>2</v>
      </c>
      <c r="Y51" s="94">
        <f t="shared" si="11"/>
        <v>3</v>
      </c>
      <c r="Z51" s="95">
        <f t="shared" si="12"/>
        <v>9.5890410958904104E-2</v>
      </c>
      <c r="AA51" s="95">
        <f t="shared" si="13"/>
        <v>3.9473684210526314E-2</v>
      </c>
      <c r="AB51" s="94"/>
      <c r="AC51" s="94">
        <f>'2018-19_working'!T51+'2018-19_working'!U51</f>
        <v>7</v>
      </c>
      <c r="AD51" s="94">
        <f>'2018-19_working'!V51</f>
        <v>0</v>
      </c>
      <c r="AE51" s="94">
        <f>'2018-19_working'!W51</f>
        <v>0</v>
      </c>
      <c r="AF51" s="94">
        <f>'2018-19_working'!X51</f>
        <v>0</v>
      </c>
      <c r="AG51" s="94">
        <f>'2018-19_working'!Y51+'2018-19_working'!Z51</f>
        <v>0</v>
      </c>
      <c r="AH51" s="94">
        <f>'2018-19_working'!AA51</f>
        <v>0</v>
      </c>
      <c r="AI51" s="95">
        <f t="shared" si="14"/>
        <v>0</v>
      </c>
      <c r="AJ51" s="95">
        <f t="shared" si="15"/>
        <v>0</v>
      </c>
      <c r="AK51" s="94"/>
      <c r="AL51" s="94">
        <f>'2018-19_working'!AC51+'2018-19_working'!AD51</f>
        <v>49</v>
      </c>
      <c r="AM51" s="94">
        <f>'2018-19_working'!AE51</f>
        <v>0</v>
      </c>
      <c r="AN51" s="94">
        <f>'2018-19_working'!AF51</f>
        <v>0</v>
      </c>
      <c r="AO51" s="94">
        <f>'2018-19_working'!AG51</f>
        <v>1</v>
      </c>
      <c r="AP51" s="94">
        <f>'2018-19_working'!AH51+'2018-19_working'!AI51</f>
        <v>0</v>
      </c>
      <c r="AQ51" s="94">
        <f>'2018-19_working'!AJ51</f>
        <v>5</v>
      </c>
      <c r="AR51" s="95">
        <f t="shared" si="16"/>
        <v>0.02</v>
      </c>
      <c r="AS51" s="95">
        <f t="shared" si="17"/>
        <v>9.0909090909090912E-2</v>
      </c>
      <c r="AT51" s="94"/>
      <c r="AU51" s="94">
        <f t="shared" si="18"/>
        <v>122</v>
      </c>
      <c r="AV51" s="94">
        <f t="shared" si="19"/>
        <v>5</v>
      </c>
      <c r="AW51" s="94">
        <f t="shared" si="20"/>
        <v>0</v>
      </c>
      <c r="AX51" s="94">
        <f t="shared" si="21"/>
        <v>1</v>
      </c>
      <c r="AY51" s="94">
        <f t="shared" si="22"/>
        <v>2</v>
      </c>
      <c r="AZ51" s="94">
        <f t="shared" si="23"/>
        <v>8</v>
      </c>
      <c r="BA51" s="95">
        <f t="shared" si="24"/>
        <v>6.1538461538461542E-2</v>
      </c>
      <c r="BB51" s="95">
        <f t="shared" si="25"/>
        <v>5.7971014492753624E-2</v>
      </c>
    </row>
    <row r="52" spans="1:54" x14ac:dyDescent="0.35">
      <c r="A52" s="8" t="s">
        <v>59</v>
      </c>
      <c r="B52" s="94">
        <f>'2018-19_working'!B52+'2018-19_working'!C52</f>
        <v>17</v>
      </c>
      <c r="C52" s="94">
        <f>'2018-19_working'!D52</f>
        <v>3</v>
      </c>
      <c r="D52" s="94">
        <f>'2018-19_working'!E52</f>
        <v>0</v>
      </c>
      <c r="E52" s="94">
        <f>'2018-19_working'!F52</f>
        <v>2</v>
      </c>
      <c r="F52" s="94">
        <f>'2018-19_working'!G52+'2018-19_working'!H52</f>
        <v>1</v>
      </c>
      <c r="G52" s="94">
        <f>'2018-19_working'!I52</f>
        <v>0</v>
      </c>
      <c r="H52" s="95">
        <f t="shared" si="2"/>
        <v>0.2608695652173913</v>
      </c>
      <c r="I52" s="95">
        <f t="shared" si="3"/>
        <v>0</v>
      </c>
      <c r="J52" s="94"/>
      <c r="K52" s="94">
        <f>'2018-19_working'!K52+'2018-19_working'!L52</f>
        <v>1</v>
      </c>
      <c r="L52" s="94">
        <f>'2018-19_working'!M52</f>
        <v>0</v>
      </c>
      <c r="M52" s="94">
        <f>'2018-19_working'!N52</f>
        <v>0</v>
      </c>
      <c r="N52" s="94">
        <f>'2018-19_working'!O52</f>
        <v>0</v>
      </c>
      <c r="O52" s="94">
        <f>'2018-19_working'!P52+'2018-19_working'!Q52</f>
        <v>0</v>
      </c>
      <c r="P52" s="94">
        <f>'2018-19_working'!R52</f>
        <v>0</v>
      </c>
      <c r="Q52" s="95">
        <f t="shared" si="4"/>
        <v>0</v>
      </c>
      <c r="R52" s="95">
        <f t="shared" si="5"/>
        <v>0</v>
      </c>
      <c r="S52" s="94"/>
      <c r="T52" s="94">
        <f t="shared" si="6"/>
        <v>18</v>
      </c>
      <c r="U52" s="94">
        <f t="shared" si="7"/>
        <v>3</v>
      </c>
      <c r="V52" s="94">
        <f t="shared" si="8"/>
        <v>0</v>
      </c>
      <c r="W52" s="94">
        <f t="shared" si="9"/>
        <v>2</v>
      </c>
      <c r="X52" s="94">
        <f t="shared" si="10"/>
        <v>1</v>
      </c>
      <c r="Y52" s="94">
        <f t="shared" si="11"/>
        <v>0</v>
      </c>
      <c r="Z52" s="95">
        <f t="shared" si="12"/>
        <v>0.25</v>
      </c>
      <c r="AA52" s="95">
        <f t="shared" si="13"/>
        <v>0</v>
      </c>
      <c r="AB52" s="94"/>
      <c r="AC52" s="94">
        <f>'2018-19_working'!T52+'2018-19_working'!U52</f>
        <v>0</v>
      </c>
      <c r="AD52" s="94">
        <f>'2018-19_working'!V52</f>
        <v>0</v>
      </c>
      <c r="AE52" s="94">
        <f>'2018-19_working'!W52</f>
        <v>0</v>
      </c>
      <c r="AF52" s="94">
        <f>'2018-19_working'!X52</f>
        <v>0</v>
      </c>
      <c r="AG52" s="94">
        <f>'2018-19_working'!Y52+'2018-19_working'!Z52</f>
        <v>0</v>
      </c>
      <c r="AH52" s="94">
        <f>'2018-19_working'!AA52</f>
        <v>0</v>
      </c>
      <c r="AI52" s="95" t="str">
        <f t="shared" si="14"/>
        <v>-</v>
      </c>
      <c r="AJ52" s="95" t="str">
        <f t="shared" si="15"/>
        <v>-</v>
      </c>
      <c r="AK52" s="94"/>
      <c r="AL52" s="94">
        <f>'2018-19_working'!AC52+'2018-19_working'!AD52</f>
        <v>16</v>
      </c>
      <c r="AM52" s="94">
        <f>'2018-19_working'!AE52</f>
        <v>0</v>
      </c>
      <c r="AN52" s="94">
        <f>'2018-19_working'!AF52</f>
        <v>0</v>
      </c>
      <c r="AO52" s="94">
        <f>'2018-19_working'!AG52</f>
        <v>1</v>
      </c>
      <c r="AP52" s="94">
        <f>'2018-19_working'!AH52+'2018-19_working'!AI52</f>
        <v>0</v>
      </c>
      <c r="AQ52" s="94">
        <f>'2018-19_working'!AJ52</f>
        <v>0</v>
      </c>
      <c r="AR52" s="95">
        <f t="shared" si="16"/>
        <v>5.8823529411764705E-2</v>
      </c>
      <c r="AS52" s="95">
        <f t="shared" si="17"/>
        <v>0</v>
      </c>
      <c r="AT52" s="94"/>
      <c r="AU52" s="94">
        <f t="shared" si="18"/>
        <v>34</v>
      </c>
      <c r="AV52" s="94">
        <f t="shared" si="19"/>
        <v>3</v>
      </c>
      <c r="AW52" s="94">
        <f t="shared" si="20"/>
        <v>0</v>
      </c>
      <c r="AX52" s="94">
        <f t="shared" si="21"/>
        <v>3</v>
      </c>
      <c r="AY52" s="94">
        <f t="shared" si="22"/>
        <v>1</v>
      </c>
      <c r="AZ52" s="94">
        <f t="shared" si="23"/>
        <v>0</v>
      </c>
      <c r="BA52" s="95">
        <f t="shared" si="24"/>
        <v>0.17073170731707318</v>
      </c>
      <c r="BB52" s="95">
        <f t="shared" si="25"/>
        <v>0</v>
      </c>
    </row>
    <row r="53" spans="1:54" x14ac:dyDescent="0.35">
      <c r="A53" s="8" t="s">
        <v>60</v>
      </c>
      <c r="B53" s="94">
        <f>'2018-19_working'!B53+'2018-19_working'!C53</f>
        <v>25</v>
      </c>
      <c r="C53" s="94">
        <f>'2018-19_working'!D53</f>
        <v>0</v>
      </c>
      <c r="D53" s="94">
        <f>'2018-19_working'!E53</f>
        <v>1</v>
      </c>
      <c r="E53" s="94">
        <f>'2018-19_working'!F53</f>
        <v>0</v>
      </c>
      <c r="F53" s="94">
        <f>'2018-19_working'!G53+'2018-19_working'!H53</f>
        <v>0</v>
      </c>
      <c r="G53" s="94">
        <f>'2018-19_working'!I53</f>
        <v>0</v>
      </c>
      <c r="H53" s="95">
        <f t="shared" si="2"/>
        <v>3.8461538461538464E-2</v>
      </c>
      <c r="I53" s="95">
        <f t="shared" si="3"/>
        <v>0</v>
      </c>
      <c r="J53" s="94"/>
      <c r="K53" s="94">
        <f>'2018-19_working'!K53+'2018-19_working'!L53</f>
        <v>0</v>
      </c>
      <c r="L53" s="94">
        <f>'2018-19_working'!M53</f>
        <v>0</v>
      </c>
      <c r="M53" s="94">
        <f>'2018-19_working'!N53</f>
        <v>0</v>
      </c>
      <c r="N53" s="94">
        <f>'2018-19_working'!O53</f>
        <v>0</v>
      </c>
      <c r="O53" s="94">
        <f>'2018-19_working'!P53+'2018-19_working'!Q53</f>
        <v>0</v>
      </c>
      <c r="P53" s="94">
        <f>'2018-19_working'!R53</f>
        <v>0</v>
      </c>
      <c r="Q53" s="95" t="str">
        <f t="shared" si="4"/>
        <v>-</v>
      </c>
      <c r="R53" s="95" t="str">
        <f t="shared" si="5"/>
        <v>-</v>
      </c>
      <c r="S53" s="94"/>
      <c r="T53" s="94">
        <f t="shared" si="6"/>
        <v>25</v>
      </c>
      <c r="U53" s="94">
        <f t="shared" si="7"/>
        <v>0</v>
      </c>
      <c r="V53" s="94">
        <f t="shared" si="8"/>
        <v>1</v>
      </c>
      <c r="W53" s="94">
        <f t="shared" si="9"/>
        <v>0</v>
      </c>
      <c r="X53" s="94">
        <f t="shared" si="10"/>
        <v>0</v>
      </c>
      <c r="Y53" s="94">
        <f t="shared" si="11"/>
        <v>0</v>
      </c>
      <c r="Z53" s="95">
        <f t="shared" si="12"/>
        <v>3.8461538461538464E-2</v>
      </c>
      <c r="AA53" s="95">
        <f t="shared" si="13"/>
        <v>0</v>
      </c>
      <c r="AB53" s="94"/>
      <c r="AC53" s="94">
        <f>'2018-19_working'!T53+'2018-19_working'!U53</f>
        <v>5</v>
      </c>
      <c r="AD53" s="94">
        <f>'2018-19_working'!V53</f>
        <v>0</v>
      </c>
      <c r="AE53" s="94">
        <f>'2018-19_working'!W53</f>
        <v>0</v>
      </c>
      <c r="AF53" s="94">
        <f>'2018-19_working'!X53</f>
        <v>0</v>
      </c>
      <c r="AG53" s="94">
        <f>'2018-19_working'!Y53+'2018-19_working'!Z53</f>
        <v>0</v>
      </c>
      <c r="AH53" s="94">
        <f>'2018-19_working'!AA53</f>
        <v>0</v>
      </c>
      <c r="AI53" s="95">
        <f t="shared" si="14"/>
        <v>0</v>
      </c>
      <c r="AJ53" s="95">
        <f t="shared" si="15"/>
        <v>0</v>
      </c>
      <c r="AK53" s="94"/>
      <c r="AL53" s="94">
        <f>'2018-19_working'!AC53+'2018-19_working'!AD53</f>
        <v>30</v>
      </c>
      <c r="AM53" s="94">
        <f>'2018-19_working'!AE53</f>
        <v>0</v>
      </c>
      <c r="AN53" s="94">
        <f>'2018-19_working'!AF53</f>
        <v>0</v>
      </c>
      <c r="AO53" s="94">
        <f>'2018-19_working'!AG53</f>
        <v>1</v>
      </c>
      <c r="AP53" s="94">
        <f>'2018-19_working'!AH53+'2018-19_working'!AI53</f>
        <v>0</v>
      </c>
      <c r="AQ53" s="94">
        <f>'2018-19_working'!AJ53</f>
        <v>0</v>
      </c>
      <c r="AR53" s="95">
        <f t="shared" si="16"/>
        <v>3.2258064516129031E-2</v>
      </c>
      <c r="AS53" s="95">
        <f t="shared" si="17"/>
        <v>0</v>
      </c>
      <c r="AT53" s="94"/>
      <c r="AU53" s="94">
        <f t="shared" si="18"/>
        <v>60</v>
      </c>
      <c r="AV53" s="94">
        <f t="shared" si="19"/>
        <v>0</v>
      </c>
      <c r="AW53" s="94">
        <f t="shared" si="20"/>
        <v>1</v>
      </c>
      <c r="AX53" s="94">
        <f t="shared" si="21"/>
        <v>1</v>
      </c>
      <c r="AY53" s="94">
        <f t="shared" si="22"/>
        <v>0</v>
      </c>
      <c r="AZ53" s="94">
        <f t="shared" si="23"/>
        <v>0</v>
      </c>
      <c r="BA53" s="95">
        <f t="shared" si="24"/>
        <v>3.2258064516129031E-2</v>
      </c>
      <c r="BB53" s="95">
        <f t="shared" si="25"/>
        <v>0</v>
      </c>
    </row>
    <row r="54" spans="1:54" x14ac:dyDescent="0.35">
      <c r="A54" s="8" t="s">
        <v>61</v>
      </c>
      <c r="B54" s="94">
        <f>'2018-19_working'!B54+'2018-19_working'!C54</f>
        <v>66</v>
      </c>
      <c r="C54" s="94">
        <f>'2018-19_working'!D54</f>
        <v>8</v>
      </c>
      <c r="D54" s="94">
        <f>'2018-19_working'!E54</f>
        <v>5</v>
      </c>
      <c r="E54" s="94">
        <f>'2018-19_working'!F54</f>
        <v>8</v>
      </c>
      <c r="F54" s="94">
        <f>'2018-19_working'!G54+'2018-19_working'!H54</f>
        <v>0</v>
      </c>
      <c r="G54" s="94">
        <f>'2018-19_working'!I54</f>
        <v>3</v>
      </c>
      <c r="H54" s="95">
        <f t="shared" si="2"/>
        <v>0.2413793103448276</v>
      </c>
      <c r="I54" s="95">
        <f t="shared" si="3"/>
        <v>3.3333333333333333E-2</v>
      </c>
      <c r="J54" s="94"/>
      <c r="K54" s="94">
        <f>'2018-19_working'!K54+'2018-19_working'!L54</f>
        <v>0</v>
      </c>
      <c r="L54" s="94">
        <f>'2018-19_working'!M54</f>
        <v>0</v>
      </c>
      <c r="M54" s="94">
        <f>'2018-19_working'!N54</f>
        <v>0</v>
      </c>
      <c r="N54" s="94">
        <f>'2018-19_working'!O54</f>
        <v>0</v>
      </c>
      <c r="O54" s="94">
        <f>'2018-19_working'!P54+'2018-19_working'!Q54</f>
        <v>0</v>
      </c>
      <c r="P54" s="94">
        <f>'2018-19_working'!R54</f>
        <v>0</v>
      </c>
      <c r="Q54" s="95" t="str">
        <f t="shared" si="4"/>
        <v>-</v>
      </c>
      <c r="R54" s="95" t="str">
        <f t="shared" si="5"/>
        <v>-</v>
      </c>
      <c r="S54" s="94"/>
      <c r="T54" s="94">
        <f t="shared" si="6"/>
        <v>66</v>
      </c>
      <c r="U54" s="94">
        <f t="shared" si="7"/>
        <v>8</v>
      </c>
      <c r="V54" s="94">
        <f t="shared" si="8"/>
        <v>5</v>
      </c>
      <c r="W54" s="94">
        <f t="shared" si="9"/>
        <v>8</v>
      </c>
      <c r="X54" s="94">
        <f t="shared" si="10"/>
        <v>0</v>
      </c>
      <c r="Y54" s="94">
        <f t="shared" si="11"/>
        <v>3</v>
      </c>
      <c r="Z54" s="95">
        <f t="shared" si="12"/>
        <v>0.2413793103448276</v>
      </c>
      <c r="AA54" s="95">
        <f t="shared" si="13"/>
        <v>3.3333333333333333E-2</v>
      </c>
      <c r="AB54" s="94"/>
      <c r="AC54" s="94">
        <f>'2018-19_working'!T54+'2018-19_working'!U54</f>
        <v>0</v>
      </c>
      <c r="AD54" s="94">
        <f>'2018-19_working'!V54</f>
        <v>0</v>
      </c>
      <c r="AE54" s="94">
        <f>'2018-19_working'!W54</f>
        <v>0</v>
      </c>
      <c r="AF54" s="94">
        <f>'2018-19_working'!X54</f>
        <v>0</v>
      </c>
      <c r="AG54" s="94">
        <f>'2018-19_working'!Y54+'2018-19_working'!Z54</f>
        <v>0</v>
      </c>
      <c r="AH54" s="94">
        <f>'2018-19_working'!AA54</f>
        <v>0</v>
      </c>
      <c r="AI54" s="95" t="str">
        <f t="shared" si="14"/>
        <v>-</v>
      </c>
      <c r="AJ54" s="95" t="str">
        <f t="shared" si="15"/>
        <v>-</v>
      </c>
      <c r="AK54" s="94"/>
      <c r="AL54" s="94">
        <f>'2018-19_working'!AC54+'2018-19_working'!AD54</f>
        <v>12</v>
      </c>
      <c r="AM54" s="94">
        <f>'2018-19_working'!AE54</f>
        <v>2</v>
      </c>
      <c r="AN54" s="94">
        <f>'2018-19_working'!AF54</f>
        <v>3</v>
      </c>
      <c r="AO54" s="94">
        <f>'2018-19_working'!AG54</f>
        <v>1</v>
      </c>
      <c r="AP54" s="94">
        <f>'2018-19_working'!AH54+'2018-19_working'!AI54</f>
        <v>0</v>
      </c>
      <c r="AQ54" s="94">
        <f>'2018-19_working'!AJ54</f>
        <v>2</v>
      </c>
      <c r="AR54" s="95">
        <f t="shared" si="16"/>
        <v>0.33333333333333331</v>
      </c>
      <c r="AS54" s="95">
        <f t="shared" si="17"/>
        <v>0.1</v>
      </c>
      <c r="AT54" s="94"/>
      <c r="AU54" s="94">
        <f t="shared" si="18"/>
        <v>78</v>
      </c>
      <c r="AV54" s="94">
        <f t="shared" si="19"/>
        <v>10</v>
      </c>
      <c r="AW54" s="94">
        <f t="shared" si="20"/>
        <v>8</v>
      </c>
      <c r="AX54" s="94">
        <f t="shared" si="21"/>
        <v>9</v>
      </c>
      <c r="AY54" s="94">
        <f t="shared" si="22"/>
        <v>0</v>
      </c>
      <c r="AZ54" s="94">
        <f t="shared" si="23"/>
        <v>5</v>
      </c>
      <c r="BA54" s="95">
        <f t="shared" si="24"/>
        <v>0.25714285714285712</v>
      </c>
      <c r="BB54" s="95">
        <f t="shared" si="25"/>
        <v>4.5454545454545456E-2</v>
      </c>
    </row>
    <row r="55" spans="1:54" x14ac:dyDescent="0.35">
      <c r="A55" s="8" t="s">
        <v>62</v>
      </c>
      <c r="B55" s="94">
        <f>'2018-19_working'!B55+'2018-19_working'!C55</f>
        <v>62</v>
      </c>
      <c r="C55" s="94">
        <f>'2018-19_working'!D55</f>
        <v>2</v>
      </c>
      <c r="D55" s="94">
        <f>'2018-19_working'!E55</f>
        <v>1</v>
      </c>
      <c r="E55" s="94">
        <f>'2018-19_working'!F55</f>
        <v>1</v>
      </c>
      <c r="F55" s="94">
        <f>'2018-19_working'!G55+'2018-19_working'!H55</f>
        <v>0</v>
      </c>
      <c r="G55" s="94">
        <f>'2018-19_working'!I55</f>
        <v>0</v>
      </c>
      <c r="H55" s="95">
        <f t="shared" si="2"/>
        <v>6.0606060606060608E-2</v>
      </c>
      <c r="I55" s="95">
        <f t="shared" si="3"/>
        <v>0</v>
      </c>
      <c r="J55" s="94"/>
      <c r="K55" s="94">
        <f>'2018-19_working'!K55+'2018-19_working'!L55</f>
        <v>20</v>
      </c>
      <c r="L55" s="94">
        <f>'2018-19_working'!M55</f>
        <v>0</v>
      </c>
      <c r="M55" s="94">
        <f>'2018-19_working'!N55</f>
        <v>0</v>
      </c>
      <c r="N55" s="94">
        <f>'2018-19_working'!O55</f>
        <v>2</v>
      </c>
      <c r="O55" s="94">
        <f>'2018-19_working'!P55+'2018-19_working'!Q55</f>
        <v>0</v>
      </c>
      <c r="P55" s="94">
        <f>'2018-19_working'!R55</f>
        <v>0</v>
      </c>
      <c r="Q55" s="95">
        <f t="shared" si="4"/>
        <v>9.0909090909090912E-2</v>
      </c>
      <c r="R55" s="95">
        <f t="shared" si="5"/>
        <v>0</v>
      </c>
      <c r="S55" s="94"/>
      <c r="T55" s="94">
        <f t="shared" si="6"/>
        <v>82</v>
      </c>
      <c r="U55" s="94">
        <f t="shared" si="7"/>
        <v>2</v>
      </c>
      <c r="V55" s="94">
        <f t="shared" si="8"/>
        <v>1</v>
      </c>
      <c r="W55" s="94">
        <f t="shared" si="9"/>
        <v>3</v>
      </c>
      <c r="X55" s="94">
        <f t="shared" si="10"/>
        <v>0</v>
      </c>
      <c r="Y55" s="94">
        <f t="shared" si="11"/>
        <v>0</v>
      </c>
      <c r="Z55" s="95">
        <f t="shared" si="12"/>
        <v>6.8181818181818177E-2</v>
      </c>
      <c r="AA55" s="95">
        <f t="shared" si="13"/>
        <v>0</v>
      </c>
      <c r="AB55" s="94"/>
      <c r="AC55" s="94">
        <f>'2018-19_working'!T55+'2018-19_working'!U55</f>
        <v>4</v>
      </c>
      <c r="AD55" s="94">
        <f>'2018-19_working'!V55</f>
        <v>1</v>
      </c>
      <c r="AE55" s="94">
        <f>'2018-19_working'!W55</f>
        <v>0</v>
      </c>
      <c r="AF55" s="94">
        <f>'2018-19_working'!X55</f>
        <v>0</v>
      </c>
      <c r="AG55" s="94">
        <f>'2018-19_working'!Y55+'2018-19_working'!Z55</f>
        <v>0</v>
      </c>
      <c r="AH55" s="94">
        <f>'2018-19_working'!AA55</f>
        <v>0</v>
      </c>
      <c r="AI55" s="95">
        <f t="shared" si="14"/>
        <v>0.2</v>
      </c>
      <c r="AJ55" s="95">
        <f t="shared" si="15"/>
        <v>0</v>
      </c>
      <c r="AK55" s="94"/>
      <c r="AL55" s="94">
        <f>'2018-19_working'!AC55+'2018-19_working'!AD55</f>
        <v>33</v>
      </c>
      <c r="AM55" s="94">
        <f>'2018-19_working'!AE55</f>
        <v>0</v>
      </c>
      <c r="AN55" s="94">
        <f>'2018-19_working'!AF55</f>
        <v>6</v>
      </c>
      <c r="AO55" s="94">
        <f>'2018-19_working'!AG55</f>
        <v>1</v>
      </c>
      <c r="AP55" s="94">
        <f>'2018-19_working'!AH55+'2018-19_working'!AI55</f>
        <v>0</v>
      </c>
      <c r="AQ55" s="94">
        <f>'2018-19_working'!AJ55</f>
        <v>4</v>
      </c>
      <c r="AR55" s="95">
        <f t="shared" si="16"/>
        <v>0.17499999999999999</v>
      </c>
      <c r="AS55" s="95">
        <f t="shared" si="17"/>
        <v>9.0909090909090912E-2</v>
      </c>
      <c r="AT55" s="94"/>
      <c r="AU55" s="94">
        <f t="shared" si="18"/>
        <v>119</v>
      </c>
      <c r="AV55" s="94">
        <f t="shared" si="19"/>
        <v>3</v>
      </c>
      <c r="AW55" s="94">
        <f t="shared" si="20"/>
        <v>7</v>
      </c>
      <c r="AX55" s="94">
        <f t="shared" si="21"/>
        <v>4</v>
      </c>
      <c r="AY55" s="94">
        <f t="shared" si="22"/>
        <v>0</v>
      </c>
      <c r="AZ55" s="94">
        <f t="shared" si="23"/>
        <v>4</v>
      </c>
      <c r="BA55" s="95">
        <f t="shared" si="24"/>
        <v>0.10526315789473684</v>
      </c>
      <c r="BB55" s="95">
        <f t="shared" si="25"/>
        <v>2.9197080291970802E-2</v>
      </c>
    </row>
    <row r="56" spans="1:54" x14ac:dyDescent="0.35">
      <c r="A56" s="8" t="s">
        <v>63</v>
      </c>
      <c r="B56" s="94">
        <f>'2018-19_working'!B56+'2018-19_working'!C56</f>
        <v>377</v>
      </c>
      <c r="C56" s="94">
        <f>'2018-19_working'!D56</f>
        <v>18</v>
      </c>
      <c r="D56" s="94">
        <f>'2018-19_working'!E56</f>
        <v>2</v>
      </c>
      <c r="E56" s="94">
        <f>'2018-19_working'!F56</f>
        <v>11</v>
      </c>
      <c r="F56" s="94">
        <f>'2018-19_working'!G56+'2018-19_working'!H56</f>
        <v>8</v>
      </c>
      <c r="G56" s="94">
        <f>'2018-19_working'!I56</f>
        <v>12</v>
      </c>
      <c r="H56" s="95">
        <f t="shared" si="2"/>
        <v>9.375E-2</v>
      </c>
      <c r="I56" s="95">
        <f t="shared" si="3"/>
        <v>2.8037383177570093E-2</v>
      </c>
      <c r="J56" s="94"/>
      <c r="K56" s="94">
        <f>'2018-19_working'!K56+'2018-19_working'!L56</f>
        <v>0</v>
      </c>
      <c r="L56" s="94">
        <f>'2018-19_working'!M56</f>
        <v>0</v>
      </c>
      <c r="M56" s="94">
        <f>'2018-19_working'!N56</f>
        <v>0</v>
      </c>
      <c r="N56" s="94">
        <f>'2018-19_working'!O56</f>
        <v>0</v>
      </c>
      <c r="O56" s="94">
        <f>'2018-19_working'!P56+'2018-19_working'!Q56</f>
        <v>0</v>
      </c>
      <c r="P56" s="94">
        <f>'2018-19_working'!R56</f>
        <v>0</v>
      </c>
      <c r="Q56" s="95" t="str">
        <f t="shared" si="4"/>
        <v>-</v>
      </c>
      <c r="R56" s="95" t="str">
        <f t="shared" si="5"/>
        <v>-</v>
      </c>
      <c r="S56" s="94"/>
      <c r="T56" s="94">
        <f t="shared" si="6"/>
        <v>377</v>
      </c>
      <c r="U56" s="94">
        <f t="shared" si="7"/>
        <v>18</v>
      </c>
      <c r="V56" s="94">
        <f t="shared" si="8"/>
        <v>2</v>
      </c>
      <c r="W56" s="94">
        <f t="shared" si="9"/>
        <v>11</v>
      </c>
      <c r="X56" s="94">
        <f t="shared" si="10"/>
        <v>8</v>
      </c>
      <c r="Y56" s="94">
        <f t="shared" si="11"/>
        <v>12</v>
      </c>
      <c r="Z56" s="95">
        <f t="shared" si="12"/>
        <v>9.375E-2</v>
      </c>
      <c r="AA56" s="95">
        <f t="shared" si="13"/>
        <v>2.8037383177570093E-2</v>
      </c>
      <c r="AB56" s="94"/>
      <c r="AC56" s="94">
        <f>'2018-19_working'!T56+'2018-19_working'!U56</f>
        <v>5</v>
      </c>
      <c r="AD56" s="94">
        <f>'2018-19_working'!V56</f>
        <v>0</v>
      </c>
      <c r="AE56" s="94">
        <f>'2018-19_working'!W56</f>
        <v>0</v>
      </c>
      <c r="AF56" s="94">
        <f>'2018-19_working'!X56</f>
        <v>0</v>
      </c>
      <c r="AG56" s="94">
        <f>'2018-19_working'!Y56+'2018-19_working'!Z56</f>
        <v>0</v>
      </c>
      <c r="AH56" s="94">
        <f>'2018-19_working'!AA56</f>
        <v>0</v>
      </c>
      <c r="AI56" s="95">
        <f t="shared" si="14"/>
        <v>0</v>
      </c>
      <c r="AJ56" s="95">
        <f t="shared" si="15"/>
        <v>0</v>
      </c>
      <c r="AK56" s="94"/>
      <c r="AL56" s="94">
        <f>'2018-19_working'!AC56+'2018-19_working'!AD56</f>
        <v>70</v>
      </c>
      <c r="AM56" s="94">
        <f>'2018-19_working'!AE56</f>
        <v>4</v>
      </c>
      <c r="AN56" s="94">
        <f>'2018-19_working'!AF56</f>
        <v>7</v>
      </c>
      <c r="AO56" s="94">
        <f>'2018-19_working'!AG56</f>
        <v>14</v>
      </c>
      <c r="AP56" s="94">
        <f>'2018-19_working'!AH56+'2018-19_working'!AI56</f>
        <v>10</v>
      </c>
      <c r="AQ56" s="94">
        <f>'2018-19_working'!AJ56</f>
        <v>3</v>
      </c>
      <c r="AR56" s="95">
        <f t="shared" si="16"/>
        <v>0.33333333333333331</v>
      </c>
      <c r="AS56" s="95">
        <f t="shared" si="17"/>
        <v>2.7777777777777776E-2</v>
      </c>
      <c r="AT56" s="94"/>
      <c r="AU56" s="94">
        <f t="shared" si="18"/>
        <v>452</v>
      </c>
      <c r="AV56" s="94">
        <f t="shared" si="19"/>
        <v>22</v>
      </c>
      <c r="AW56" s="94">
        <f t="shared" si="20"/>
        <v>9</v>
      </c>
      <c r="AX56" s="94">
        <f t="shared" si="21"/>
        <v>25</v>
      </c>
      <c r="AY56" s="94">
        <f t="shared" si="22"/>
        <v>18</v>
      </c>
      <c r="AZ56" s="94">
        <f t="shared" si="23"/>
        <v>15</v>
      </c>
      <c r="BA56" s="95">
        <f t="shared" si="24"/>
        <v>0.14068441064638784</v>
      </c>
      <c r="BB56" s="95">
        <f t="shared" si="25"/>
        <v>2.7726432532347505E-2</v>
      </c>
    </row>
    <row r="58" spans="1:54" x14ac:dyDescent="0.35">
      <c r="A58" s="8" t="s">
        <v>64</v>
      </c>
    </row>
    <row r="59" spans="1:54" x14ac:dyDescent="0.35">
      <c r="A59" s="8" t="s">
        <v>76</v>
      </c>
    </row>
    <row r="61" spans="1:54" x14ac:dyDescent="0.35">
      <c r="A61" s="8" t="s">
        <v>65</v>
      </c>
    </row>
    <row r="62" spans="1:54" x14ac:dyDescent="0.35">
      <c r="A62" s="8" t="s">
        <v>66</v>
      </c>
    </row>
    <row r="64" spans="1:54" x14ac:dyDescent="0.35">
      <c r="A64" s="8" t="s">
        <v>67</v>
      </c>
    </row>
    <row r="65" spans="1:1" x14ac:dyDescent="0.35">
      <c r="A65" s="8" t="s">
        <v>68</v>
      </c>
    </row>
    <row r="67" spans="1:1" x14ac:dyDescent="0.35">
      <c r="A67" s="8" t="s">
        <v>69</v>
      </c>
    </row>
    <row r="69" spans="1:1" x14ac:dyDescent="0.35">
      <c r="A69" s="8" t="s">
        <v>70</v>
      </c>
    </row>
    <row r="70" spans="1:1" x14ac:dyDescent="0.35">
      <c r="A70" s="8" t="s">
        <v>72</v>
      </c>
    </row>
  </sheetData>
  <mergeCells count="1">
    <mergeCell ref="A1:R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L70"/>
  <sheetViews>
    <sheetView zoomScale="80" zoomScaleNormal="80" workbookViewId="0">
      <pane xSplit="1" ySplit="7" topLeftCell="AB8" activePane="bottomRight" state="frozen"/>
      <selection activeCell="A4" sqref="A4:L4"/>
      <selection pane="topRight" activeCell="A4" sqref="A4:L4"/>
      <selection pane="bottomLeft" activeCell="A4" sqref="A4:L4"/>
      <selection pane="bottomRight" activeCell="A4" sqref="A4:L4"/>
    </sheetView>
  </sheetViews>
  <sheetFormatPr defaultColWidth="9.1796875" defaultRowHeight="14.5" x14ac:dyDescent="0.35"/>
  <cols>
    <col min="1" max="1" width="50.7265625" style="4" customWidth="1"/>
    <col min="2" max="9" width="8.7265625" style="4" customWidth="1"/>
    <col min="10" max="10" width="2.7265625" style="4" customWidth="1"/>
    <col min="11" max="18" width="8.7265625" style="4" customWidth="1"/>
    <col min="19" max="19" width="2.7265625" style="4" customWidth="1"/>
    <col min="20" max="27" width="8.7265625" style="4" customWidth="1"/>
    <col min="28" max="28" width="2.7265625" style="4" customWidth="1"/>
    <col min="29" max="36" width="8.7265625" style="4" customWidth="1"/>
    <col min="37" max="37" width="2.7265625" style="4" customWidth="1"/>
    <col min="38" max="45" width="8.7265625" style="4" customWidth="1"/>
    <col min="46" max="46" width="2.7265625" style="4" customWidth="1"/>
    <col min="47" max="54" width="8.7265625" style="4" customWidth="1"/>
    <col min="55" max="16384" width="9.1796875" style="4"/>
  </cols>
  <sheetData>
    <row r="1" spans="1:64" s="1" customFormat="1" ht="23.25" customHeight="1" x14ac:dyDescent="0.5">
      <c r="A1" s="109" t="s">
        <v>86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row>
    <row r="2" spans="1:64" s="1" customFormat="1" ht="23.25" customHeight="1" x14ac:dyDescent="0.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64" s="1" customFormat="1" ht="23.25" customHeight="1" x14ac:dyDescent="0.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64" s="1" customFormat="1" ht="23.25" customHeight="1" x14ac:dyDescent="0.5">
      <c r="A4" s="116" t="str">
        <f>FIRE1121!A4</f>
        <v>2018-19</v>
      </c>
      <c r="B4" s="116"/>
      <c r="C4" s="116"/>
      <c r="D4" s="116"/>
      <c r="E4" s="116"/>
      <c r="F4" s="116"/>
      <c r="G4" s="116"/>
      <c r="H4" s="116"/>
      <c r="I4" s="116"/>
      <c r="J4" s="116"/>
      <c r="K4" s="116"/>
      <c r="L4" s="116"/>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64" s="3" customFormat="1" x14ac:dyDescent="0.35">
      <c r="A5" s="2"/>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row>
    <row r="6" spans="1:64" s="8" customFormat="1" ht="15.75" customHeight="1" thickBot="1" x14ac:dyDescent="0.4">
      <c r="A6" s="4"/>
      <c r="B6" s="111" t="s">
        <v>1</v>
      </c>
      <c r="C6" s="111"/>
      <c r="D6" s="111"/>
      <c r="E6" s="111"/>
      <c r="F6" s="111"/>
      <c r="G6" s="111"/>
      <c r="H6" s="111"/>
      <c r="I6" s="40"/>
      <c r="J6" s="39"/>
      <c r="K6" s="113" t="s">
        <v>75</v>
      </c>
      <c r="L6" s="113"/>
      <c r="M6" s="113"/>
      <c r="N6" s="113"/>
      <c r="O6" s="113"/>
      <c r="P6" s="113"/>
      <c r="Q6" s="113"/>
      <c r="R6" s="113"/>
      <c r="S6" s="39"/>
      <c r="T6" s="112" t="s">
        <v>2</v>
      </c>
      <c r="U6" s="112"/>
      <c r="V6" s="112"/>
      <c r="W6" s="112"/>
      <c r="X6" s="112"/>
      <c r="Y6" s="112"/>
      <c r="Z6" s="112"/>
      <c r="AA6" s="7"/>
      <c r="AB6" s="39"/>
      <c r="AC6" s="113" t="s">
        <v>3</v>
      </c>
      <c r="AD6" s="113"/>
      <c r="AE6" s="113"/>
      <c r="AF6" s="113"/>
      <c r="AG6" s="113"/>
      <c r="AH6" s="113"/>
      <c r="AI6" s="113"/>
      <c r="AJ6" s="40"/>
      <c r="AK6" s="39"/>
      <c r="AL6" s="113" t="s">
        <v>4</v>
      </c>
      <c r="AM6" s="113"/>
      <c r="AN6" s="113"/>
      <c r="AO6" s="113"/>
      <c r="AP6" s="113"/>
      <c r="AQ6" s="113"/>
      <c r="AR6" s="113"/>
      <c r="AS6" s="40"/>
      <c r="AT6" s="39"/>
      <c r="AU6" s="112" t="s">
        <v>5</v>
      </c>
      <c r="AV6" s="112"/>
      <c r="AW6" s="112"/>
      <c r="AX6" s="112"/>
      <c r="AY6" s="112"/>
      <c r="AZ6" s="112"/>
      <c r="BA6" s="112"/>
      <c r="BB6" s="112"/>
    </row>
    <row r="7" spans="1:64" s="15" customFormat="1" ht="58.5" thickBot="1" x14ac:dyDescent="0.4">
      <c r="A7" s="9" t="s">
        <v>6</v>
      </c>
      <c r="B7" s="10" t="s">
        <v>7</v>
      </c>
      <c r="C7" s="10" t="s">
        <v>8</v>
      </c>
      <c r="D7" s="10" t="s">
        <v>9</v>
      </c>
      <c r="E7" s="10" t="s">
        <v>10</v>
      </c>
      <c r="F7" s="10" t="s">
        <v>11</v>
      </c>
      <c r="G7" s="10" t="s">
        <v>12</v>
      </c>
      <c r="H7" s="11" t="s">
        <v>13</v>
      </c>
      <c r="I7" s="11" t="s">
        <v>14</v>
      </c>
      <c r="J7" s="41"/>
      <c r="K7" s="10" t="s">
        <v>7</v>
      </c>
      <c r="L7" s="10" t="s">
        <v>8</v>
      </c>
      <c r="M7" s="10" t="s">
        <v>9</v>
      </c>
      <c r="N7" s="10" t="s">
        <v>10</v>
      </c>
      <c r="O7" s="10" t="s">
        <v>11</v>
      </c>
      <c r="P7" s="10" t="s">
        <v>12</v>
      </c>
      <c r="Q7" s="11" t="s">
        <v>13</v>
      </c>
      <c r="R7" s="11" t="s">
        <v>14</v>
      </c>
      <c r="S7" s="41"/>
      <c r="T7" s="13" t="s">
        <v>7</v>
      </c>
      <c r="U7" s="13" t="s">
        <v>8</v>
      </c>
      <c r="V7" s="13" t="s">
        <v>9</v>
      </c>
      <c r="W7" s="13" t="s">
        <v>10</v>
      </c>
      <c r="X7" s="13" t="s">
        <v>11</v>
      </c>
      <c r="Y7" s="13" t="s">
        <v>12</v>
      </c>
      <c r="Z7" s="11" t="s">
        <v>13</v>
      </c>
      <c r="AA7" s="11" t="s">
        <v>14</v>
      </c>
      <c r="AB7" s="41"/>
      <c r="AC7" s="10" t="s">
        <v>7</v>
      </c>
      <c r="AD7" s="10" t="s">
        <v>8</v>
      </c>
      <c r="AE7" s="10" t="s">
        <v>9</v>
      </c>
      <c r="AF7" s="10" t="s">
        <v>10</v>
      </c>
      <c r="AG7" s="10" t="s">
        <v>11</v>
      </c>
      <c r="AH7" s="10" t="s">
        <v>12</v>
      </c>
      <c r="AI7" s="11" t="s">
        <v>13</v>
      </c>
      <c r="AJ7" s="11" t="s">
        <v>14</v>
      </c>
      <c r="AK7" s="41"/>
      <c r="AL7" s="10" t="s">
        <v>7</v>
      </c>
      <c r="AM7" s="10" t="s">
        <v>8</v>
      </c>
      <c r="AN7" s="10" t="s">
        <v>9</v>
      </c>
      <c r="AO7" s="10" t="s">
        <v>10</v>
      </c>
      <c r="AP7" s="10" t="s">
        <v>11</v>
      </c>
      <c r="AQ7" s="10" t="s">
        <v>12</v>
      </c>
      <c r="AR7" s="11" t="s">
        <v>13</v>
      </c>
      <c r="AS7" s="11" t="s">
        <v>14</v>
      </c>
      <c r="AT7" s="41"/>
      <c r="AU7" s="13" t="s">
        <v>7</v>
      </c>
      <c r="AV7" s="13" t="s">
        <v>8</v>
      </c>
      <c r="AW7" s="13" t="s">
        <v>9</v>
      </c>
      <c r="AX7" s="13" t="s">
        <v>10</v>
      </c>
      <c r="AY7" s="13" t="s">
        <v>11</v>
      </c>
      <c r="AZ7" s="13" t="s">
        <v>12</v>
      </c>
      <c r="BA7" s="11" t="s">
        <v>13</v>
      </c>
      <c r="BB7" s="11" t="s">
        <v>14</v>
      </c>
    </row>
    <row r="8" spans="1:64" s="8" customFormat="1" ht="15" customHeight="1" x14ac:dyDescent="0.35">
      <c r="A8" s="16" t="s">
        <v>15</v>
      </c>
      <c r="B8" s="22">
        <f ca="1">B9+B49</f>
        <v>1255</v>
      </c>
      <c r="C8" s="22">
        <f t="shared" ref="C8:G8" ca="1" si="0">C9+C49</f>
        <v>56</v>
      </c>
      <c r="D8" s="22">
        <f t="shared" ca="1" si="0"/>
        <v>14</v>
      </c>
      <c r="E8" s="22">
        <f t="shared" ca="1" si="0"/>
        <v>25</v>
      </c>
      <c r="F8" s="22">
        <f t="shared" ca="1" si="0"/>
        <v>15</v>
      </c>
      <c r="G8" s="22">
        <f t="shared" ca="1" si="0"/>
        <v>230</v>
      </c>
      <c r="H8" s="46">
        <f ca="1">IF(SUM(B8:F8)=0,"-",(SUM(C8:F8)/SUM(B8:F8)))</f>
        <v>8.0586080586080591E-2</v>
      </c>
      <c r="I8" s="46">
        <f ca="1">IF(SUM(B8:G8)=0,"-",(G8/SUM(B8:G8)))</f>
        <v>0.14420062695924765</v>
      </c>
      <c r="J8" s="17"/>
      <c r="K8" s="22">
        <f ca="1">K9+K49</f>
        <v>1155</v>
      </c>
      <c r="L8" s="22">
        <f t="shared" ref="L8" ca="1" si="1">L9+L49</f>
        <v>9</v>
      </c>
      <c r="M8" s="22">
        <f t="shared" ref="M8" ca="1" si="2">M9+M49</f>
        <v>3</v>
      </c>
      <c r="N8" s="22">
        <f t="shared" ref="N8" ca="1" si="3">N9+N49</f>
        <v>8</v>
      </c>
      <c r="O8" s="22">
        <f t="shared" ref="O8" ca="1" si="4">O9+O49</f>
        <v>4</v>
      </c>
      <c r="P8" s="22">
        <f t="shared" ref="P8" ca="1" si="5">P9+P49</f>
        <v>408</v>
      </c>
      <c r="Q8" s="46">
        <f ca="1">IF(SUM(K8:O8)=0,"-",(SUM(L8:O8)/SUM(K8:O8)))</f>
        <v>2.0356234096692113E-2</v>
      </c>
      <c r="R8" s="46">
        <f ca="1">IF(SUM(K8:P8)=0,"-",(P8/SUM(K8:P8)))</f>
        <v>0.25708884688090738</v>
      </c>
      <c r="S8" s="17"/>
      <c r="T8" s="17">
        <f ca="1">B8+K8</f>
        <v>2410</v>
      </c>
      <c r="U8" s="17">
        <f t="shared" ref="U8:Y8" ca="1" si="6">C8+L8</f>
        <v>65</v>
      </c>
      <c r="V8" s="17">
        <f t="shared" ca="1" si="6"/>
        <v>17</v>
      </c>
      <c r="W8" s="17">
        <f t="shared" ca="1" si="6"/>
        <v>33</v>
      </c>
      <c r="X8" s="17">
        <f t="shared" ca="1" si="6"/>
        <v>19</v>
      </c>
      <c r="Y8" s="17">
        <f t="shared" ca="1" si="6"/>
        <v>638</v>
      </c>
      <c r="Z8" s="46">
        <f ca="1">IF(SUM(T8:X8)=0,"-",(SUM(U8:X8)/SUM(T8:X8)))</f>
        <v>5.2672955974842769E-2</v>
      </c>
      <c r="AA8" s="46">
        <f ca="1">IF(SUM(T8:Y8)=0,"-",(Y8/SUM(T8:Y8)))</f>
        <v>0.20050282840980516</v>
      </c>
      <c r="AB8" s="17"/>
      <c r="AC8" s="22">
        <f ca="1">AC9+AC49</f>
        <v>77</v>
      </c>
      <c r="AD8" s="22">
        <f t="shared" ref="AD8" ca="1" si="7">AD9+AD49</f>
        <v>1</v>
      </c>
      <c r="AE8" s="22">
        <f t="shared" ref="AE8" ca="1" si="8">AE9+AE49</f>
        <v>0</v>
      </c>
      <c r="AF8" s="22">
        <f t="shared" ref="AF8" ca="1" si="9">AF9+AF49</f>
        <v>0</v>
      </c>
      <c r="AG8" s="22">
        <f t="shared" ref="AG8" ca="1" si="10">AG9+AG49</f>
        <v>2</v>
      </c>
      <c r="AH8" s="22">
        <f t="shared" ref="AH8" ca="1" si="11">AH9+AH49</f>
        <v>12</v>
      </c>
      <c r="AI8" s="46">
        <f ca="1">IF(SUM(AC8:AG8)=0,"-",(SUM(AD8:AG8)/SUM(AC8:AG8)))</f>
        <v>3.7499999999999999E-2</v>
      </c>
      <c r="AJ8" s="46">
        <f ca="1">IF(SUM(AC8:AH8)=0,"-",(AH8/SUM(AC8:AH8)))</f>
        <v>0.13043478260869565</v>
      </c>
      <c r="AK8" s="17"/>
      <c r="AL8" s="22">
        <f ca="1">AL9+AL49</f>
        <v>728</v>
      </c>
      <c r="AM8" s="22">
        <f t="shared" ref="AM8" ca="1" si="12">AM9+AM49</f>
        <v>10</v>
      </c>
      <c r="AN8" s="22">
        <f t="shared" ref="AN8" ca="1" si="13">AN9+AN49</f>
        <v>27</v>
      </c>
      <c r="AO8" s="22">
        <f t="shared" ref="AO8" ca="1" si="14">AO9+AO49</f>
        <v>29</v>
      </c>
      <c r="AP8" s="22">
        <f t="shared" ref="AP8" ca="1" si="15">AP9+AP49</f>
        <v>12</v>
      </c>
      <c r="AQ8" s="22">
        <f t="shared" ref="AQ8" ca="1" si="16">AQ9+AQ49</f>
        <v>176</v>
      </c>
      <c r="AR8" s="46">
        <f ca="1">IF(SUM(AL8:AP8)=0,"-",(SUM(AM8:AP8)/SUM(AL8:AP8)))</f>
        <v>9.6774193548387094E-2</v>
      </c>
      <c r="AS8" s="46">
        <f ca="1">IF(SUM(AL8:AQ8)=0,"-",(AQ8/SUM(AL8:AQ8)))</f>
        <v>0.17922606924643583</v>
      </c>
      <c r="AT8" s="17"/>
      <c r="AU8" s="17">
        <f ca="1">AL8+AC8+T8</f>
        <v>3215</v>
      </c>
      <c r="AV8" s="17">
        <f t="shared" ref="AV8:AZ8" ca="1" si="17">AM8+AD8+U8</f>
        <v>76</v>
      </c>
      <c r="AW8" s="17">
        <f t="shared" ca="1" si="17"/>
        <v>44</v>
      </c>
      <c r="AX8" s="17">
        <f t="shared" ca="1" si="17"/>
        <v>62</v>
      </c>
      <c r="AY8" s="17">
        <f t="shared" ca="1" si="17"/>
        <v>33</v>
      </c>
      <c r="AZ8" s="17">
        <f t="shared" ca="1" si="17"/>
        <v>826</v>
      </c>
      <c r="BA8" s="46">
        <f ca="1">IF(SUM(AU8:AY8)=0,"-",(SUM(AV8:AY8)/SUM(AU8:AY8)))</f>
        <v>6.2682215743440239E-2</v>
      </c>
      <c r="BB8" s="46">
        <f ca="1">IF(SUM(AU8:AZ8)=0,"-",(AZ8/SUM(AU8:AZ8)))</f>
        <v>0.19407894736842105</v>
      </c>
      <c r="BC8" s="19"/>
      <c r="BD8" s="19"/>
      <c r="BE8" s="19"/>
      <c r="BF8" s="19"/>
      <c r="BG8" s="19"/>
      <c r="BH8" s="19"/>
      <c r="BI8" s="19"/>
      <c r="BJ8" s="19"/>
      <c r="BK8" s="19"/>
      <c r="BL8" s="20"/>
    </row>
    <row r="9" spans="1:64" s="8" customFormat="1" ht="15" customHeight="1" x14ac:dyDescent="0.35">
      <c r="A9" s="21" t="s">
        <v>16</v>
      </c>
      <c r="B9" s="22">
        <f ca="1">SUM(B10:B48)</f>
        <v>611</v>
      </c>
      <c r="C9" s="22">
        <f t="shared" ref="C9:G9" ca="1" si="18">SUM(C10:C48)</f>
        <v>18</v>
      </c>
      <c r="D9" s="22">
        <f t="shared" ca="1" si="18"/>
        <v>3</v>
      </c>
      <c r="E9" s="22">
        <f t="shared" ca="1" si="18"/>
        <v>3</v>
      </c>
      <c r="F9" s="22">
        <f t="shared" ca="1" si="18"/>
        <v>5</v>
      </c>
      <c r="G9" s="22">
        <f t="shared" ca="1" si="18"/>
        <v>146</v>
      </c>
      <c r="H9" s="46">
        <f t="shared" ref="H9:H56" ca="1" si="19">IF(SUM(B9:F9)=0,"-",(SUM(C9:F9)/SUM(B9:F9)))</f>
        <v>4.5312499999999999E-2</v>
      </c>
      <c r="I9" s="46">
        <f t="shared" ref="I9:I56" ca="1" si="20">IF(SUM(B9:G9)=0,"-",(G9/SUM(B9:G9)))</f>
        <v>0.18575063613231552</v>
      </c>
      <c r="J9" s="22"/>
      <c r="K9" s="22">
        <f ca="1">SUM(K10:K48)</f>
        <v>1113</v>
      </c>
      <c r="L9" s="22">
        <f t="shared" ref="L9" ca="1" si="21">SUM(L10:L48)</f>
        <v>7</v>
      </c>
      <c r="M9" s="22">
        <f t="shared" ref="M9" ca="1" si="22">SUM(M10:M48)</f>
        <v>3</v>
      </c>
      <c r="N9" s="22">
        <f t="shared" ref="N9" ca="1" si="23">SUM(N10:N48)</f>
        <v>6</v>
      </c>
      <c r="O9" s="22">
        <f t="shared" ref="O9" ca="1" si="24">SUM(O10:O48)</f>
        <v>3</v>
      </c>
      <c r="P9" s="22">
        <f t="shared" ref="P9" ca="1" si="25">SUM(P10:P48)</f>
        <v>407</v>
      </c>
      <c r="Q9" s="46">
        <f t="shared" ref="Q9:Q56" ca="1" si="26">IF(SUM(K9:O9)=0,"-",(SUM(L9:O9)/SUM(K9:O9)))</f>
        <v>1.6784452296819789E-2</v>
      </c>
      <c r="R9" s="46">
        <f t="shared" ref="R9:R56" ca="1" si="27">IF(SUM(K9:P9)=0,"-",(P9/SUM(K9:P9)))</f>
        <v>0.26445743989603637</v>
      </c>
      <c r="S9" s="22"/>
      <c r="T9" s="22">
        <f t="shared" ref="T9:T56" ca="1" si="28">B9+K9</f>
        <v>1724</v>
      </c>
      <c r="U9" s="22">
        <f t="shared" ref="U9:U56" ca="1" si="29">C9+L9</f>
        <v>25</v>
      </c>
      <c r="V9" s="22">
        <f t="shared" ref="V9:V56" ca="1" si="30">D9+M9</f>
        <v>6</v>
      </c>
      <c r="W9" s="22">
        <f t="shared" ref="W9:W56" ca="1" si="31">E9+N9</f>
        <v>9</v>
      </c>
      <c r="X9" s="22">
        <f t="shared" ref="X9:X56" ca="1" si="32">F9+O9</f>
        <v>8</v>
      </c>
      <c r="Y9" s="22">
        <f t="shared" ref="Y9:Y56" ca="1" si="33">G9+P9</f>
        <v>553</v>
      </c>
      <c r="Z9" s="46">
        <f t="shared" ref="Z9:Z56" ca="1" si="34">IF(SUM(T9:X9)=0,"-",(SUM(U9:X9)/SUM(T9:X9)))</f>
        <v>2.7088036117381489E-2</v>
      </c>
      <c r="AA9" s="46">
        <f t="shared" ref="AA9:AA56" ca="1" si="35">IF(SUM(T9:Y9)=0,"-",(Y9/SUM(T9:Y9)))</f>
        <v>0.2378494623655914</v>
      </c>
      <c r="AB9" s="22"/>
      <c r="AC9" s="22">
        <f ca="1">SUM(AC10:AC48)</f>
        <v>56</v>
      </c>
      <c r="AD9" s="22">
        <f t="shared" ref="AD9" ca="1" si="36">SUM(AD10:AD48)</f>
        <v>0</v>
      </c>
      <c r="AE9" s="22">
        <f t="shared" ref="AE9" ca="1" si="37">SUM(AE10:AE48)</f>
        <v>0</v>
      </c>
      <c r="AF9" s="22">
        <f t="shared" ref="AF9" ca="1" si="38">SUM(AF10:AF48)</f>
        <v>0</v>
      </c>
      <c r="AG9" s="22">
        <f t="shared" ref="AG9" ca="1" si="39">SUM(AG10:AG48)</f>
        <v>2</v>
      </c>
      <c r="AH9" s="22">
        <f t="shared" ref="AH9" ca="1" si="40">SUM(AH10:AH48)</f>
        <v>12</v>
      </c>
      <c r="AI9" s="46">
        <f t="shared" ref="AI9:AI56" ca="1" si="41">IF(SUM(AC9:AG9)=0,"-",(SUM(AD9:AG9)/SUM(AC9:AG9)))</f>
        <v>3.4482758620689655E-2</v>
      </c>
      <c r="AJ9" s="46">
        <f t="shared" ref="AJ9:AJ56" ca="1" si="42">IF(SUM(AC9:AH9)=0,"-",(AH9/SUM(AC9:AH9)))</f>
        <v>0.17142857142857143</v>
      </c>
      <c r="AK9" s="22"/>
      <c r="AL9" s="22">
        <f ca="1">SUM(AL10:AL48)</f>
        <v>477</v>
      </c>
      <c r="AM9" s="22">
        <f t="shared" ref="AM9" ca="1" si="43">SUM(AM10:AM48)</f>
        <v>4</v>
      </c>
      <c r="AN9" s="22">
        <f t="shared" ref="AN9" ca="1" si="44">SUM(AN10:AN48)</f>
        <v>10</v>
      </c>
      <c r="AO9" s="22">
        <f t="shared" ref="AO9" ca="1" si="45">SUM(AO10:AO48)</f>
        <v>10</v>
      </c>
      <c r="AP9" s="22">
        <f t="shared" ref="AP9" ca="1" si="46">SUM(AP10:AP48)</f>
        <v>1</v>
      </c>
      <c r="AQ9" s="22">
        <f t="shared" ref="AQ9" ca="1" si="47">SUM(AQ10:AQ48)</f>
        <v>146</v>
      </c>
      <c r="AR9" s="46">
        <f t="shared" ref="AR9:AR56" ca="1" si="48">IF(SUM(AL9:AP9)=0,"-",(SUM(AM9:AP9)/SUM(AL9:AP9)))</f>
        <v>4.9800796812749001E-2</v>
      </c>
      <c r="AS9" s="46">
        <f t="shared" ref="AS9:AS56" ca="1" si="49">IF(SUM(AL9:AQ9)=0,"-",(AQ9/SUM(AL9:AQ9)))</f>
        <v>0.22530864197530864</v>
      </c>
      <c r="AT9" s="22"/>
      <c r="AU9" s="22">
        <f t="shared" ref="AU9:AU56" ca="1" si="50">AL9+AC9+T9</f>
        <v>2257</v>
      </c>
      <c r="AV9" s="22">
        <f t="shared" ref="AV9:AV56" ca="1" si="51">AM9+AD9+U9</f>
        <v>29</v>
      </c>
      <c r="AW9" s="22">
        <f t="shared" ref="AW9:AW56" ca="1" si="52">AN9+AE9+V9</f>
        <v>16</v>
      </c>
      <c r="AX9" s="22">
        <f t="shared" ref="AX9:AX56" ca="1" si="53">AO9+AF9+W9</f>
        <v>19</v>
      </c>
      <c r="AY9" s="22">
        <f t="shared" ref="AY9:AY56" ca="1" si="54">AP9+AG9+X9</f>
        <v>11</v>
      </c>
      <c r="AZ9" s="22">
        <f t="shared" ref="AZ9:AZ56" ca="1" si="55">AQ9+AH9+Y9</f>
        <v>711</v>
      </c>
      <c r="BA9" s="46">
        <f t="shared" ref="BA9:BA56" ca="1" si="56">IF(SUM(AU9:AY9)=0,"-",(SUM(AV9:AY9)/SUM(AU9:AY9)))</f>
        <v>3.2161234991423669E-2</v>
      </c>
      <c r="BB9" s="46">
        <f t="shared" ref="BB9:BB56" ca="1" si="57">IF(SUM(AU9:AZ9)=0,"-",(AZ9/SUM(AU9:AZ9)))</f>
        <v>0.23365100230036148</v>
      </c>
      <c r="BC9" s="19"/>
      <c r="BD9" s="19"/>
      <c r="BE9" s="19"/>
      <c r="BF9" s="19"/>
      <c r="BG9" s="19"/>
      <c r="BH9" s="19"/>
      <c r="BI9" s="19"/>
      <c r="BJ9" s="19"/>
      <c r="BK9" s="19"/>
    </row>
    <row r="10" spans="1:64" s="8" customFormat="1" ht="15" customHeight="1" x14ac:dyDescent="0.35">
      <c r="A10" s="2" t="s">
        <v>17</v>
      </c>
      <c r="B10" s="24">
        <f ca="1">INDIRECT("'("&amp;$A$4&amp;")'!b10")</f>
        <v>12</v>
      </c>
      <c r="C10" s="24">
        <f ca="1">INDIRECT("'("&amp;$A$4&amp;")'!c10")</f>
        <v>0</v>
      </c>
      <c r="D10" s="24">
        <f ca="1">INDIRECT("'("&amp;$A$4&amp;")'!d10")</f>
        <v>0</v>
      </c>
      <c r="E10" s="24">
        <f ca="1">INDIRECT("'("&amp;$A$4&amp;")'!e10")</f>
        <v>1</v>
      </c>
      <c r="F10" s="24">
        <f ca="1">INDIRECT("'("&amp;$A$4&amp;")'!f10")</f>
        <v>1</v>
      </c>
      <c r="G10" s="24">
        <f ca="1">INDIRECT("'("&amp;$A$4&amp;")'!g10")</f>
        <v>1</v>
      </c>
      <c r="H10" s="46">
        <f t="shared" ca="1" si="19"/>
        <v>0.14285714285714285</v>
      </c>
      <c r="I10" s="46">
        <f t="shared" ca="1" si="20"/>
        <v>6.6666666666666666E-2</v>
      </c>
      <c r="J10" s="24"/>
      <c r="K10" s="24">
        <f ca="1">INDIRECT("'("&amp;$A$4&amp;")'!k10")</f>
        <v>3</v>
      </c>
      <c r="L10" s="24">
        <f ca="1">INDIRECT("'("&amp;$A$4&amp;")'!l10")</f>
        <v>0</v>
      </c>
      <c r="M10" s="24">
        <f ca="1">INDIRECT("'("&amp;$A$4&amp;")'!m10")</f>
        <v>0</v>
      </c>
      <c r="N10" s="24">
        <f ca="1">INDIRECT("'("&amp;$A$4&amp;")'!n10")</f>
        <v>0</v>
      </c>
      <c r="O10" s="24">
        <f ca="1">INDIRECT("'("&amp;$A$4&amp;")'!o10")</f>
        <v>0</v>
      </c>
      <c r="P10" s="24">
        <f ca="1">INDIRECT("'("&amp;$A$4&amp;")'!p10")</f>
        <v>16</v>
      </c>
      <c r="Q10" s="46">
        <f t="shared" ca="1" si="26"/>
        <v>0</v>
      </c>
      <c r="R10" s="46">
        <f t="shared" ca="1" si="27"/>
        <v>0.84210526315789469</v>
      </c>
      <c r="S10" s="24"/>
      <c r="T10" s="22">
        <f t="shared" ca="1" si="28"/>
        <v>15</v>
      </c>
      <c r="U10" s="22">
        <f t="shared" ca="1" si="29"/>
        <v>0</v>
      </c>
      <c r="V10" s="22">
        <f t="shared" ca="1" si="30"/>
        <v>0</v>
      </c>
      <c r="W10" s="22">
        <f t="shared" ca="1" si="31"/>
        <v>1</v>
      </c>
      <c r="X10" s="22">
        <f t="shared" ca="1" si="32"/>
        <v>1</v>
      </c>
      <c r="Y10" s="22">
        <f t="shared" ca="1" si="33"/>
        <v>17</v>
      </c>
      <c r="Z10" s="46">
        <f t="shared" ca="1" si="34"/>
        <v>0.11764705882352941</v>
      </c>
      <c r="AA10" s="46">
        <f t="shared" ca="1" si="35"/>
        <v>0.5</v>
      </c>
      <c r="AB10" s="24"/>
      <c r="AC10" s="24">
        <f ca="1">INDIRECT("'("&amp;$A$4&amp;")'!ac10")</f>
        <v>3</v>
      </c>
      <c r="AD10" s="24">
        <f ca="1">INDIRECT("'("&amp;$A$4&amp;")'!ad10")</f>
        <v>0</v>
      </c>
      <c r="AE10" s="24">
        <f ca="1">INDIRECT("'("&amp;$A$4&amp;")'!ae10")</f>
        <v>0</v>
      </c>
      <c r="AF10" s="24">
        <f ca="1">INDIRECT("'("&amp;$A$4&amp;")'!af10")</f>
        <v>0</v>
      </c>
      <c r="AG10" s="24">
        <f ca="1">INDIRECT("'("&amp;$A$4&amp;")'!ag10")</f>
        <v>0</v>
      </c>
      <c r="AH10" s="24">
        <f ca="1">INDIRECT("'("&amp;$A$4&amp;")'!ah10")</f>
        <v>0</v>
      </c>
      <c r="AI10" s="46">
        <f t="shared" ca="1" si="41"/>
        <v>0</v>
      </c>
      <c r="AJ10" s="46">
        <f t="shared" ca="1" si="42"/>
        <v>0</v>
      </c>
      <c r="AK10" s="24"/>
      <c r="AL10" s="24">
        <f ca="1">INDIRECT("'("&amp;$A$4&amp;")'!al10")</f>
        <v>14</v>
      </c>
      <c r="AM10" s="24">
        <f ca="1">INDIRECT("'("&amp;$A$4&amp;")'!am10")</f>
        <v>0</v>
      </c>
      <c r="AN10" s="24">
        <f ca="1">INDIRECT("'("&amp;$A$4&amp;")'!an10")</f>
        <v>0</v>
      </c>
      <c r="AO10" s="24">
        <f ca="1">INDIRECT("'("&amp;$A$4&amp;")'!ao10")</f>
        <v>0</v>
      </c>
      <c r="AP10" s="24">
        <f ca="1">INDIRECT("'("&amp;$A$4&amp;")'!ap10")</f>
        <v>0</v>
      </c>
      <c r="AQ10" s="24">
        <f ca="1">INDIRECT("'("&amp;$A$4&amp;")'!aq10")</f>
        <v>11</v>
      </c>
      <c r="AR10" s="46">
        <f t="shared" ca="1" si="48"/>
        <v>0</v>
      </c>
      <c r="AS10" s="46">
        <f t="shared" ca="1" si="49"/>
        <v>0.44</v>
      </c>
      <c r="AT10" s="24"/>
      <c r="AU10" s="22">
        <f t="shared" ca="1" si="50"/>
        <v>32</v>
      </c>
      <c r="AV10" s="22">
        <f t="shared" ca="1" si="51"/>
        <v>0</v>
      </c>
      <c r="AW10" s="22">
        <f t="shared" ca="1" si="52"/>
        <v>0</v>
      </c>
      <c r="AX10" s="22">
        <f t="shared" ca="1" si="53"/>
        <v>1</v>
      </c>
      <c r="AY10" s="22">
        <f t="shared" ca="1" si="54"/>
        <v>1</v>
      </c>
      <c r="AZ10" s="22">
        <f t="shared" ca="1" si="55"/>
        <v>28</v>
      </c>
      <c r="BA10" s="46">
        <f t="shared" ca="1" si="56"/>
        <v>5.8823529411764705E-2</v>
      </c>
      <c r="BB10" s="46">
        <f t="shared" ca="1" si="57"/>
        <v>0.45161290322580644</v>
      </c>
      <c r="BC10" s="19"/>
      <c r="BD10" s="19"/>
      <c r="BE10" s="19"/>
      <c r="BF10" s="19"/>
      <c r="BG10" s="19"/>
      <c r="BH10" s="19"/>
      <c r="BI10" s="19"/>
      <c r="BJ10" s="19"/>
      <c r="BK10" s="19"/>
    </row>
    <row r="11" spans="1:64" s="8" customFormat="1" ht="15" customHeight="1" x14ac:dyDescent="0.35">
      <c r="A11" s="2" t="s">
        <v>18</v>
      </c>
      <c r="B11" s="24">
        <f ca="1">INDIRECT("'("&amp;$A$4&amp;")'!b11")</f>
        <v>18</v>
      </c>
      <c r="C11" s="24">
        <f ca="1">INDIRECT("'("&amp;$A$4&amp;")'!c11")</f>
        <v>0</v>
      </c>
      <c r="D11" s="24">
        <f ca="1">INDIRECT("'("&amp;$A$4&amp;")'!d11")</f>
        <v>0</v>
      </c>
      <c r="E11" s="24">
        <f ca="1">INDIRECT("'("&amp;$A$4&amp;")'!e11")</f>
        <v>0</v>
      </c>
      <c r="F11" s="24">
        <f ca="1">INDIRECT("'("&amp;$A$4&amp;")'!f11")</f>
        <v>0</v>
      </c>
      <c r="G11" s="24">
        <f ca="1">INDIRECT("'("&amp;$A$4&amp;")'!g11")</f>
        <v>0</v>
      </c>
      <c r="H11" s="46">
        <f t="shared" ca="1" si="19"/>
        <v>0</v>
      </c>
      <c r="I11" s="46">
        <f t="shared" ca="1" si="20"/>
        <v>0</v>
      </c>
      <c r="J11" s="24"/>
      <c r="K11" s="24">
        <f ca="1">INDIRECT("'("&amp;$A$4&amp;")'!k11")</f>
        <v>24</v>
      </c>
      <c r="L11" s="24">
        <f ca="1">INDIRECT("'("&amp;$A$4&amp;")'!l11")</f>
        <v>1</v>
      </c>
      <c r="M11" s="24">
        <f ca="1">INDIRECT("'("&amp;$A$4&amp;")'!m11")</f>
        <v>0</v>
      </c>
      <c r="N11" s="24">
        <f ca="1">INDIRECT("'("&amp;$A$4&amp;")'!n11")</f>
        <v>0</v>
      </c>
      <c r="O11" s="24">
        <f ca="1">INDIRECT("'("&amp;$A$4&amp;")'!o11")</f>
        <v>0</v>
      </c>
      <c r="P11" s="24">
        <f ca="1">INDIRECT("'("&amp;$A$4&amp;")'!p11")</f>
        <v>1</v>
      </c>
      <c r="Q11" s="46">
        <f t="shared" ca="1" si="26"/>
        <v>0.04</v>
      </c>
      <c r="R11" s="46">
        <f t="shared" ca="1" si="27"/>
        <v>3.8461538461538464E-2</v>
      </c>
      <c r="S11" s="24"/>
      <c r="T11" s="22">
        <f t="shared" ca="1" si="28"/>
        <v>42</v>
      </c>
      <c r="U11" s="22">
        <f t="shared" ca="1" si="29"/>
        <v>1</v>
      </c>
      <c r="V11" s="22">
        <f t="shared" ca="1" si="30"/>
        <v>0</v>
      </c>
      <c r="W11" s="22">
        <f t="shared" ca="1" si="31"/>
        <v>0</v>
      </c>
      <c r="X11" s="22">
        <f t="shared" ca="1" si="32"/>
        <v>0</v>
      </c>
      <c r="Y11" s="22">
        <f t="shared" ca="1" si="33"/>
        <v>1</v>
      </c>
      <c r="Z11" s="46">
        <f t="shared" ca="1" si="34"/>
        <v>2.3255813953488372E-2</v>
      </c>
      <c r="AA11" s="46">
        <f t="shared" ca="1" si="35"/>
        <v>2.2727272727272728E-2</v>
      </c>
      <c r="AB11" s="24"/>
      <c r="AC11" s="24">
        <f ca="1">INDIRECT("'("&amp;$A$4&amp;")'!ac11")</f>
        <v>1</v>
      </c>
      <c r="AD11" s="24">
        <f ca="1">INDIRECT("'("&amp;$A$4&amp;")'!ad11")</f>
        <v>0</v>
      </c>
      <c r="AE11" s="24">
        <f ca="1">INDIRECT("'("&amp;$A$4&amp;")'!ae11")</f>
        <v>0</v>
      </c>
      <c r="AF11" s="24">
        <f ca="1">INDIRECT("'("&amp;$A$4&amp;")'!af11")</f>
        <v>0</v>
      </c>
      <c r="AG11" s="24">
        <f ca="1">INDIRECT("'("&amp;$A$4&amp;")'!ag11")</f>
        <v>0</v>
      </c>
      <c r="AH11" s="24">
        <f ca="1">INDIRECT("'("&amp;$A$4&amp;")'!ah11")</f>
        <v>1</v>
      </c>
      <c r="AI11" s="46">
        <f t="shared" ca="1" si="41"/>
        <v>0</v>
      </c>
      <c r="AJ11" s="46">
        <f t="shared" ca="1" si="42"/>
        <v>0.5</v>
      </c>
      <c r="AK11" s="24"/>
      <c r="AL11" s="24">
        <f ca="1">INDIRECT("'("&amp;$A$4&amp;")'!al11")</f>
        <v>15</v>
      </c>
      <c r="AM11" s="24">
        <f ca="1">INDIRECT("'("&amp;$A$4&amp;")'!am11")</f>
        <v>1</v>
      </c>
      <c r="AN11" s="24">
        <f ca="1">INDIRECT("'("&amp;$A$4&amp;")'!an11")</f>
        <v>1</v>
      </c>
      <c r="AO11" s="24">
        <f ca="1">INDIRECT("'("&amp;$A$4&amp;")'!ao11")</f>
        <v>0</v>
      </c>
      <c r="AP11" s="24">
        <f ca="1">INDIRECT("'("&amp;$A$4&amp;")'!ap11")</f>
        <v>0</v>
      </c>
      <c r="AQ11" s="24">
        <f ca="1">INDIRECT("'("&amp;$A$4&amp;")'!aq11")</f>
        <v>5</v>
      </c>
      <c r="AR11" s="46">
        <f t="shared" ca="1" si="48"/>
        <v>0.11764705882352941</v>
      </c>
      <c r="AS11" s="46">
        <f t="shared" ca="1" si="49"/>
        <v>0.22727272727272727</v>
      </c>
      <c r="AT11" s="24"/>
      <c r="AU11" s="22">
        <f t="shared" ca="1" si="50"/>
        <v>58</v>
      </c>
      <c r="AV11" s="22">
        <f t="shared" ca="1" si="51"/>
        <v>2</v>
      </c>
      <c r="AW11" s="22">
        <f t="shared" ca="1" si="52"/>
        <v>1</v>
      </c>
      <c r="AX11" s="22">
        <f t="shared" ca="1" si="53"/>
        <v>0</v>
      </c>
      <c r="AY11" s="22">
        <f t="shared" ca="1" si="54"/>
        <v>0</v>
      </c>
      <c r="AZ11" s="22">
        <f t="shared" ca="1" si="55"/>
        <v>7</v>
      </c>
      <c r="BA11" s="46">
        <f t="shared" ca="1" si="56"/>
        <v>4.9180327868852458E-2</v>
      </c>
      <c r="BB11" s="46">
        <f t="shared" ca="1" si="57"/>
        <v>0.10294117647058823</v>
      </c>
      <c r="BC11" s="19"/>
      <c r="BD11" s="19"/>
      <c r="BE11" s="19"/>
      <c r="BF11" s="19"/>
      <c r="BG11" s="19"/>
      <c r="BH11" s="19"/>
      <c r="BI11" s="19"/>
      <c r="BJ11" s="19"/>
      <c r="BK11" s="19"/>
    </row>
    <row r="12" spans="1:64" s="8" customFormat="1" ht="15" customHeight="1" x14ac:dyDescent="0.35">
      <c r="A12" s="2" t="s">
        <v>19</v>
      </c>
      <c r="B12" s="24">
        <f ca="1">INDIRECT("'("&amp;$A$4&amp;")'!b12")</f>
        <v>13</v>
      </c>
      <c r="C12" s="24">
        <f ca="1">INDIRECT("'("&amp;$A$4&amp;")'!c12")</f>
        <v>1</v>
      </c>
      <c r="D12" s="24">
        <f ca="1">INDIRECT("'("&amp;$A$4&amp;")'!d12")</f>
        <v>0</v>
      </c>
      <c r="E12" s="24">
        <f ca="1">INDIRECT("'("&amp;$A$4&amp;")'!e12")</f>
        <v>0</v>
      </c>
      <c r="F12" s="24">
        <f ca="1">INDIRECT("'("&amp;$A$4&amp;")'!f12")</f>
        <v>0</v>
      </c>
      <c r="G12" s="24">
        <f ca="1">INDIRECT("'("&amp;$A$4&amp;")'!g12")</f>
        <v>0</v>
      </c>
      <c r="H12" s="46">
        <f t="shared" ca="1" si="19"/>
        <v>7.1428571428571425E-2</v>
      </c>
      <c r="I12" s="46">
        <f t="shared" ca="1" si="20"/>
        <v>0</v>
      </c>
      <c r="J12" s="24"/>
      <c r="K12" s="24">
        <f ca="1">INDIRECT("'("&amp;$A$4&amp;")'!k12")</f>
        <v>22</v>
      </c>
      <c r="L12" s="24">
        <f ca="1">INDIRECT("'("&amp;$A$4&amp;")'!l12")</f>
        <v>1</v>
      </c>
      <c r="M12" s="24">
        <f ca="1">INDIRECT("'("&amp;$A$4&amp;")'!m12")</f>
        <v>0</v>
      </c>
      <c r="N12" s="24">
        <f ca="1">INDIRECT("'("&amp;$A$4&amp;")'!n12")</f>
        <v>0</v>
      </c>
      <c r="O12" s="24">
        <f ca="1">INDIRECT("'("&amp;$A$4&amp;")'!o12")</f>
        <v>0</v>
      </c>
      <c r="P12" s="24">
        <f ca="1">INDIRECT("'("&amp;$A$4&amp;")'!p12")</f>
        <v>0</v>
      </c>
      <c r="Q12" s="46">
        <f t="shared" ca="1" si="26"/>
        <v>4.3478260869565216E-2</v>
      </c>
      <c r="R12" s="46">
        <f t="shared" ca="1" si="27"/>
        <v>0</v>
      </c>
      <c r="S12" s="24"/>
      <c r="T12" s="22">
        <f t="shared" ca="1" si="28"/>
        <v>35</v>
      </c>
      <c r="U12" s="22">
        <f t="shared" ca="1" si="29"/>
        <v>2</v>
      </c>
      <c r="V12" s="22">
        <f t="shared" ca="1" si="30"/>
        <v>0</v>
      </c>
      <c r="W12" s="22">
        <f t="shared" ca="1" si="31"/>
        <v>0</v>
      </c>
      <c r="X12" s="22">
        <f t="shared" ca="1" si="32"/>
        <v>0</v>
      </c>
      <c r="Y12" s="22">
        <f t="shared" ca="1" si="33"/>
        <v>0</v>
      </c>
      <c r="Z12" s="46">
        <f t="shared" ca="1" si="34"/>
        <v>5.4054054054054057E-2</v>
      </c>
      <c r="AA12" s="46">
        <f t="shared" ca="1" si="35"/>
        <v>0</v>
      </c>
      <c r="AB12" s="24"/>
      <c r="AC12" s="24">
        <f ca="1">INDIRECT("'("&amp;$A$4&amp;")'!ac12")</f>
        <v>5</v>
      </c>
      <c r="AD12" s="24">
        <f ca="1">INDIRECT("'("&amp;$A$4&amp;")'!ad12")</f>
        <v>0</v>
      </c>
      <c r="AE12" s="24">
        <f ca="1">INDIRECT("'("&amp;$A$4&amp;")'!ae12")</f>
        <v>0</v>
      </c>
      <c r="AF12" s="24">
        <f ca="1">INDIRECT("'("&amp;$A$4&amp;")'!af12")</f>
        <v>0</v>
      </c>
      <c r="AG12" s="24">
        <f ca="1">INDIRECT("'("&amp;$A$4&amp;")'!ag12")</f>
        <v>0</v>
      </c>
      <c r="AH12" s="24">
        <f ca="1">INDIRECT("'("&amp;$A$4&amp;")'!ah12")</f>
        <v>0</v>
      </c>
      <c r="AI12" s="46">
        <f t="shared" ca="1" si="41"/>
        <v>0</v>
      </c>
      <c r="AJ12" s="46">
        <f t="shared" ca="1" si="42"/>
        <v>0</v>
      </c>
      <c r="AK12" s="24"/>
      <c r="AL12" s="24">
        <f ca="1">INDIRECT("'("&amp;$A$4&amp;")'!al12")</f>
        <v>22</v>
      </c>
      <c r="AM12" s="24">
        <f ca="1">INDIRECT("'("&amp;$A$4&amp;")'!am12")</f>
        <v>1</v>
      </c>
      <c r="AN12" s="24">
        <f ca="1">INDIRECT("'("&amp;$A$4&amp;")'!an12")</f>
        <v>3</v>
      </c>
      <c r="AO12" s="24">
        <f ca="1">INDIRECT("'("&amp;$A$4&amp;")'!ao12")</f>
        <v>2</v>
      </c>
      <c r="AP12" s="24">
        <f ca="1">INDIRECT("'("&amp;$A$4&amp;")'!ap12")</f>
        <v>0</v>
      </c>
      <c r="AQ12" s="24">
        <f ca="1">INDIRECT("'("&amp;$A$4&amp;")'!aq12")</f>
        <v>1</v>
      </c>
      <c r="AR12" s="46">
        <f t="shared" ca="1" si="48"/>
        <v>0.21428571428571427</v>
      </c>
      <c r="AS12" s="46">
        <f t="shared" ca="1" si="49"/>
        <v>3.4482758620689655E-2</v>
      </c>
      <c r="AT12" s="24"/>
      <c r="AU12" s="22">
        <f t="shared" ca="1" si="50"/>
        <v>62</v>
      </c>
      <c r="AV12" s="22">
        <f t="shared" ca="1" si="51"/>
        <v>3</v>
      </c>
      <c r="AW12" s="22">
        <f t="shared" ca="1" si="52"/>
        <v>3</v>
      </c>
      <c r="AX12" s="22">
        <f t="shared" ca="1" si="53"/>
        <v>2</v>
      </c>
      <c r="AY12" s="22">
        <f t="shared" ca="1" si="54"/>
        <v>0</v>
      </c>
      <c r="AZ12" s="22">
        <f t="shared" ca="1" si="55"/>
        <v>1</v>
      </c>
      <c r="BA12" s="46">
        <f t="shared" ca="1" si="56"/>
        <v>0.11428571428571428</v>
      </c>
      <c r="BB12" s="46">
        <f t="shared" ca="1" si="57"/>
        <v>1.4084507042253521E-2</v>
      </c>
      <c r="BC12" s="19"/>
      <c r="BD12" s="19"/>
      <c r="BE12" s="19"/>
      <c r="BF12" s="19"/>
      <c r="BG12" s="19"/>
      <c r="BH12" s="19"/>
      <c r="BI12" s="19"/>
      <c r="BJ12" s="19"/>
      <c r="BK12" s="19"/>
    </row>
    <row r="13" spans="1:64" s="8" customFormat="1" ht="15" customHeight="1" x14ac:dyDescent="0.35">
      <c r="A13" s="2" t="s">
        <v>20</v>
      </c>
      <c r="B13" s="24">
        <f ca="1">INDIRECT("'("&amp;$A$4&amp;")'!b13")</f>
        <v>25</v>
      </c>
      <c r="C13" s="24">
        <f ca="1">INDIRECT("'("&amp;$A$4&amp;")'!c13")</f>
        <v>3</v>
      </c>
      <c r="D13" s="24">
        <f ca="1">INDIRECT("'("&amp;$A$4&amp;")'!d13")</f>
        <v>0</v>
      </c>
      <c r="E13" s="24">
        <f ca="1">INDIRECT("'("&amp;$A$4&amp;")'!e13")</f>
        <v>0</v>
      </c>
      <c r="F13" s="24">
        <f ca="1">INDIRECT("'("&amp;$A$4&amp;")'!f13")</f>
        <v>0</v>
      </c>
      <c r="G13" s="24">
        <f ca="1">INDIRECT("'("&amp;$A$4&amp;")'!g13")</f>
        <v>0</v>
      </c>
      <c r="H13" s="46">
        <f t="shared" ca="1" si="19"/>
        <v>0.10714285714285714</v>
      </c>
      <c r="I13" s="46">
        <f t="shared" ca="1" si="20"/>
        <v>0</v>
      </c>
      <c r="J13" s="24"/>
      <c r="K13" s="24">
        <f ca="1">INDIRECT("'("&amp;$A$4&amp;")'!k13")</f>
        <v>18</v>
      </c>
      <c r="L13" s="24">
        <f ca="1">INDIRECT("'("&amp;$A$4&amp;")'!l13")</f>
        <v>0</v>
      </c>
      <c r="M13" s="24">
        <f ca="1">INDIRECT("'("&amp;$A$4&amp;")'!m13")</f>
        <v>1</v>
      </c>
      <c r="N13" s="24">
        <f ca="1">INDIRECT("'("&amp;$A$4&amp;")'!n13")</f>
        <v>0</v>
      </c>
      <c r="O13" s="24">
        <f ca="1">INDIRECT("'("&amp;$A$4&amp;")'!o13")</f>
        <v>0</v>
      </c>
      <c r="P13" s="24">
        <f ca="1">INDIRECT("'("&amp;$A$4&amp;")'!p13")</f>
        <v>0</v>
      </c>
      <c r="Q13" s="46">
        <f t="shared" ca="1" si="26"/>
        <v>5.2631578947368418E-2</v>
      </c>
      <c r="R13" s="46">
        <f t="shared" ca="1" si="27"/>
        <v>0</v>
      </c>
      <c r="S13" s="24"/>
      <c r="T13" s="22">
        <f t="shared" ca="1" si="28"/>
        <v>43</v>
      </c>
      <c r="U13" s="22">
        <f t="shared" ca="1" si="29"/>
        <v>3</v>
      </c>
      <c r="V13" s="22">
        <f t="shared" ca="1" si="30"/>
        <v>1</v>
      </c>
      <c r="W13" s="22">
        <f t="shared" ca="1" si="31"/>
        <v>0</v>
      </c>
      <c r="X13" s="22">
        <f t="shared" ca="1" si="32"/>
        <v>0</v>
      </c>
      <c r="Y13" s="22">
        <f t="shared" ca="1" si="33"/>
        <v>0</v>
      </c>
      <c r="Z13" s="46">
        <f t="shared" ca="1" si="34"/>
        <v>8.5106382978723402E-2</v>
      </c>
      <c r="AA13" s="46">
        <f t="shared" ca="1" si="35"/>
        <v>0</v>
      </c>
      <c r="AB13" s="24"/>
      <c r="AC13" s="24">
        <f ca="1">INDIRECT("'("&amp;$A$4&amp;")'!ac13")</f>
        <v>0</v>
      </c>
      <c r="AD13" s="24">
        <f ca="1">INDIRECT("'("&amp;$A$4&amp;")'!ad13")</f>
        <v>0</v>
      </c>
      <c r="AE13" s="24">
        <f ca="1">INDIRECT("'("&amp;$A$4&amp;")'!ae13")</f>
        <v>0</v>
      </c>
      <c r="AF13" s="24">
        <f ca="1">INDIRECT("'("&amp;$A$4&amp;")'!af13")</f>
        <v>0</v>
      </c>
      <c r="AG13" s="24">
        <f ca="1">INDIRECT("'("&amp;$A$4&amp;")'!ag13")</f>
        <v>0</v>
      </c>
      <c r="AH13" s="24">
        <f ca="1">INDIRECT("'("&amp;$A$4&amp;")'!ah13")</f>
        <v>0</v>
      </c>
      <c r="AI13" s="46" t="str">
        <f t="shared" ca="1" si="41"/>
        <v>-</v>
      </c>
      <c r="AJ13" s="46" t="str">
        <f t="shared" ca="1" si="42"/>
        <v>-</v>
      </c>
      <c r="AK13" s="24"/>
      <c r="AL13" s="24">
        <f ca="1">INDIRECT("'("&amp;$A$4&amp;")'!al13")</f>
        <v>5</v>
      </c>
      <c r="AM13" s="24">
        <f ca="1">INDIRECT("'("&amp;$A$4&amp;")'!am13")</f>
        <v>0</v>
      </c>
      <c r="AN13" s="24">
        <f ca="1">INDIRECT("'("&amp;$A$4&amp;")'!an13")</f>
        <v>0</v>
      </c>
      <c r="AO13" s="24">
        <f ca="1">INDIRECT("'("&amp;$A$4&amp;")'!ao13")</f>
        <v>1</v>
      </c>
      <c r="AP13" s="24">
        <f ca="1">INDIRECT("'("&amp;$A$4&amp;")'!ap13")</f>
        <v>0</v>
      </c>
      <c r="AQ13" s="24">
        <f ca="1">INDIRECT("'("&amp;$A$4&amp;")'!aq13")</f>
        <v>0</v>
      </c>
      <c r="AR13" s="46">
        <f t="shared" ca="1" si="48"/>
        <v>0.16666666666666666</v>
      </c>
      <c r="AS13" s="46">
        <f t="shared" ca="1" si="49"/>
        <v>0</v>
      </c>
      <c r="AT13" s="24"/>
      <c r="AU13" s="22">
        <f t="shared" ca="1" si="50"/>
        <v>48</v>
      </c>
      <c r="AV13" s="22">
        <f t="shared" ca="1" si="51"/>
        <v>3</v>
      </c>
      <c r="AW13" s="22">
        <f t="shared" ca="1" si="52"/>
        <v>1</v>
      </c>
      <c r="AX13" s="22">
        <f t="shared" ca="1" si="53"/>
        <v>1</v>
      </c>
      <c r="AY13" s="22">
        <f t="shared" ca="1" si="54"/>
        <v>0</v>
      </c>
      <c r="AZ13" s="22">
        <f t="shared" ca="1" si="55"/>
        <v>0</v>
      </c>
      <c r="BA13" s="46">
        <f t="shared" ca="1" si="56"/>
        <v>9.4339622641509441E-2</v>
      </c>
      <c r="BB13" s="46">
        <f t="shared" ca="1" si="57"/>
        <v>0</v>
      </c>
      <c r="BC13" s="19"/>
      <c r="BD13" s="19"/>
      <c r="BE13" s="19"/>
      <c r="BF13" s="19"/>
      <c r="BG13" s="19"/>
      <c r="BH13" s="19"/>
      <c r="BI13" s="19"/>
      <c r="BJ13" s="19"/>
      <c r="BK13" s="19"/>
    </row>
    <row r="14" spans="1:64" s="8" customFormat="1" ht="15" customHeight="1" x14ac:dyDescent="0.35">
      <c r="A14" s="2" t="s">
        <v>21</v>
      </c>
      <c r="B14" s="24">
        <f ca="1">INDIRECT("'("&amp;$A$4&amp;")'!b14")</f>
        <v>12</v>
      </c>
      <c r="C14" s="24">
        <f ca="1">INDIRECT("'("&amp;$A$4&amp;")'!c14")</f>
        <v>0</v>
      </c>
      <c r="D14" s="24">
        <f ca="1">INDIRECT("'("&amp;$A$4&amp;")'!d14")</f>
        <v>0</v>
      </c>
      <c r="E14" s="24">
        <f ca="1">INDIRECT("'("&amp;$A$4&amp;")'!e14")</f>
        <v>0</v>
      </c>
      <c r="F14" s="24">
        <f ca="1">INDIRECT("'("&amp;$A$4&amp;")'!f14")</f>
        <v>0</v>
      </c>
      <c r="G14" s="24">
        <f ca="1">INDIRECT("'("&amp;$A$4&amp;")'!g14")</f>
        <v>2</v>
      </c>
      <c r="H14" s="46">
        <f t="shared" ca="1" si="19"/>
        <v>0</v>
      </c>
      <c r="I14" s="46">
        <f t="shared" ca="1" si="20"/>
        <v>0.14285714285714285</v>
      </c>
      <c r="J14" s="24"/>
      <c r="K14" s="24">
        <f ca="1">INDIRECT("'("&amp;$A$4&amp;")'!k14")</f>
        <v>32</v>
      </c>
      <c r="L14" s="24">
        <f ca="1">INDIRECT("'("&amp;$A$4&amp;")'!l14")</f>
        <v>0</v>
      </c>
      <c r="M14" s="24">
        <f ca="1">INDIRECT("'("&amp;$A$4&amp;")'!m14")</f>
        <v>0</v>
      </c>
      <c r="N14" s="24">
        <f ca="1">INDIRECT("'("&amp;$A$4&amp;")'!n14")</f>
        <v>0</v>
      </c>
      <c r="O14" s="24">
        <f ca="1">INDIRECT("'("&amp;$A$4&amp;")'!o14")</f>
        <v>0</v>
      </c>
      <c r="P14" s="24">
        <f ca="1">INDIRECT("'("&amp;$A$4&amp;")'!p14")</f>
        <v>4</v>
      </c>
      <c r="Q14" s="46">
        <f t="shared" ca="1" si="26"/>
        <v>0</v>
      </c>
      <c r="R14" s="46">
        <f t="shared" ca="1" si="27"/>
        <v>0.1111111111111111</v>
      </c>
      <c r="S14" s="24"/>
      <c r="T14" s="22">
        <f t="shared" ca="1" si="28"/>
        <v>44</v>
      </c>
      <c r="U14" s="22">
        <f t="shared" ca="1" si="29"/>
        <v>0</v>
      </c>
      <c r="V14" s="22">
        <f t="shared" ca="1" si="30"/>
        <v>0</v>
      </c>
      <c r="W14" s="22">
        <f t="shared" ca="1" si="31"/>
        <v>0</v>
      </c>
      <c r="X14" s="22">
        <f t="shared" ca="1" si="32"/>
        <v>0</v>
      </c>
      <c r="Y14" s="22">
        <f t="shared" ca="1" si="33"/>
        <v>6</v>
      </c>
      <c r="Z14" s="46">
        <f t="shared" ca="1" si="34"/>
        <v>0</v>
      </c>
      <c r="AA14" s="46">
        <f t="shared" ca="1" si="35"/>
        <v>0.12</v>
      </c>
      <c r="AB14" s="24"/>
      <c r="AC14" s="24">
        <f ca="1">INDIRECT("'("&amp;$A$4&amp;")'!ac14")</f>
        <v>8</v>
      </c>
      <c r="AD14" s="24">
        <f ca="1">INDIRECT("'("&amp;$A$4&amp;")'!ad14")</f>
        <v>0</v>
      </c>
      <c r="AE14" s="24">
        <f ca="1">INDIRECT("'("&amp;$A$4&amp;")'!ae14")</f>
        <v>0</v>
      </c>
      <c r="AF14" s="24">
        <f ca="1">INDIRECT("'("&amp;$A$4&amp;")'!af14")</f>
        <v>0</v>
      </c>
      <c r="AG14" s="24">
        <f ca="1">INDIRECT("'("&amp;$A$4&amp;")'!ag14")</f>
        <v>0</v>
      </c>
      <c r="AH14" s="24">
        <f ca="1">INDIRECT("'("&amp;$A$4&amp;")'!ah14")</f>
        <v>4</v>
      </c>
      <c r="AI14" s="46">
        <f t="shared" ca="1" si="41"/>
        <v>0</v>
      </c>
      <c r="AJ14" s="46">
        <f t="shared" ca="1" si="42"/>
        <v>0.33333333333333331</v>
      </c>
      <c r="AK14" s="24"/>
      <c r="AL14" s="24">
        <f ca="1">INDIRECT("'("&amp;$A$4&amp;")'!al14")</f>
        <v>12</v>
      </c>
      <c r="AM14" s="24">
        <f ca="1">INDIRECT("'("&amp;$A$4&amp;")'!am14")</f>
        <v>1</v>
      </c>
      <c r="AN14" s="24">
        <f ca="1">INDIRECT("'("&amp;$A$4&amp;")'!an14")</f>
        <v>1</v>
      </c>
      <c r="AO14" s="24">
        <f ca="1">INDIRECT("'("&amp;$A$4&amp;")'!ao14")</f>
        <v>2</v>
      </c>
      <c r="AP14" s="24">
        <f ca="1">INDIRECT("'("&amp;$A$4&amp;")'!ap14")</f>
        <v>0</v>
      </c>
      <c r="AQ14" s="24">
        <f ca="1">INDIRECT("'("&amp;$A$4&amp;")'!aq14")</f>
        <v>5</v>
      </c>
      <c r="AR14" s="46">
        <f t="shared" ca="1" si="48"/>
        <v>0.25</v>
      </c>
      <c r="AS14" s="46">
        <f t="shared" ca="1" si="49"/>
        <v>0.23809523809523808</v>
      </c>
      <c r="AT14" s="24"/>
      <c r="AU14" s="22">
        <f t="shared" ca="1" si="50"/>
        <v>64</v>
      </c>
      <c r="AV14" s="22">
        <f t="shared" ca="1" si="51"/>
        <v>1</v>
      </c>
      <c r="AW14" s="22">
        <f t="shared" ca="1" si="52"/>
        <v>1</v>
      </c>
      <c r="AX14" s="22">
        <f t="shared" ca="1" si="53"/>
        <v>2</v>
      </c>
      <c r="AY14" s="22">
        <f t="shared" ca="1" si="54"/>
        <v>0</v>
      </c>
      <c r="AZ14" s="22">
        <f t="shared" ca="1" si="55"/>
        <v>15</v>
      </c>
      <c r="BA14" s="46">
        <f t="shared" ca="1" si="56"/>
        <v>5.8823529411764705E-2</v>
      </c>
      <c r="BB14" s="46">
        <f t="shared" ca="1" si="57"/>
        <v>0.18072289156626506</v>
      </c>
      <c r="BC14" s="19"/>
      <c r="BD14" s="19"/>
      <c r="BE14" s="19"/>
      <c r="BF14" s="19"/>
      <c r="BG14" s="19"/>
      <c r="BH14" s="19"/>
      <c r="BI14" s="19"/>
      <c r="BJ14" s="19"/>
      <c r="BK14" s="19"/>
    </row>
    <row r="15" spans="1:64" s="8" customFormat="1" ht="15" customHeight="1" x14ac:dyDescent="0.35">
      <c r="A15" s="2" t="s">
        <v>22</v>
      </c>
      <c r="B15" s="24">
        <f ca="1">INDIRECT("'("&amp;$A$4&amp;")'!b15")</f>
        <v>49</v>
      </c>
      <c r="C15" s="24">
        <f ca="1">INDIRECT("'("&amp;$A$4&amp;")'!c15")</f>
        <v>0</v>
      </c>
      <c r="D15" s="24">
        <f ca="1">INDIRECT("'("&amp;$A$4&amp;")'!d15")</f>
        <v>0</v>
      </c>
      <c r="E15" s="24">
        <f ca="1">INDIRECT("'("&amp;$A$4&amp;")'!e15")</f>
        <v>0</v>
      </c>
      <c r="F15" s="24">
        <f ca="1">INDIRECT("'("&amp;$A$4&amp;")'!f15")</f>
        <v>1</v>
      </c>
      <c r="G15" s="24">
        <f ca="1">INDIRECT("'("&amp;$A$4&amp;")'!g15")</f>
        <v>4</v>
      </c>
      <c r="H15" s="46">
        <f t="shared" ca="1" si="19"/>
        <v>0.02</v>
      </c>
      <c r="I15" s="46">
        <f t="shared" ca="1" si="20"/>
        <v>7.407407407407407E-2</v>
      </c>
      <c r="J15" s="24"/>
      <c r="K15" s="24">
        <f ca="1">INDIRECT("'("&amp;$A$4&amp;")'!k15")</f>
        <v>26</v>
      </c>
      <c r="L15" s="24">
        <f ca="1">INDIRECT("'("&amp;$A$4&amp;")'!l15")</f>
        <v>0</v>
      </c>
      <c r="M15" s="24">
        <f ca="1">INDIRECT("'("&amp;$A$4&amp;")'!m15")</f>
        <v>0</v>
      </c>
      <c r="N15" s="24">
        <f ca="1">INDIRECT("'("&amp;$A$4&amp;")'!n15")</f>
        <v>0</v>
      </c>
      <c r="O15" s="24">
        <f ca="1">INDIRECT("'("&amp;$A$4&amp;")'!o15")</f>
        <v>0</v>
      </c>
      <c r="P15" s="24">
        <f ca="1">INDIRECT("'("&amp;$A$4&amp;")'!p15")</f>
        <v>2</v>
      </c>
      <c r="Q15" s="46">
        <f t="shared" ca="1" si="26"/>
        <v>0</v>
      </c>
      <c r="R15" s="46">
        <f t="shared" ca="1" si="27"/>
        <v>7.1428571428571425E-2</v>
      </c>
      <c r="S15" s="24"/>
      <c r="T15" s="22">
        <f t="shared" ca="1" si="28"/>
        <v>75</v>
      </c>
      <c r="U15" s="22">
        <f t="shared" ca="1" si="29"/>
        <v>0</v>
      </c>
      <c r="V15" s="22">
        <f t="shared" ca="1" si="30"/>
        <v>0</v>
      </c>
      <c r="W15" s="22">
        <f t="shared" ca="1" si="31"/>
        <v>0</v>
      </c>
      <c r="X15" s="22">
        <f t="shared" ca="1" si="32"/>
        <v>1</v>
      </c>
      <c r="Y15" s="22">
        <f t="shared" ca="1" si="33"/>
        <v>6</v>
      </c>
      <c r="Z15" s="46">
        <f t="shared" ca="1" si="34"/>
        <v>1.3157894736842105E-2</v>
      </c>
      <c r="AA15" s="46">
        <f t="shared" ca="1" si="35"/>
        <v>7.3170731707317069E-2</v>
      </c>
      <c r="AB15" s="24"/>
      <c r="AC15" s="24">
        <f ca="1">INDIRECT("'("&amp;$A$4&amp;")'!ac15")</f>
        <v>0</v>
      </c>
      <c r="AD15" s="24">
        <f ca="1">INDIRECT("'("&amp;$A$4&amp;")'!ad15")</f>
        <v>0</v>
      </c>
      <c r="AE15" s="24">
        <f ca="1">INDIRECT("'("&amp;$A$4&amp;")'!ae15")</f>
        <v>0</v>
      </c>
      <c r="AF15" s="24">
        <f ca="1">INDIRECT("'("&amp;$A$4&amp;")'!af15")</f>
        <v>0</v>
      </c>
      <c r="AG15" s="24">
        <f ca="1">INDIRECT("'("&amp;$A$4&amp;")'!ag15")</f>
        <v>0</v>
      </c>
      <c r="AH15" s="24">
        <f ca="1">INDIRECT("'("&amp;$A$4&amp;")'!ah15")</f>
        <v>0</v>
      </c>
      <c r="AI15" s="46" t="str">
        <f t="shared" ca="1" si="41"/>
        <v>-</v>
      </c>
      <c r="AJ15" s="46" t="str">
        <f t="shared" ca="1" si="42"/>
        <v>-</v>
      </c>
      <c r="AK15" s="24"/>
      <c r="AL15" s="24">
        <f ca="1">INDIRECT("'("&amp;$A$4&amp;")'!al15")</f>
        <v>16</v>
      </c>
      <c r="AM15" s="24">
        <f ca="1">INDIRECT("'("&amp;$A$4&amp;")'!am15")</f>
        <v>0</v>
      </c>
      <c r="AN15" s="24">
        <f ca="1">INDIRECT("'("&amp;$A$4&amp;")'!an15")</f>
        <v>0</v>
      </c>
      <c r="AO15" s="24">
        <f ca="1">INDIRECT("'("&amp;$A$4&amp;")'!ao15")</f>
        <v>0</v>
      </c>
      <c r="AP15" s="24">
        <f ca="1">INDIRECT("'("&amp;$A$4&amp;")'!ap15")</f>
        <v>0</v>
      </c>
      <c r="AQ15" s="24">
        <f ca="1">INDIRECT("'("&amp;$A$4&amp;")'!aq15")</f>
        <v>0</v>
      </c>
      <c r="AR15" s="46">
        <f t="shared" ca="1" si="48"/>
        <v>0</v>
      </c>
      <c r="AS15" s="46">
        <f t="shared" ca="1" si="49"/>
        <v>0</v>
      </c>
      <c r="AT15" s="24"/>
      <c r="AU15" s="22">
        <f t="shared" ca="1" si="50"/>
        <v>91</v>
      </c>
      <c r="AV15" s="22">
        <f t="shared" ca="1" si="51"/>
        <v>0</v>
      </c>
      <c r="AW15" s="22">
        <f t="shared" ca="1" si="52"/>
        <v>0</v>
      </c>
      <c r="AX15" s="22">
        <f t="shared" ca="1" si="53"/>
        <v>0</v>
      </c>
      <c r="AY15" s="22">
        <f t="shared" ca="1" si="54"/>
        <v>1</v>
      </c>
      <c r="AZ15" s="22">
        <f t="shared" ca="1" si="55"/>
        <v>6</v>
      </c>
      <c r="BA15" s="46">
        <f t="shared" ca="1" si="56"/>
        <v>1.0869565217391304E-2</v>
      </c>
      <c r="BB15" s="46">
        <f t="shared" ca="1" si="57"/>
        <v>6.1224489795918366E-2</v>
      </c>
      <c r="BC15" s="19"/>
      <c r="BD15" s="19"/>
      <c r="BE15" s="19"/>
      <c r="BF15" s="19"/>
      <c r="BG15" s="19"/>
      <c r="BH15" s="19"/>
      <c r="BI15" s="19"/>
      <c r="BJ15" s="19"/>
      <c r="BK15" s="19"/>
    </row>
    <row r="16" spans="1:64" s="8" customFormat="1" ht="15" customHeight="1" x14ac:dyDescent="0.35">
      <c r="A16" s="2" t="s">
        <v>23</v>
      </c>
      <c r="B16" s="24">
        <f ca="1">INDIRECT("'("&amp;$A$4&amp;")'!b16")</f>
        <v>36</v>
      </c>
      <c r="C16" s="24">
        <f ca="1">INDIRECT("'("&amp;$A$4&amp;")'!c16")</f>
        <v>0</v>
      </c>
      <c r="D16" s="24">
        <f ca="1">INDIRECT("'("&amp;$A$4&amp;")'!d16")</f>
        <v>0</v>
      </c>
      <c r="E16" s="24">
        <f ca="1">INDIRECT("'("&amp;$A$4&amp;")'!e16")</f>
        <v>0</v>
      </c>
      <c r="F16" s="24">
        <f ca="1">INDIRECT("'("&amp;$A$4&amp;")'!f16")</f>
        <v>0</v>
      </c>
      <c r="G16" s="24">
        <f ca="1">INDIRECT("'("&amp;$A$4&amp;")'!g16")</f>
        <v>0</v>
      </c>
      <c r="H16" s="46">
        <f t="shared" ca="1" si="19"/>
        <v>0</v>
      </c>
      <c r="I16" s="46">
        <f t="shared" ca="1" si="20"/>
        <v>0</v>
      </c>
      <c r="J16" s="24"/>
      <c r="K16" s="24">
        <f ca="1">INDIRECT("'("&amp;$A$4&amp;")'!k16")</f>
        <v>13</v>
      </c>
      <c r="L16" s="24">
        <f ca="1">INDIRECT("'("&amp;$A$4&amp;")'!l16")</f>
        <v>0</v>
      </c>
      <c r="M16" s="24">
        <f ca="1">INDIRECT("'("&amp;$A$4&amp;")'!m16")</f>
        <v>0</v>
      </c>
      <c r="N16" s="24">
        <f ca="1">INDIRECT("'("&amp;$A$4&amp;")'!n16")</f>
        <v>0</v>
      </c>
      <c r="O16" s="24">
        <f ca="1">INDIRECT("'("&amp;$A$4&amp;")'!o16")</f>
        <v>0</v>
      </c>
      <c r="P16" s="24">
        <f ca="1">INDIRECT("'("&amp;$A$4&amp;")'!p16")</f>
        <v>0</v>
      </c>
      <c r="Q16" s="46">
        <f t="shared" ca="1" si="26"/>
        <v>0</v>
      </c>
      <c r="R16" s="46">
        <f t="shared" ca="1" si="27"/>
        <v>0</v>
      </c>
      <c r="S16" s="24"/>
      <c r="T16" s="22">
        <f t="shared" ca="1" si="28"/>
        <v>49</v>
      </c>
      <c r="U16" s="22">
        <f t="shared" ca="1" si="29"/>
        <v>0</v>
      </c>
      <c r="V16" s="22">
        <f t="shared" ca="1" si="30"/>
        <v>0</v>
      </c>
      <c r="W16" s="22">
        <f t="shared" ca="1" si="31"/>
        <v>0</v>
      </c>
      <c r="X16" s="22">
        <f t="shared" ca="1" si="32"/>
        <v>0</v>
      </c>
      <c r="Y16" s="22">
        <f t="shared" ca="1" si="33"/>
        <v>0</v>
      </c>
      <c r="Z16" s="46">
        <f t="shared" ca="1" si="34"/>
        <v>0</v>
      </c>
      <c r="AA16" s="46">
        <f t="shared" ca="1" si="35"/>
        <v>0</v>
      </c>
      <c r="AB16" s="24"/>
      <c r="AC16" s="24">
        <f ca="1">INDIRECT("'("&amp;$A$4&amp;")'!ac16")</f>
        <v>2</v>
      </c>
      <c r="AD16" s="24">
        <f ca="1">INDIRECT("'("&amp;$A$4&amp;")'!ad16")</f>
        <v>0</v>
      </c>
      <c r="AE16" s="24">
        <f ca="1">INDIRECT("'("&amp;$A$4&amp;")'!ae16")</f>
        <v>0</v>
      </c>
      <c r="AF16" s="24">
        <f ca="1">INDIRECT("'("&amp;$A$4&amp;")'!af16")</f>
        <v>0</v>
      </c>
      <c r="AG16" s="24">
        <f ca="1">INDIRECT("'("&amp;$A$4&amp;")'!ag16")</f>
        <v>0</v>
      </c>
      <c r="AH16" s="24">
        <f ca="1">INDIRECT("'("&amp;$A$4&amp;")'!ah16")</f>
        <v>0</v>
      </c>
      <c r="AI16" s="46">
        <f t="shared" ca="1" si="41"/>
        <v>0</v>
      </c>
      <c r="AJ16" s="46">
        <f t="shared" ca="1" si="42"/>
        <v>0</v>
      </c>
      <c r="AK16" s="24"/>
      <c r="AL16" s="24">
        <f ca="1">INDIRECT("'("&amp;$A$4&amp;")'!al16")</f>
        <v>12</v>
      </c>
      <c r="AM16" s="24">
        <f ca="1">INDIRECT("'("&amp;$A$4&amp;")'!am16")</f>
        <v>0</v>
      </c>
      <c r="AN16" s="24">
        <f ca="1">INDIRECT("'("&amp;$A$4&amp;")'!an16")</f>
        <v>0</v>
      </c>
      <c r="AO16" s="24">
        <f ca="1">INDIRECT("'("&amp;$A$4&amp;")'!ao16")</f>
        <v>0</v>
      </c>
      <c r="AP16" s="24">
        <f ca="1">INDIRECT("'("&amp;$A$4&amp;")'!ap16")</f>
        <v>0</v>
      </c>
      <c r="AQ16" s="24">
        <f ca="1">INDIRECT("'("&amp;$A$4&amp;")'!aq16")</f>
        <v>0</v>
      </c>
      <c r="AR16" s="46">
        <f t="shared" ca="1" si="48"/>
        <v>0</v>
      </c>
      <c r="AS16" s="46">
        <f t="shared" ca="1" si="49"/>
        <v>0</v>
      </c>
      <c r="AT16" s="24"/>
      <c r="AU16" s="22">
        <f t="shared" ca="1" si="50"/>
        <v>63</v>
      </c>
      <c r="AV16" s="22">
        <f t="shared" ca="1" si="51"/>
        <v>0</v>
      </c>
      <c r="AW16" s="22">
        <f t="shared" ca="1" si="52"/>
        <v>0</v>
      </c>
      <c r="AX16" s="22">
        <f t="shared" ca="1" si="53"/>
        <v>0</v>
      </c>
      <c r="AY16" s="22">
        <f t="shared" ca="1" si="54"/>
        <v>0</v>
      </c>
      <c r="AZ16" s="22">
        <f t="shared" ca="1" si="55"/>
        <v>0</v>
      </c>
      <c r="BA16" s="46">
        <f t="shared" ca="1" si="56"/>
        <v>0</v>
      </c>
      <c r="BB16" s="46">
        <f t="shared" ca="1" si="57"/>
        <v>0</v>
      </c>
      <c r="BC16" s="19"/>
      <c r="BD16" s="19"/>
      <c r="BE16" s="19"/>
      <c r="BF16" s="19"/>
      <c r="BG16" s="19"/>
      <c r="BH16" s="19"/>
      <c r="BI16" s="19"/>
      <c r="BJ16" s="19"/>
      <c r="BK16" s="19"/>
    </row>
    <row r="17" spans="1:63" s="8" customFormat="1" ht="15" customHeight="1" x14ac:dyDescent="0.35">
      <c r="A17" s="2" t="s">
        <v>24</v>
      </c>
      <c r="B17" s="24">
        <f ca="1">INDIRECT("'("&amp;$A$4&amp;")'!b17")</f>
        <v>10</v>
      </c>
      <c r="C17" s="24">
        <f ca="1">INDIRECT("'("&amp;$A$4&amp;")'!c17")</f>
        <v>0</v>
      </c>
      <c r="D17" s="24">
        <f ca="1">INDIRECT("'("&amp;$A$4&amp;")'!d17")</f>
        <v>0</v>
      </c>
      <c r="E17" s="24">
        <f ca="1">INDIRECT("'("&amp;$A$4&amp;")'!e17")</f>
        <v>1</v>
      </c>
      <c r="F17" s="24">
        <f ca="1">INDIRECT("'("&amp;$A$4&amp;")'!f17")</f>
        <v>0</v>
      </c>
      <c r="G17" s="24">
        <f ca="1">INDIRECT("'("&amp;$A$4&amp;")'!g17")</f>
        <v>1</v>
      </c>
      <c r="H17" s="46">
        <f t="shared" ca="1" si="19"/>
        <v>9.0909090909090912E-2</v>
      </c>
      <c r="I17" s="46">
        <f t="shared" ca="1" si="20"/>
        <v>8.3333333333333329E-2</v>
      </c>
      <c r="J17" s="24"/>
      <c r="K17" s="24">
        <f ca="1">INDIRECT("'("&amp;$A$4&amp;")'!k17")</f>
        <v>18</v>
      </c>
      <c r="L17" s="24">
        <f ca="1">INDIRECT("'("&amp;$A$4&amp;")'!l17")</f>
        <v>0</v>
      </c>
      <c r="M17" s="24">
        <f ca="1">INDIRECT("'("&amp;$A$4&amp;")'!m17")</f>
        <v>0</v>
      </c>
      <c r="N17" s="24">
        <f ca="1">INDIRECT("'("&amp;$A$4&amp;")'!n17")</f>
        <v>0</v>
      </c>
      <c r="O17" s="24">
        <f ca="1">INDIRECT("'("&amp;$A$4&amp;")'!o17")</f>
        <v>0</v>
      </c>
      <c r="P17" s="24">
        <f ca="1">INDIRECT("'("&amp;$A$4&amp;")'!p17")</f>
        <v>41</v>
      </c>
      <c r="Q17" s="46">
        <f t="shared" ca="1" si="26"/>
        <v>0</v>
      </c>
      <c r="R17" s="46">
        <f t="shared" ca="1" si="27"/>
        <v>0.69491525423728817</v>
      </c>
      <c r="S17" s="24"/>
      <c r="T17" s="22">
        <f t="shared" ca="1" si="28"/>
        <v>28</v>
      </c>
      <c r="U17" s="22">
        <f t="shared" ca="1" si="29"/>
        <v>0</v>
      </c>
      <c r="V17" s="22">
        <f t="shared" ca="1" si="30"/>
        <v>0</v>
      </c>
      <c r="W17" s="22">
        <f t="shared" ca="1" si="31"/>
        <v>1</v>
      </c>
      <c r="X17" s="22">
        <f t="shared" ca="1" si="32"/>
        <v>0</v>
      </c>
      <c r="Y17" s="22">
        <f t="shared" ca="1" si="33"/>
        <v>42</v>
      </c>
      <c r="Z17" s="46">
        <f t="shared" ca="1" si="34"/>
        <v>3.4482758620689655E-2</v>
      </c>
      <c r="AA17" s="46">
        <f t="shared" ca="1" si="35"/>
        <v>0.59154929577464788</v>
      </c>
      <c r="AB17" s="24"/>
      <c r="AC17" s="24">
        <f ca="1">INDIRECT("'("&amp;$A$4&amp;")'!ac17")</f>
        <v>1</v>
      </c>
      <c r="AD17" s="24">
        <f ca="1">INDIRECT("'("&amp;$A$4&amp;")'!ad17")</f>
        <v>0</v>
      </c>
      <c r="AE17" s="24">
        <f ca="1">INDIRECT("'("&amp;$A$4&amp;")'!ae17")</f>
        <v>0</v>
      </c>
      <c r="AF17" s="24">
        <f ca="1">INDIRECT("'("&amp;$A$4&amp;")'!af17")</f>
        <v>0</v>
      </c>
      <c r="AG17" s="24">
        <f ca="1">INDIRECT("'("&amp;$A$4&amp;")'!ag17")</f>
        <v>0</v>
      </c>
      <c r="AH17" s="24">
        <f ca="1">INDIRECT("'("&amp;$A$4&amp;")'!ah17")</f>
        <v>2</v>
      </c>
      <c r="AI17" s="46">
        <f t="shared" ca="1" si="41"/>
        <v>0</v>
      </c>
      <c r="AJ17" s="46">
        <f t="shared" ca="1" si="42"/>
        <v>0.66666666666666663</v>
      </c>
      <c r="AK17" s="24"/>
      <c r="AL17" s="24">
        <f ca="1">INDIRECT("'("&amp;$A$4&amp;")'!al17")</f>
        <v>2</v>
      </c>
      <c r="AM17" s="24">
        <f ca="1">INDIRECT("'("&amp;$A$4&amp;")'!am17")</f>
        <v>0</v>
      </c>
      <c r="AN17" s="24">
        <f ca="1">INDIRECT("'("&amp;$A$4&amp;")'!an17")</f>
        <v>0</v>
      </c>
      <c r="AO17" s="24">
        <f ca="1">INDIRECT("'("&amp;$A$4&amp;")'!ao17")</f>
        <v>0</v>
      </c>
      <c r="AP17" s="24">
        <f ca="1">INDIRECT("'("&amp;$A$4&amp;")'!ap17")</f>
        <v>0</v>
      </c>
      <c r="AQ17" s="24">
        <f ca="1">INDIRECT("'("&amp;$A$4&amp;")'!aq17")</f>
        <v>22</v>
      </c>
      <c r="AR17" s="46">
        <f t="shared" ca="1" si="48"/>
        <v>0</v>
      </c>
      <c r="AS17" s="46">
        <f t="shared" ca="1" si="49"/>
        <v>0.91666666666666663</v>
      </c>
      <c r="AT17" s="24"/>
      <c r="AU17" s="22">
        <f t="shared" ca="1" si="50"/>
        <v>31</v>
      </c>
      <c r="AV17" s="22">
        <f t="shared" ca="1" si="51"/>
        <v>0</v>
      </c>
      <c r="AW17" s="22">
        <f t="shared" ca="1" si="52"/>
        <v>0</v>
      </c>
      <c r="AX17" s="22">
        <f t="shared" ca="1" si="53"/>
        <v>1</v>
      </c>
      <c r="AY17" s="22">
        <f t="shared" ca="1" si="54"/>
        <v>0</v>
      </c>
      <c r="AZ17" s="22">
        <f t="shared" ca="1" si="55"/>
        <v>66</v>
      </c>
      <c r="BA17" s="46">
        <f t="shared" ca="1" si="56"/>
        <v>3.125E-2</v>
      </c>
      <c r="BB17" s="46">
        <f t="shared" ca="1" si="57"/>
        <v>0.67346938775510201</v>
      </c>
      <c r="BC17" s="19"/>
      <c r="BD17" s="19"/>
      <c r="BE17" s="19"/>
      <c r="BF17" s="19"/>
      <c r="BG17" s="19"/>
      <c r="BH17" s="19"/>
      <c r="BI17" s="19"/>
      <c r="BJ17" s="19"/>
      <c r="BK17" s="19"/>
    </row>
    <row r="18" spans="1:63" s="8" customFormat="1" ht="15" customHeight="1" x14ac:dyDescent="0.35">
      <c r="A18" s="2" t="s">
        <v>25</v>
      </c>
      <c r="B18" s="24">
        <f ca="1">INDIRECT("'("&amp;$A$4&amp;")'!b18")</f>
        <v>2</v>
      </c>
      <c r="C18" s="24">
        <f ca="1">INDIRECT("'("&amp;$A$4&amp;")'!c18")</f>
        <v>0</v>
      </c>
      <c r="D18" s="24">
        <f ca="1">INDIRECT("'("&amp;$A$4&amp;")'!d18")</f>
        <v>0</v>
      </c>
      <c r="E18" s="24">
        <f ca="1">INDIRECT("'("&amp;$A$4&amp;")'!e18")</f>
        <v>0</v>
      </c>
      <c r="F18" s="24">
        <f ca="1">INDIRECT("'("&amp;$A$4&amp;")'!f18")</f>
        <v>0</v>
      </c>
      <c r="G18" s="24">
        <f ca="1">INDIRECT("'("&amp;$A$4&amp;")'!g18")</f>
        <v>6</v>
      </c>
      <c r="H18" s="46">
        <f t="shared" ca="1" si="19"/>
        <v>0</v>
      </c>
      <c r="I18" s="46">
        <f t="shared" ca="1" si="20"/>
        <v>0.75</v>
      </c>
      <c r="J18" s="24"/>
      <c r="K18" s="24">
        <f ca="1">INDIRECT("'("&amp;$A$4&amp;")'!k18")</f>
        <v>2</v>
      </c>
      <c r="L18" s="24">
        <f ca="1">INDIRECT("'("&amp;$A$4&amp;")'!l18")</f>
        <v>0</v>
      </c>
      <c r="M18" s="24">
        <f ca="1">INDIRECT("'("&amp;$A$4&amp;")'!m18")</f>
        <v>0</v>
      </c>
      <c r="N18" s="24">
        <f ca="1">INDIRECT("'("&amp;$A$4&amp;")'!n18")</f>
        <v>0</v>
      </c>
      <c r="O18" s="24">
        <f ca="1">INDIRECT("'("&amp;$A$4&amp;")'!o18")</f>
        <v>0</v>
      </c>
      <c r="P18" s="24">
        <f ca="1">INDIRECT("'("&amp;$A$4&amp;")'!p18")</f>
        <v>15</v>
      </c>
      <c r="Q18" s="46">
        <f t="shared" ca="1" si="26"/>
        <v>0</v>
      </c>
      <c r="R18" s="46">
        <f t="shared" ca="1" si="27"/>
        <v>0.88235294117647056</v>
      </c>
      <c r="S18" s="24"/>
      <c r="T18" s="22">
        <f t="shared" ca="1" si="28"/>
        <v>4</v>
      </c>
      <c r="U18" s="22">
        <f t="shared" ca="1" si="29"/>
        <v>0</v>
      </c>
      <c r="V18" s="22">
        <f t="shared" ca="1" si="30"/>
        <v>0</v>
      </c>
      <c r="W18" s="22">
        <f t="shared" ca="1" si="31"/>
        <v>0</v>
      </c>
      <c r="X18" s="22">
        <f t="shared" ca="1" si="32"/>
        <v>0</v>
      </c>
      <c r="Y18" s="22">
        <f t="shared" ca="1" si="33"/>
        <v>21</v>
      </c>
      <c r="Z18" s="46">
        <f t="shared" ca="1" si="34"/>
        <v>0</v>
      </c>
      <c r="AA18" s="46">
        <f t="shared" ca="1" si="35"/>
        <v>0.84</v>
      </c>
      <c r="AB18" s="24"/>
      <c r="AC18" s="24">
        <f ca="1">INDIRECT("'("&amp;$A$4&amp;")'!ac18")</f>
        <v>0</v>
      </c>
      <c r="AD18" s="24">
        <f ca="1">INDIRECT("'("&amp;$A$4&amp;")'!ad18")</f>
        <v>0</v>
      </c>
      <c r="AE18" s="24">
        <f ca="1">INDIRECT("'("&amp;$A$4&amp;")'!ae18")</f>
        <v>0</v>
      </c>
      <c r="AF18" s="24">
        <f ca="1">INDIRECT("'("&amp;$A$4&amp;")'!af18")</f>
        <v>0</v>
      </c>
      <c r="AG18" s="24">
        <f ca="1">INDIRECT("'("&amp;$A$4&amp;")'!ag18")</f>
        <v>0</v>
      </c>
      <c r="AH18" s="24">
        <f ca="1">INDIRECT("'("&amp;$A$4&amp;")'!ah18")</f>
        <v>0</v>
      </c>
      <c r="AI18" s="46" t="str">
        <f t="shared" ca="1" si="41"/>
        <v>-</v>
      </c>
      <c r="AJ18" s="46" t="str">
        <f t="shared" ca="1" si="42"/>
        <v>-</v>
      </c>
      <c r="AK18" s="24"/>
      <c r="AL18" s="24">
        <f ca="1">INDIRECT("'("&amp;$A$4&amp;")'!al18")</f>
        <v>4</v>
      </c>
      <c r="AM18" s="24">
        <f ca="1">INDIRECT("'("&amp;$A$4&amp;")'!am18")</f>
        <v>0</v>
      </c>
      <c r="AN18" s="24">
        <f ca="1">INDIRECT("'("&amp;$A$4&amp;")'!an18")</f>
        <v>0</v>
      </c>
      <c r="AO18" s="24">
        <f ca="1">INDIRECT("'("&amp;$A$4&amp;")'!ao18")</f>
        <v>0</v>
      </c>
      <c r="AP18" s="24">
        <f ca="1">INDIRECT("'("&amp;$A$4&amp;")'!ap18")</f>
        <v>0</v>
      </c>
      <c r="AQ18" s="24">
        <f ca="1">INDIRECT("'("&amp;$A$4&amp;")'!aq18")</f>
        <v>1</v>
      </c>
      <c r="AR18" s="46">
        <f t="shared" ca="1" si="48"/>
        <v>0</v>
      </c>
      <c r="AS18" s="46">
        <f t="shared" ca="1" si="49"/>
        <v>0.2</v>
      </c>
      <c r="AT18" s="24"/>
      <c r="AU18" s="22">
        <f t="shared" ca="1" si="50"/>
        <v>8</v>
      </c>
      <c r="AV18" s="22">
        <f t="shared" ca="1" si="51"/>
        <v>0</v>
      </c>
      <c r="AW18" s="22">
        <f t="shared" ca="1" si="52"/>
        <v>0</v>
      </c>
      <c r="AX18" s="22">
        <f t="shared" ca="1" si="53"/>
        <v>0</v>
      </c>
      <c r="AY18" s="22">
        <f t="shared" ca="1" si="54"/>
        <v>0</v>
      </c>
      <c r="AZ18" s="22">
        <f t="shared" ca="1" si="55"/>
        <v>22</v>
      </c>
      <c r="BA18" s="46">
        <f t="shared" ca="1" si="56"/>
        <v>0</v>
      </c>
      <c r="BB18" s="46">
        <f t="shared" ca="1" si="57"/>
        <v>0.73333333333333328</v>
      </c>
      <c r="BC18" s="19"/>
      <c r="BD18" s="19"/>
      <c r="BE18" s="19"/>
      <c r="BF18" s="19"/>
      <c r="BG18" s="19"/>
      <c r="BH18" s="19"/>
      <c r="BI18" s="19"/>
      <c r="BJ18" s="19"/>
      <c r="BK18" s="19"/>
    </row>
    <row r="19" spans="1:63" s="8" customFormat="1" ht="15" customHeight="1" x14ac:dyDescent="0.35">
      <c r="A19" s="26" t="s">
        <v>26</v>
      </c>
      <c r="B19" s="24">
        <f ca="1">INDIRECT("'("&amp;$A$4&amp;")'!b19")</f>
        <v>28</v>
      </c>
      <c r="C19" s="24">
        <f ca="1">INDIRECT("'("&amp;$A$4&amp;")'!c19")</f>
        <v>0</v>
      </c>
      <c r="D19" s="24">
        <f ca="1">INDIRECT("'("&amp;$A$4&amp;")'!d19")</f>
        <v>0</v>
      </c>
      <c r="E19" s="24">
        <f ca="1">INDIRECT("'("&amp;$A$4&amp;")'!e19")</f>
        <v>0</v>
      </c>
      <c r="F19" s="24">
        <f ca="1">INDIRECT("'("&amp;$A$4&amp;")'!f19")</f>
        <v>1</v>
      </c>
      <c r="G19" s="24">
        <f ca="1">INDIRECT("'("&amp;$A$4&amp;")'!g19")</f>
        <v>2</v>
      </c>
      <c r="H19" s="46">
        <f t="shared" ca="1" si="19"/>
        <v>3.4482758620689655E-2</v>
      </c>
      <c r="I19" s="46">
        <f t="shared" ca="1" si="20"/>
        <v>6.4516129032258063E-2</v>
      </c>
      <c r="J19" s="24"/>
      <c r="K19" s="24">
        <f ca="1">INDIRECT("'("&amp;$A$4&amp;")'!k19")</f>
        <v>30</v>
      </c>
      <c r="L19" s="24">
        <f ca="1">INDIRECT("'("&amp;$A$4&amp;")'!l19")</f>
        <v>0</v>
      </c>
      <c r="M19" s="24">
        <f ca="1">INDIRECT("'("&amp;$A$4&amp;")'!m19")</f>
        <v>0</v>
      </c>
      <c r="N19" s="24">
        <f ca="1">INDIRECT("'("&amp;$A$4&amp;")'!n19")</f>
        <v>0</v>
      </c>
      <c r="O19" s="24">
        <f ca="1">INDIRECT("'("&amp;$A$4&amp;")'!o19")</f>
        <v>0</v>
      </c>
      <c r="P19" s="24">
        <f ca="1">INDIRECT("'("&amp;$A$4&amp;")'!p19")</f>
        <v>0</v>
      </c>
      <c r="Q19" s="46">
        <f t="shared" ca="1" si="26"/>
        <v>0</v>
      </c>
      <c r="R19" s="46">
        <f t="shared" ca="1" si="27"/>
        <v>0</v>
      </c>
      <c r="S19" s="24"/>
      <c r="T19" s="22">
        <f t="shared" ca="1" si="28"/>
        <v>58</v>
      </c>
      <c r="U19" s="22">
        <f t="shared" ca="1" si="29"/>
        <v>0</v>
      </c>
      <c r="V19" s="22">
        <f t="shared" ca="1" si="30"/>
        <v>0</v>
      </c>
      <c r="W19" s="22">
        <f t="shared" ca="1" si="31"/>
        <v>0</v>
      </c>
      <c r="X19" s="22">
        <f t="shared" ca="1" si="32"/>
        <v>1</v>
      </c>
      <c r="Y19" s="22">
        <f t="shared" ca="1" si="33"/>
        <v>2</v>
      </c>
      <c r="Z19" s="46">
        <f t="shared" ca="1" si="34"/>
        <v>1.6949152542372881E-2</v>
      </c>
      <c r="AA19" s="46">
        <f t="shared" ca="1" si="35"/>
        <v>3.2786885245901641E-2</v>
      </c>
      <c r="AB19" s="24"/>
      <c r="AC19" s="24">
        <f ca="1">INDIRECT("'("&amp;$A$4&amp;")'!ac19")</f>
        <v>0</v>
      </c>
      <c r="AD19" s="24">
        <f ca="1">INDIRECT("'("&amp;$A$4&amp;")'!ad19")</f>
        <v>0</v>
      </c>
      <c r="AE19" s="24">
        <f ca="1">INDIRECT("'("&amp;$A$4&amp;")'!ae19")</f>
        <v>0</v>
      </c>
      <c r="AF19" s="24">
        <f ca="1">INDIRECT("'("&amp;$A$4&amp;")'!af19")</f>
        <v>0</v>
      </c>
      <c r="AG19" s="24">
        <f ca="1">INDIRECT("'("&amp;$A$4&amp;")'!ag19")</f>
        <v>0</v>
      </c>
      <c r="AH19" s="24">
        <f ca="1">INDIRECT("'("&amp;$A$4&amp;")'!ah19")</f>
        <v>0</v>
      </c>
      <c r="AI19" s="46" t="str">
        <f t="shared" ca="1" si="41"/>
        <v>-</v>
      </c>
      <c r="AJ19" s="46" t="str">
        <f t="shared" ca="1" si="42"/>
        <v>-</v>
      </c>
      <c r="AK19" s="24"/>
      <c r="AL19" s="24">
        <f ca="1">INDIRECT("'("&amp;$A$4&amp;")'!al19")</f>
        <v>27</v>
      </c>
      <c r="AM19" s="24">
        <f ca="1">INDIRECT("'("&amp;$A$4&amp;")'!am19")</f>
        <v>0</v>
      </c>
      <c r="AN19" s="24">
        <f ca="1">INDIRECT("'("&amp;$A$4&amp;")'!an19")</f>
        <v>1</v>
      </c>
      <c r="AO19" s="24">
        <f ca="1">INDIRECT("'("&amp;$A$4&amp;")'!ao19")</f>
        <v>0</v>
      </c>
      <c r="AP19" s="24">
        <f ca="1">INDIRECT("'("&amp;$A$4&amp;")'!ap19")</f>
        <v>0</v>
      </c>
      <c r="AQ19" s="24">
        <f ca="1">INDIRECT("'("&amp;$A$4&amp;")'!aq19")</f>
        <v>2</v>
      </c>
      <c r="AR19" s="46">
        <f t="shared" ca="1" si="48"/>
        <v>3.5714285714285712E-2</v>
      </c>
      <c r="AS19" s="46">
        <f t="shared" ca="1" si="49"/>
        <v>6.6666666666666666E-2</v>
      </c>
      <c r="AT19" s="24"/>
      <c r="AU19" s="22">
        <f t="shared" ca="1" si="50"/>
        <v>85</v>
      </c>
      <c r="AV19" s="22">
        <f t="shared" ca="1" si="51"/>
        <v>0</v>
      </c>
      <c r="AW19" s="22">
        <f t="shared" ca="1" si="52"/>
        <v>1</v>
      </c>
      <c r="AX19" s="22">
        <f t="shared" ca="1" si="53"/>
        <v>0</v>
      </c>
      <c r="AY19" s="22">
        <f t="shared" ca="1" si="54"/>
        <v>1</v>
      </c>
      <c r="AZ19" s="22">
        <f t="shared" ca="1" si="55"/>
        <v>4</v>
      </c>
      <c r="BA19" s="46">
        <f t="shared" ca="1" si="56"/>
        <v>2.2988505747126436E-2</v>
      </c>
      <c r="BB19" s="46">
        <f t="shared" ca="1" si="57"/>
        <v>4.3956043956043959E-2</v>
      </c>
      <c r="BC19" s="19"/>
      <c r="BD19" s="19"/>
      <c r="BE19" s="19"/>
      <c r="BF19" s="19"/>
      <c r="BG19" s="19"/>
      <c r="BH19" s="19"/>
      <c r="BI19" s="19"/>
      <c r="BJ19" s="19"/>
      <c r="BK19" s="19"/>
    </row>
    <row r="20" spans="1:63" s="8" customFormat="1" ht="15" customHeight="1" x14ac:dyDescent="0.35">
      <c r="A20" s="26" t="s">
        <v>27</v>
      </c>
      <c r="B20" s="24">
        <f ca="1">INDIRECT("'("&amp;$A$4&amp;")'!b20")</f>
        <v>4</v>
      </c>
      <c r="C20" s="24">
        <f ca="1">INDIRECT("'("&amp;$A$4&amp;")'!c20")</f>
        <v>0</v>
      </c>
      <c r="D20" s="24">
        <f ca="1">INDIRECT("'("&amp;$A$4&amp;")'!d20")</f>
        <v>0</v>
      </c>
      <c r="E20" s="24">
        <f ca="1">INDIRECT("'("&amp;$A$4&amp;")'!e20")</f>
        <v>0</v>
      </c>
      <c r="F20" s="24">
        <f ca="1">INDIRECT("'("&amp;$A$4&amp;")'!f20")</f>
        <v>0</v>
      </c>
      <c r="G20" s="24">
        <f ca="1">INDIRECT("'("&amp;$A$4&amp;")'!g20")</f>
        <v>4</v>
      </c>
      <c r="H20" s="46">
        <f t="shared" ca="1" si="19"/>
        <v>0</v>
      </c>
      <c r="I20" s="46">
        <f t="shared" ca="1" si="20"/>
        <v>0.5</v>
      </c>
      <c r="J20" s="24"/>
      <c r="K20" s="24">
        <f ca="1">INDIRECT("'("&amp;$A$4&amp;")'!k20")</f>
        <v>123</v>
      </c>
      <c r="L20" s="24">
        <f ca="1">INDIRECT("'("&amp;$A$4&amp;")'!l20")</f>
        <v>2</v>
      </c>
      <c r="M20" s="24">
        <f ca="1">INDIRECT("'("&amp;$A$4&amp;")'!m20")</f>
        <v>0</v>
      </c>
      <c r="N20" s="24">
        <f ca="1">INDIRECT("'("&amp;$A$4&amp;")'!n20")</f>
        <v>0</v>
      </c>
      <c r="O20" s="24">
        <f ca="1">INDIRECT("'("&amp;$A$4&amp;")'!o20")</f>
        <v>1</v>
      </c>
      <c r="P20" s="24">
        <f ca="1">INDIRECT("'("&amp;$A$4&amp;")'!p20")</f>
        <v>3</v>
      </c>
      <c r="Q20" s="46">
        <f t="shared" ca="1" si="26"/>
        <v>2.3809523809523808E-2</v>
      </c>
      <c r="R20" s="46">
        <f t="shared" ca="1" si="27"/>
        <v>2.3255813953488372E-2</v>
      </c>
      <c r="S20" s="24"/>
      <c r="T20" s="22">
        <f t="shared" ca="1" si="28"/>
        <v>127</v>
      </c>
      <c r="U20" s="22">
        <f t="shared" ca="1" si="29"/>
        <v>2</v>
      </c>
      <c r="V20" s="22">
        <f t="shared" ca="1" si="30"/>
        <v>0</v>
      </c>
      <c r="W20" s="22">
        <f t="shared" ca="1" si="31"/>
        <v>0</v>
      </c>
      <c r="X20" s="22">
        <f t="shared" ca="1" si="32"/>
        <v>1</v>
      </c>
      <c r="Y20" s="22">
        <f t="shared" ca="1" si="33"/>
        <v>7</v>
      </c>
      <c r="Z20" s="46">
        <f t="shared" ca="1" si="34"/>
        <v>2.3076923076923078E-2</v>
      </c>
      <c r="AA20" s="46">
        <f t="shared" ca="1" si="35"/>
        <v>5.1094890510948905E-2</v>
      </c>
      <c r="AB20" s="24"/>
      <c r="AC20" s="24">
        <f ca="1">INDIRECT("'("&amp;$A$4&amp;")'!ac20")</f>
        <v>0</v>
      </c>
      <c r="AD20" s="24">
        <f ca="1">INDIRECT("'("&amp;$A$4&amp;")'!ad20")</f>
        <v>0</v>
      </c>
      <c r="AE20" s="24">
        <f ca="1">INDIRECT("'("&amp;$A$4&amp;")'!ae20")</f>
        <v>0</v>
      </c>
      <c r="AF20" s="24">
        <f ca="1">INDIRECT("'("&amp;$A$4&amp;")'!af20")</f>
        <v>0</v>
      </c>
      <c r="AG20" s="24">
        <f ca="1">INDIRECT("'("&amp;$A$4&amp;")'!ag20")</f>
        <v>0</v>
      </c>
      <c r="AH20" s="24">
        <f ca="1">INDIRECT("'("&amp;$A$4&amp;")'!ah20")</f>
        <v>0</v>
      </c>
      <c r="AI20" s="46" t="str">
        <f t="shared" ca="1" si="41"/>
        <v>-</v>
      </c>
      <c r="AJ20" s="46" t="str">
        <f t="shared" ca="1" si="42"/>
        <v>-</v>
      </c>
      <c r="AK20" s="24"/>
      <c r="AL20" s="24">
        <f ca="1">INDIRECT("'("&amp;$A$4&amp;")'!al20")</f>
        <v>25</v>
      </c>
      <c r="AM20" s="24">
        <f ca="1">INDIRECT("'("&amp;$A$4&amp;")'!am20")</f>
        <v>0</v>
      </c>
      <c r="AN20" s="24">
        <f ca="1">INDIRECT("'("&amp;$A$4&amp;")'!an20")</f>
        <v>0</v>
      </c>
      <c r="AO20" s="24">
        <f ca="1">INDIRECT("'("&amp;$A$4&amp;")'!ao20")</f>
        <v>0</v>
      </c>
      <c r="AP20" s="24">
        <f ca="1">INDIRECT("'("&amp;$A$4&amp;")'!ap20")</f>
        <v>0</v>
      </c>
      <c r="AQ20" s="24">
        <f ca="1">INDIRECT("'("&amp;$A$4&amp;")'!aq20")</f>
        <v>2</v>
      </c>
      <c r="AR20" s="46">
        <f t="shared" ca="1" si="48"/>
        <v>0</v>
      </c>
      <c r="AS20" s="46">
        <f t="shared" ca="1" si="49"/>
        <v>7.407407407407407E-2</v>
      </c>
      <c r="AT20" s="24"/>
      <c r="AU20" s="22">
        <f t="shared" ca="1" si="50"/>
        <v>152</v>
      </c>
      <c r="AV20" s="22">
        <f t="shared" ca="1" si="51"/>
        <v>2</v>
      </c>
      <c r="AW20" s="22">
        <f t="shared" ca="1" si="52"/>
        <v>0</v>
      </c>
      <c r="AX20" s="22">
        <f t="shared" ca="1" si="53"/>
        <v>0</v>
      </c>
      <c r="AY20" s="22">
        <f t="shared" ca="1" si="54"/>
        <v>1</v>
      </c>
      <c r="AZ20" s="22">
        <f t="shared" ca="1" si="55"/>
        <v>9</v>
      </c>
      <c r="BA20" s="46">
        <f t="shared" ca="1" si="56"/>
        <v>1.935483870967742E-2</v>
      </c>
      <c r="BB20" s="46">
        <f t="shared" ca="1" si="57"/>
        <v>5.4878048780487805E-2</v>
      </c>
      <c r="BC20" s="19"/>
      <c r="BD20" s="19"/>
      <c r="BE20" s="19"/>
      <c r="BF20" s="19"/>
      <c r="BG20" s="19"/>
      <c r="BH20" s="19"/>
      <c r="BI20" s="19"/>
      <c r="BJ20" s="19"/>
      <c r="BK20" s="19"/>
    </row>
    <row r="21" spans="1:63" s="8" customFormat="1" ht="15" customHeight="1" x14ac:dyDescent="0.35">
      <c r="A21" s="2" t="s">
        <v>28</v>
      </c>
      <c r="B21" s="24">
        <f ca="1">INDIRECT("'("&amp;$A$4&amp;")'!b21")</f>
        <v>10</v>
      </c>
      <c r="C21" s="24">
        <f ca="1">INDIRECT("'("&amp;$A$4&amp;")'!c21")</f>
        <v>0</v>
      </c>
      <c r="D21" s="24">
        <f ca="1">INDIRECT("'("&amp;$A$4&amp;")'!d21")</f>
        <v>0</v>
      </c>
      <c r="E21" s="24">
        <f ca="1">INDIRECT("'("&amp;$A$4&amp;")'!e21")</f>
        <v>0</v>
      </c>
      <c r="F21" s="24">
        <f ca="1">INDIRECT("'("&amp;$A$4&amp;")'!f21")</f>
        <v>0</v>
      </c>
      <c r="G21" s="24">
        <f ca="1">INDIRECT("'("&amp;$A$4&amp;")'!g21")</f>
        <v>22</v>
      </c>
      <c r="H21" s="46">
        <f t="shared" ca="1" si="19"/>
        <v>0</v>
      </c>
      <c r="I21" s="46">
        <f t="shared" ca="1" si="20"/>
        <v>0.6875</v>
      </c>
      <c r="J21" s="24"/>
      <c r="K21" s="24">
        <f ca="1">INDIRECT("'("&amp;$A$4&amp;")'!k21")</f>
        <v>60</v>
      </c>
      <c r="L21" s="24">
        <f ca="1">INDIRECT("'("&amp;$A$4&amp;")'!l21")</f>
        <v>0</v>
      </c>
      <c r="M21" s="24">
        <f ca="1">INDIRECT("'("&amp;$A$4&amp;")'!m21")</f>
        <v>0</v>
      </c>
      <c r="N21" s="24">
        <f ca="1">INDIRECT("'("&amp;$A$4&amp;")'!n21")</f>
        <v>0</v>
      </c>
      <c r="O21" s="24">
        <f ca="1">INDIRECT("'("&amp;$A$4&amp;")'!o21")</f>
        <v>0</v>
      </c>
      <c r="P21" s="24">
        <f ca="1">INDIRECT("'("&amp;$A$4&amp;")'!p21")</f>
        <v>7</v>
      </c>
      <c r="Q21" s="46">
        <f t="shared" ca="1" si="26"/>
        <v>0</v>
      </c>
      <c r="R21" s="46">
        <f t="shared" ca="1" si="27"/>
        <v>0.1044776119402985</v>
      </c>
      <c r="S21" s="24"/>
      <c r="T21" s="22">
        <f t="shared" ca="1" si="28"/>
        <v>70</v>
      </c>
      <c r="U21" s="22">
        <f t="shared" ca="1" si="29"/>
        <v>0</v>
      </c>
      <c r="V21" s="22">
        <f t="shared" ca="1" si="30"/>
        <v>0</v>
      </c>
      <c r="W21" s="22">
        <f t="shared" ca="1" si="31"/>
        <v>0</v>
      </c>
      <c r="X21" s="22">
        <f t="shared" ca="1" si="32"/>
        <v>0</v>
      </c>
      <c r="Y21" s="22">
        <f t="shared" ca="1" si="33"/>
        <v>29</v>
      </c>
      <c r="Z21" s="46">
        <f t="shared" ca="1" si="34"/>
        <v>0</v>
      </c>
      <c r="AA21" s="46">
        <f t="shared" ca="1" si="35"/>
        <v>0.29292929292929293</v>
      </c>
      <c r="AB21" s="24"/>
      <c r="AC21" s="24">
        <f ca="1">INDIRECT("'("&amp;$A$4&amp;")'!ac21")</f>
        <v>0</v>
      </c>
      <c r="AD21" s="24">
        <f ca="1">INDIRECT("'("&amp;$A$4&amp;")'!ad21")</f>
        <v>0</v>
      </c>
      <c r="AE21" s="24">
        <f ca="1">INDIRECT("'("&amp;$A$4&amp;")'!ae21")</f>
        <v>0</v>
      </c>
      <c r="AF21" s="24">
        <f ca="1">INDIRECT("'("&amp;$A$4&amp;")'!af21")</f>
        <v>0</v>
      </c>
      <c r="AG21" s="24">
        <f ca="1">INDIRECT("'("&amp;$A$4&amp;")'!ag21")</f>
        <v>0</v>
      </c>
      <c r="AH21" s="24">
        <f ca="1">INDIRECT("'("&amp;$A$4&amp;")'!ah21")</f>
        <v>0</v>
      </c>
      <c r="AI21" s="46" t="str">
        <f t="shared" ca="1" si="41"/>
        <v>-</v>
      </c>
      <c r="AJ21" s="46" t="str">
        <f t="shared" ca="1" si="42"/>
        <v>-</v>
      </c>
      <c r="AK21" s="24"/>
      <c r="AL21" s="24">
        <f ca="1">INDIRECT("'("&amp;$A$4&amp;")'!al21")</f>
        <v>51</v>
      </c>
      <c r="AM21" s="24">
        <f ca="1">INDIRECT("'("&amp;$A$4&amp;")'!am21")</f>
        <v>0</v>
      </c>
      <c r="AN21" s="24">
        <f ca="1">INDIRECT("'("&amp;$A$4&amp;")'!an21")</f>
        <v>0</v>
      </c>
      <c r="AO21" s="24">
        <f ca="1">INDIRECT("'("&amp;$A$4&amp;")'!ao21")</f>
        <v>0</v>
      </c>
      <c r="AP21" s="24">
        <f ca="1">INDIRECT("'("&amp;$A$4&amp;")'!ap21")</f>
        <v>0</v>
      </c>
      <c r="AQ21" s="24">
        <f ca="1">INDIRECT("'("&amp;$A$4&amp;")'!aq21")</f>
        <v>5</v>
      </c>
      <c r="AR21" s="46">
        <f t="shared" ca="1" si="48"/>
        <v>0</v>
      </c>
      <c r="AS21" s="46">
        <f t="shared" ca="1" si="49"/>
        <v>8.9285714285714288E-2</v>
      </c>
      <c r="AT21" s="24"/>
      <c r="AU21" s="22">
        <f t="shared" ca="1" si="50"/>
        <v>121</v>
      </c>
      <c r="AV21" s="22">
        <f t="shared" ca="1" si="51"/>
        <v>0</v>
      </c>
      <c r="AW21" s="22">
        <f t="shared" ca="1" si="52"/>
        <v>0</v>
      </c>
      <c r="AX21" s="22">
        <f t="shared" ca="1" si="53"/>
        <v>0</v>
      </c>
      <c r="AY21" s="22">
        <f t="shared" ca="1" si="54"/>
        <v>0</v>
      </c>
      <c r="AZ21" s="22">
        <f t="shared" ca="1" si="55"/>
        <v>34</v>
      </c>
      <c r="BA21" s="46">
        <f t="shared" ca="1" si="56"/>
        <v>0</v>
      </c>
      <c r="BB21" s="46">
        <f t="shared" ca="1" si="57"/>
        <v>0.21935483870967742</v>
      </c>
      <c r="BC21" s="19"/>
      <c r="BD21" s="19"/>
      <c r="BE21" s="19"/>
      <c r="BF21" s="19"/>
      <c r="BG21" s="19"/>
      <c r="BH21" s="19"/>
      <c r="BI21" s="19"/>
      <c r="BJ21" s="19"/>
      <c r="BK21" s="19"/>
    </row>
    <row r="22" spans="1:63" s="8" customFormat="1" ht="15" customHeight="1" x14ac:dyDescent="0.35">
      <c r="A22" s="2" t="s">
        <v>29</v>
      </c>
      <c r="B22" s="24">
        <f ca="1">INDIRECT("'("&amp;$A$4&amp;")'!b22")</f>
        <v>0</v>
      </c>
      <c r="C22" s="24">
        <f ca="1">INDIRECT("'("&amp;$A$4&amp;")'!c22")</f>
        <v>0</v>
      </c>
      <c r="D22" s="24">
        <f ca="1">INDIRECT("'("&amp;$A$4&amp;")'!d22")</f>
        <v>0</v>
      </c>
      <c r="E22" s="24">
        <f ca="1">INDIRECT("'("&amp;$A$4&amp;")'!e22")</f>
        <v>0</v>
      </c>
      <c r="F22" s="24">
        <f ca="1">INDIRECT("'("&amp;$A$4&amp;")'!f22")</f>
        <v>0</v>
      </c>
      <c r="G22" s="24">
        <f ca="1">INDIRECT("'("&amp;$A$4&amp;")'!g22")</f>
        <v>0</v>
      </c>
      <c r="H22" s="46" t="str">
        <f t="shared" ca="1" si="19"/>
        <v>-</v>
      </c>
      <c r="I22" s="46" t="str">
        <f t="shared" ca="1" si="20"/>
        <v>-</v>
      </c>
      <c r="J22" s="24"/>
      <c r="K22" s="24">
        <f ca="1">INDIRECT("'("&amp;$A$4&amp;")'!k22")</f>
        <v>6</v>
      </c>
      <c r="L22" s="24">
        <f ca="1">INDIRECT("'("&amp;$A$4&amp;")'!l22")</f>
        <v>0</v>
      </c>
      <c r="M22" s="24">
        <f ca="1">INDIRECT("'("&amp;$A$4&amp;")'!m22")</f>
        <v>0</v>
      </c>
      <c r="N22" s="24">
        <f ca="1">INDIRECT("'("&amp;$A$4&amp;")'!n22")</f>
        <v>0</v>
      </c>
      <c r="O22" s="24">
        <f ca="1">INDIRECT("'("&amp;$A$4&amp;")'!o22")</f>
        <v>0</v>
      </c>
      <c r="P22" s="24">
        <f ca="1">INDIRECT("'("&amp;$A$4&amp;")'!p22")</f>
        <v>16</v>
      </c>
      <c r="Q22" s="46">
        <f t="shared" ca="1" si="26"/>
        <v>0</v>
      </c>
      <c r="R22" s="46">
        <f t="shared" ca="1" si="27"/>
        <v>0.72727272727272729</v>
      </c>
      <c r="S22" s="24"/>
      <c r="T22" s="22">
        <f t="shared" ca="1" si="28"/>
        <v>6</v>
      </c>
      <c r="U22" s="22">
        <f t="shared" ca="1" si="29"/>
        <v>0</v>
      </c>
      <c r="V22" s="22">
        <f t="shared" ca="1" si="30"/>
        <v>0</v>
      </c>
      <c r="W22" s="22">
        <f t="shared" ca="1" si="31"/>
        <v>0</v>
      </c>
      <c r="X22" s="22">
        <f t="shared" ca="1" si="32"/>
        <v>0</v>
      </c>
      <c r="Y22" s="22">
        <f t="shared" ca="1" si="33"/>
        <v>16</v>
      </c>
      <c r="Z22" s="46">
        <f t="shared" ca="1" si="34"/>
        <v>0</v>
      </c>
      <c r="AA22" s="46">
        <f t="shared" ca="1" si="35"/>
        <v>0.72727272727272729</v>
      </c>
      <c r="AB22" s="24"/>
      <c r="AC22" s="24">
        <f ca="1">INDIRECT("'("&amp;$A$4&amp;")'!ac22")</f>
        <v>0</v>
      </c>
      <c r="AD22" s="24">
        <f ca="1">INDIRECT("'("&amp;$A$4&amp;")'!ad22")</f>
        <v>0</v>
      </c>
      <c r="AE22" s="24">
        <f ca="1">INDIRECT("'("&amp;$A$4&amp;")'!ae22")</f>
        <v>0</v>
      </c>
      <c r="AF22" s="24">
        <f ca="1">INDIRECT("'("&amp;$A$4&amp;")'!af22")</f>
        <v>0</v>
      </c>
      <c r="AG22" s="24">
        <f ca="1">INDIRECT("'("&amp;$A$4&amp;")'!ag22")</f>
        <v>0</v>
      </c>
      <c r="AH22" s="24">
        <f ca="1">INDIRECT("'("&amp;$A$4&amp;")'!ah22")</f>
        <v>0</v>
      </c>
      <c r="AI22" s="46" t="str">
        <f t="shared" ca="1" si="41"/>
        <v>-</v>
      </c>
      <c r="AJ22" s="46" t="str">
        <f t="shared" ca="1" si="42"/>
        <v>-</v>
      </c>
      <c r="AK22" s="24"/>
      <c r="AL22" s="24">
        <f ca="1">INDIRECT("'("&amp;$A$4&amp;")'!al22")</f>
        <v>3</v>
      </c>
      <c r="AM22" s="24">
        <f ca="1">INDIRECT("'("&amp;$A$4&amp;")'!am22")</f>
        <v>0</v>
      </c>
      <c r="AN22" s="24">
        <f ca="1">INDIRECT("'("&amp;$A$4&amp;")'!an22")</f>
        <v>0</v>
      </c>
      <c r="AO22" s="24">
        <f ca="1">INDIRECT("'("&amp;$A$4&amp;")'!ao22")</f>
        <v>0</v>
      </c>
      <c r="AP22" s="24">
        <f ca="1">INDIRECT("'("&amp;$A$4&amp;")'!ap22")</f>
        <v>0</v>
      </c>
      <c r="AQ22" s="24">
        <f ca="1">INDIRECT("'("&amp;$A$4&amp;")'!aq22")</f>
        <v>8</v>
      </c>
      <c r="AR22" s="46">
        <f t="shared" ca="1" si="48"/>
        <v>0</v>
      </c>
      <c r="AS22" s="46">
        <f t="shared" ca="1" si="49"/>
        <v>0.72727272727272729</v>
      </c>
      <c r="AT22" s="24"/>
      <c r="AU22" s="22">
        <f t="shared" ca="1" si="50"/>
        <v>9</v>
      </c>
      <c r="AV22" s="22">
        <f t="shared" ca="1" si="51"/>
        <v>0</v>
      </c>
      <c r="AW22" s="22">
        <f t="shared" ca="1" si="52"/>
        <v>0</v>
      </c>
      <c r="AX22" s="22">
        <f t="shared" ca="1" si="53"/>
        <v>0</v>
      </c>
      <c r="AY22" s="22">
        <f t="shared" ca="1" si="54"/>
        <v>0</v>
      </c>
      <c r="AZ22" s="22">
        <f t="shared" ca="1" si="55"/>
        <v>24</v>
      </c>
      <c r="BA22" s="46">
        <f t="shared" ca="1" si="56"/>
        <v>0</v>
      </c>
      <c r="BB22" s="46">
        <f t="shared" ca="1" si="57"/>
        <v>0.72727272727272729</v>
      </c>
      <c r="BC22" s="19"/>
      <c r="BD22" s="19"/>
      <c r="BE22" s="19"/>
      <c r="BF22" s="19"/>
      <c r="BG22" s="19"/>
      <c r="BH22" s="19"/>
      <c r="BI22" s="19"/>
      <c r="BJ22" s="19"/>
      <c r="BK22" s="19"/>
    </row>
    <row r="23" spans="1:63" s="8" customFormat="1" ht="15" customHeight="1" x14ac:dyDescent="0.35">
      <c r="A23" s="2" t="s">
        <v>30</v>
      </c>
      <c r="B23" s="24">
        <f ca="1">INDIRECT("'("&amp;$A$4&amp;")'!b23")</f>
        <v>2</v>
      </c>
      <c r="C23" s="24">
        <f ca="1">INDIRECT("'("&amp;$A$4&amp;")'!c23")</f>
        <v>0</v>
      </c>
      <c r="D23" s="24">
        <f ca="1">INDIRECT("'("&amp;$A$4&amp;")'!d23")</f>
        <v>0</v>
      </c>
      <c r="E23" s="24">
        <f ca="1">INDIRECT("'("&amp;$A$4&amp;")'!e23")</f>
        <v>0</v>
      </c>
      <c r="F23" s="24">
        <f ca="1">INDIRECT("'("&amp;$A$4&amp;")'!f23")</f>
        <v>0</v>
      </c>
      <c r="G23" s="24">
        <f ca="1">INDIRECT("'("&amp;$A$4&amp;")'!g23")</f>
        <v>0</v>
      </c>
      <c r="H23" s="46">
        <f t="shared" ca="1" si="19"/>
        <v>0</v>
      </c>
      <c r="I23" s="46">
        <f t="shared" ca="1" si="20"/>
        <v>0</v>
      </c>
      <c r="J23" s="24"/>
      <c r="K23" s="24">
        <f ca="1">INDIRECT("'("&amp;$A$4&amp;")'!k23")</f>
        <v>26</v>
      </c>
      <c r="L23" s="24">
        <f ca="1">INDIRECT("'("&amp;$A$4&amp;")'!l23")</f>
        <v>1</v>
      </c>
      <c r="M23" s="24">
        <f ca="1">INDIRECT("'("&amp;$A$4&amp;")'!m23")</f>
        <v>0</v>
      </c>
      <c r="N23" s="24">
        <f ca="1">INDIRECT("'("&amp;$A$4&amp;")'!n23")</f>
        <v>0</v>
      </c>
      <c r="O23" s="24">
        <f ca="1">INDIRECT("'("&amp;$A$4&amp;")'!o23")</f>
        <v>0</v>
      </c>
      <c r="P23" s="24">
        <f ca="1">INDIRECT("'("&amp;$A$4&amp;")'!p23")</f>
        <v>0</v>
      </c>
      <c r="Q23" s="46">
        <f t="shared" ca="1" si="26"/>
        <v>3.7037037037037035E-2</v>
      </c>
      <c r="R23" s="46">
        <f t="shared" ca="1" si="27"/>
        <v>0</v>
      </c>
      <c r="S23" s="24"/>
      <c r="T23" s="22">
        <f t="shared" ca="1" si="28"/>
        <v>28</v>
      </c>
      <c r="U23" s="22">
        <f t="shared" ca="1" si="29"/>
        <v>1</v>
      </c>
      <c r="V23" s="22">
        <f t="shared" ca="1" si="30"/>
        <v>0</v>
      </c>
      <c r="W23" s="22">
        <f t="shared" ca="1" si="31"/>
        <v>0</v>
      </c>
      <c r="X23" s="22">
        <f t="shared" ca="1" si="32"/>
        <v>0</v>
      </c>
      <c r="Y23" s="22">
        <f t="shared" ca="1" si="33"/>
        <v>0</v>
      </c>
      <c r="Z23" s="46">
        <f t="shared" ca="1" si="34"/>
        <v>3.4482758620689655E-2</v>
      </c>
      <c r="AA23" s="46">
        <f t="shared" ca="1" si="35"/>
        <v>0</v>
      </c>
      <c r="AB23" s="24"/>
      <c r="AC23" s="24">
        <f ca="1">INDIRECT("'("&amp;$A$4&amp;")'!ac23")</f>
        <v>2</v>
      </c>
      <c r="AD23" s="24">
        <f ca="1">INDIRECT("'("&amp;$A$4&amp;")'!ad23")</f>
        <v>0</v>
      </c>
      <c r="AE23" s="24">
        <f ca="1">INDIRECT("'("&amp;$A$4&amp;")'!ae23")</f>
        <v>0</v>
      </c>
      <c r="AF23" s="24">
        <f ca="1">INDIRECT("'("&amp;$A$4&amp;")'!af23")</f>
        <v>0</v>
      </c>
      <c r="AG23" s="24">
        <f ca="1">INDIRECT("'("&amp;$A$4&amp;")'!ag23")</f>
        <v>0</v>
      </c>
      <c r="AH23" s="24">
        <f ca="1">INDIRECT("'("&amp;$A$4&amp;")'!ah23")</f>
        <v>0</v>
      </c>
      <c r="AI23" s="46">
        <f t="shared" ca="1" si="41"/>
        <v>0</v>
      </c>
      <c r="AJ23" s="46">
        <f t="shared" ca="1" si="42"/>
        <v>0</v>
      </c>
      <c r="AK23" s="24"/>
      <c r="AL23" s="24">
        <f ca="1">INDIRECT("'("&amp;$A$4&amp;")'!al23")</f>
        <v>23</v>
      </c>
      <c r="AM23" s="24">
        <f ca="1">INDIRECT("'("&amp;$A$4&amp;")'!am23")</f>
        <v>0</v>
      </c>
      <c r="AN23" s="24">
        <f ca="1">INDIRECT("'("&amp;$A$4&amp;")'!an23")</f>
        <v>0</v>
      </c>
      <c r="AO23" s="24">
        <f ca="1">INDIRECT("'("&amp;$A$4&amp;")'!ao23")</f>
        <v>1</v>
      </c>
      <c r="AP23" s="24">
        <f ca="1">INDIRECT("'("&amp;$A$4&amp;")'!ap23")</f>
        <v>0</v>
      </c>
      <c r="AQ23" s="24">
        <f ca="1">INDIRECT("'("&amp;$A$4&amp;")'!aq23")</f>
        <v>2</v>
      </c>
      <c r="AR23" s="46">
        <f t="shared" ca="1" si="48"/>
        <v>4.1666666666666664E-2</v>
      </c>
      <c r="AS23" s="46">
        <f t="shared" ca="1" si="49"/>
        <v>7.6923076923076927E-2</v>
      </c>
      <c r="AT23" s="24"/>
      <c r="AU23" s="22">
        <f t="shared" ca="1" si="50"/>
        <v>53</v>
      </c>
      <c r="AV23" s="22">
        <f t="shared" ca="1" si="51"/>
        <v>1</v>
      </c>
      <c r="AW23" s="22">
        <f t="shared" ca="1" si="52"/>
        <v>0</v>
      </c>
      <c r="AX23" s="22">
        <f t="shared" ca="1" si="53"/>
        <v>1</v>
      </c>
      <c r="AY23" s="22">
        <f t="shared" ca="1" si="54"/>
        <v>0</v>
      </c>
      <c r="AZ23" s="22">
        <f t="shared" ca="1" si="55"/>
        <v>2</v>
      </c>
      <c r="BA23" s="46">
        <f t="shared" ca="1" si="56"/>
        <v>3.6363636363636362E-2</v>
      </c>
      <c r="BB23" s="46">
        <f t="shared" ca="1" si="57"/>
        <v>3.5087719298245612E-2</v>
      </c>
      <c r="BC23" s="19"/>
      <c r="BD23" s="19"/>
      <c r="BE23" s="19"/>
      <c r="BF23" s="19"/>
      <c r="BG23" s="19"/>
      <c r="BH23" s="19"/>
      <c r="BI23" s="19"/>
      <c r="BJ23" s="19"/>
      <c r="BK23" s="19"/>
    </row>
    <row r="24" spans="1:63" s="8" customFormat="1" ht="15" customHeight="1" x14ac:dyDescent="0.35">
      <c r="A24" s="2" t="s">
        <v>31</v>
      </c>
      <c r="B24" s="24">
        <f ca="1">INDIRECT("'("&amp;$A$4&amp;")'!b24")</f>
        <v>33</v>
      </c>
      <c r="C24" s="24">
        <f ca="1">INDIRECT("'("&amp;$A$4&amp;")'!c24")</f>
        <v>0</v>
      </c>
      <c r="D24" s="24">
        <f ca="1">INDIRECT("'("&amp;$A$4&amp;")'!d24")</f>
        <v>1</v>
      </c>
      <c r="E24" s="24">
        <f ca="1">INDIRECT("'("&amp;$A$4&amp;")'!e24")</f>
        <v>0</v>
      </c>
      <c r="F24" s="24">
        <f ca="1">INDIRECT("'("&amp;$A$4&amp;")'!f24")</f>
        <v>0</v>
      </c>
      <c r="G24" s="24">
        <f ca="1">INDIRECT("'("&amp;$A$4&amp;")'!g24")</f>
        <v>23</v>
      </c>
      <c r="H24" s="46">
        <f t="shared" ca="1" si="19"/>
        <v>2.9411764705882353E-2</v>
      </c>
      <c r="I24" s="46">
        <f t="shared" ca="1" si="20"/>
        <v>0.40350877192982454</v>
      </c>
      <c r="J24" s="24"/>
      <c r="K24" s="24">
        <f ca="1">INDIRECT("'("&amp;$A$4&amp;")'!k24")</f>
        <v>32</v>
      </c>
      <c r="L24" s="24">
        <f ca="1">INDIRECT("'("&amp;$A$4&amp;")'!l24")</f>
        <v>0</v>
      </c>
      <c r="M24" s="24">
        <f ca="1">INDIRECT("'("&amp;$A$4&amp;")'!m24")</f>
        <v>0</v>
      </c>
      <c r="N24" s="24">
        <f ca="1">INDIRECT("'("&amp;$A$4&amp;")'!n24")</f>
        <v>1</v>
      </c>
      <c r="O24" s="24">
        <f ca="1">INDIRECT("'("&amp;$A$4&amp;")'!o24")</f>
        <v>0</v>
      </c>
      <c r="P24" s="24">
        <f ca="1">INDIRECT("'("&amp;$A$4&amp;")'!p24")</f>
        <v>29</v>
      </c>
      <c r="Q24" s="46">
        <f t="shared" ca="1" si="26"/>
        <v>3.0303030303030304E-2</v>
      </c>
      <c r="R24" s="46">
        <f t="shared" ca="1" si="27"/>
        <v>0.46774193548387094</v>
      </c>
      <c r="S24" s="24"/>
      <c r="T24" s="22">
        <f t="shared" ca="1" si="28"/>
        <v>65</v>
      </c>
      <c r="U24" s="22">
        <f t="shared" ca="1" si="29"/>
        <v>0</v>
      </c>
      <c r="V24" s="22">
        <f t="shared" ca="1" si="30"/>
        <v>1</v>
      </c>
      <c r="W24" s="22">
        <f t="shared" ca="1" si="31"/>
        <v>1</v>
      </c>
      <c r="X24" s="22">
        <f t="shared" ca="1" si="32"/>
        <v>0</v>
      </c>
      <c r="Y24" s="22">
        <f t="shared" ca="1" si="33"/>
        <v>52</v>
      </c>
      <c r="Z24" s="46">
        <f t="shared" ca="1" si="34"/>
        <v>2.9850746268656716E-2</v>
      </c>
      <c r="AA24" s="46">
        <f t="shared" ca="1" si="35"/>
        <v>0.43697478991596639</v>
      </c>
      <c r="AB24" s="24"/>
      <c r="AC24" s="24">
        <f ca="1">INDIRECT("'("&amp;$A$4&amp;")'!ac24")</f>
        <v>1</v>
      </c>
      <c r="AD24" s="24">
        <f ca="1">INDIRECT("'("&amp;$A$4&amp;")'!ad24")</f>
        <v>0</v>
      </c>
      <c r="AE24" s="24">
        <f ca="1">INDIRECT("'("&amp;$A$4&amp;")'!ae24")</f>
        <v>0</v>
      </c>
      <c r="AF24" s="24">
        <f ca="1">INDIRECT("'("&amp;$A$4&amp;")'!af24")</f>
        <v>0</v>
      </c>
      <c r="AG24" s="24">
        <f ca="1">INDIRECT("'("&amp;$A$4&amp;")'!ag24")</f>
        <v>0</v>
      </c>
      <c r="AH24" s="24">
        <f ca="1">INDIRECT("'("&amp;$A$4&amp;")'!ah24")</f>
        <v>2</v>
      </c>
      <c r="AI24" s="46">
        <f t="shared" ca="1" si="41"/>
        <v>0</v>
      </c>
      <c r="AJ24" s="46">
        <f t="shared" ca="1" si="42"/>
        <v>0.66666666666666663</v>
      </c>
      <c r="AK24" s="24"/>
      <c r="AL24" s="24">
        <f ca="1">INDIRECT("'("&amp;$A$4&amp;")'!al24")</f>
        <v>15</v>
      </c>
      <c r="AM24" s="24">
        <f ca="1">INDIRECT("'("&amp;$A$4&amp;")'!am24")</f>
        <v>0</v>
      </c>
      <c r="AN24" s="24">
        <f ca="1">INDIRECT("'("&amp;$A$4&amp;")'!an24")</f>
        <v>0</v>
      </c>
      <c r="AO24" s="24">
        <f ca="1">INDIRECT("'("&amp;$A$4&amp;")'!ao24")</f>
        <v>0</v>
      </c>
      <c r="AP24" s="24">
        <f ca="1">INDIRECT("'("&amp;$A$4&amp;")'!ap24")</f>
        <v>0</v>
      </c>
      <c r="AQ24" s="24">
        <f ca="1">INDIRECT("'("&amp;$A$4&amp;")'!aq24")</f>
        <v>16</v>
      </c>
      <c r="AR24" s="46">
        <f t="shared" ca="1" si="48"/>
        <v>0</v>
      </c>
      <c r="AS24" s="46">
        <f t="shared" ca="1" si="49"/>
        <v>0.5161290322580645</v>
      </c>
      <c r="AT24" s="24"/>
      <c r="AU24" s="22">
        <f t="shared" ca="1" si="50"/>
        <v>81</v>
      </c>
      <c r="AV24" s="22">
        <f t="shared" ca="1" si="51"/>
        <v>0</v>
      </c>
      <c r="AW24" s="22">
        <f t="shared" ca="1" si="52"/>
        <v>1</v>
      </c>
      <c r="AX24" s="22">
        <f t="shared" ca="1" si="53"/>
        <v>1</v>
      </c>
      <c r="AY24" s="22">
        <f t="shared" ca="1" si="54"/>
        <v>0</v>
      </c>
      <c r="AZ24" s="22">
        <f t="shared" ca="1" si="55"/>
        <v>70</v>
      </c>
      <c r="BA24" s="46">
        <f t="shared" ca="1" si="56"/>
        <v>2.4096385542168676E-2</v>
      </c>
      <c r="BB24" s="46">
        <f t="shared" ca="1" si="57"/>
        <v>0.45751633986928103</v>
      </c>
      <c r="BC24" s="19"/>
      <c r="BD24" s="19"/>
      <c r="BE24" s="19"/>
      <c r="BF24" s="19"/>
      <c r="BG24" s="19"/>
      <c r="BH24" s="19"/>
      <c r="BI24" s="19"/>
      <c r="BJ24" s="19"/>
      <c r="BK24" s="19"/>
    </row>
    <row r="25" spans="1:63" s="8" customFormat="1" ht="15" customHeight="1" x14ac:dyDescent="0.35">
      <c r="A25" s="2" t="s">
        <v>32</v>
      </c>
      <c r="B25" s="24">
        <f ca="1">INDIRECT("'("&amp;$A$4&amp;")'!b25")</f>
        <v>7</v>
      </c>
      <c r="C25" s="24">
        <f ca="1">INDIRECT("'("&amp;$A$4&amp;")'!c25")</f>
        <v>0</v>
      </c>
      <c r="D25" s="24">
        <f ca="1">INDIRECT("'("&amp;$A$4&amp;")'!d25")</f>
        <v>0</v>
      </c>
      <c r="E25" s="24">
        <f ca="1">INDIRECT("'("&amp;$A$4&amp;")'!e25")</f>
        <v>0</v>
      </c>
      <c r="F25" s="24">
        <f ca="1">INDIRECT("'("&amp;$A$4&amp;")'!f25")</f>
        <v>0</v>
      </c>
      <c r="G25" s="24">
        <f ca="1">INDIRECT("'("&amp;$A$4&amp;")'!g25")</f>
        <v>0</v>
      </c>
      <c r="H25" s="46">
        <f t="shared" ca="1" si="19"/>
        <v>0</v>
      </c>
      <c r="I25" s="46">
        <f t="shared" ca="1" si="20"/>
        <v>0</v>
      </c>
      <c r="J25" s="24"/>
      <c r="K25" s="24">
        <f ca="1">INDIRECT("'("&amp;$A$4&amp;")'!k25")</f>
        <v>29</v>
      </c>
      <c r="L25" s="24">
        <f ca="1">INDIRECT("'("&amp;$A$4&amp;")'!l25")</f>
        <v>0</v>
      </c>
      <c r="M25" s="24">
        <f ca="1">INDIRECT("'("&amp;$A$4&amp;")'!m25")</f>
        <v>1</v>
      </c>
      <c r="N25" s="24">
        <f ca="1">INDIRECT("'("&amp;$A$4&amp;")'!n25")</f>
        <v>0</v>
      </c>
      <c r="O25" s="24">
        <f ca="1">INDIRECT("'("&amp;$A$4&amp;")'!o25")</f>
        <v>0</v>
      </c>
      <c r="P25" s="24">
        <f ca="1">INDIRECT("'("&amp;$A$4&amp;")'!p25")</f>
        <v>21</v>
      </c>
      <c r="Q25" s="46">
        <f t="shared" ca="1" si="26"/>
        <v>3.3333333333333333E-2</v>
      </c>
      <c r="R25" s="46">
        <f t="shared" ca="1" si="27"/>
        <v>0.41176470588235292</v>
      </c>
      <c r="S25" s="24"/>
      <c r="T25" s="22">
        <f t="shared" ca="1" si="28"/>
        <v>36</v>
      </c>
      <c r="U25" s="22">
        <f t="shared" ca="1" si="29"/>
        <v>0</v>
      </c>
      <c r="V25" s="22">
        <f t="shared" ca="1" si="30"/>
        <v>1</v>
      </c>
      <c r="W25" s="22">
        <f t="shared" ca="1" si="31"/>
        <v>0</v>
      </c>
      <c r="X25" s="22">
        <f t="shared" ca="1" si="32"/>
        <v>0</v>
      </c>
      <c r="Y25" s="22">
        <f t="shared" ca="1" si="33"/>
        <v>21</v>
      </c>
      <c r="Z25" s="46">
        <f t="shared" ca="1" si="34"/>
        <v>2.7027027027027029E-2</v>
      </c>
      <c r="AA25" s="46">
        <f t="shared" ca="1" si="35"/>
        <v>0.36206896551724138</v>
      </c>
      <c r="AB25" s="24"/>
      <c r="AC25" s="24">
        <f ca="1">INDIRECT("'("&amp;$A$4&amp;")'!ac25")</f>
        <v>0</v>
      </c>
      <c r="AD25" s="24">
        <f ca="1">INDIRECT("'("&amp;$A$4&amp;")'!ad25")</f>
        <v>0</v>
      </c>
      <c r="AE25" s="24">
        <f ca="1">INDIRECT("'("&amp;$A$4&amp;")'!ae25")</f>
        <v>0</v>
      </c>
      <c r="AF25" s="24">
        <f ca="1">INDIRECT("'("&amp;$A$4&amp;")'!af25")</f>
        <v>0</v>
      </c>
      <c r="AG25" s="24">
        <f ca="1">INDIRECT("'("&amp;$A$4&amp;")'!ag25")</f>
        <v>0</v>
      </c>
      <c r="AH25" s="24">
        <f ca="1">INDIRECT("'("&amp;$A$4&amp;")'!ah25")</f>
        <v>0</v>
      </c>
      <c r="AI25" s="46" t="str">
        <f t="shared" ca="1" si="41"/>
        <v>-</v>
      </c>
      <c r="AJ25" s="46" t="str">
        <f t="shared" ca="1" si="42"/>
        <v>-</v>
      </c>
      <c r="AK25" s="24"/>
      <c r="AL25" s="24">
        <f ca="1">INDIRECT("'("&amp;$A$4&amp;")'!al25")</f>
        <v>5</v>
      </c>
      <c r="AM25" s="24">
        <f ca="1">INDIRECT("'("&amp;$A$4&amp;")'!am25")</f>
        <v>0</v>
      </c>
      <c r="AN25" s="24">
        <f ca="1">INDIRECT("'("&amp;$A$4&amp;")'!an25")</f>
        <v>0</v>
      </c>
      <c r="AO25" s="24">
        <f ca="1">INDIRECT("'("&amp;$A$4&amp;")'!ao25")</f>
        <v>0</v>
      </c>
      <c r="AP25" s="24">
        <f ca="1">INDIRECT("'("&amp;$A$4&amp;")'!ap25")</f>
        <v>0</v>
      </c>
      <c r="AQ25" s="24">
        <f ca="1">INDIRECT("'("&amp;$A$4&amp;")'!aq25")</f>
        <v>0</v>
      </c>
      <c r="AR25" s="46">
        <f t="shared" ca="1" si="48"/>
        <v>0</v>
      </c>
      <c r="AS25" s="46">
        <f t="shared" ca="1" si="49"/>
        <v>0</v>
      </c>
      <c r="AT25" s="24"/>
      <c r="AU25" s="22">
        <f t="shared" ca="1" si="50"/>
        <v>41</v>
      </c>
      <c r="AV25" s="22">
        <f t="shared" ca="1" si="51"/>
        <v>0</v>
      </c>
      <c r="AW25" s="22">
        <f t="shared" ca="1" si="52"/>
        <v>1</v>
      </c>
      <c r="AX25" s="22">
        <f t="shared" ca="1" si="53"/>
        <v>0</v>
      </c>
      <c r="AY25" s="22">
        <f t="shared" ca="1" si="54"/>
        <v>0</v>
      </c>
      <c r="AZ25" s="22">
        <f t="shared" ca="1" si="55"/>
        <v>21</v>
      </c>
      <c r="BA25" s="46">
        <f t="shared" ca="1" si="56"/>
        <v>2.3809523809523808E-2</v>
      </c>
      <c r="BB25" s="46">
        <f t="shared" ca="1" si="57"/>
        <v>0.33333333333333331</v>
      </c>
      <c r="BC25" s="19"/>
      <c r="BD25" s="19"/>
      <c r="BE25" s="19"/>
      <c r="BF25" s="19"/>
      <c r="BG25" s="19"/>
      <c r="BH25" s="19"/>
      <c r="BI25" s="19"/>
      <c r="BJ25" s="19"/>
      <c r="BK25" s="19"/>
    </row>
    <row r="26" spans="1:63" s="8" customFormat="1" ht="15" customHeight="1" x14ac:dyDescent="0.35">
      <c r="A26" s="2" t="s">
        <v>33</v>
      </c>
      <c r="B26" s="24">
        <f ca="1">INDIRECT("'("&amp;$A$4&amp;")'!b26")</f>
        <v>37</v>
      </c>
      <c r="C26" s="24">
        <f ca="1">INDIRECT("'("&amp;$A$4&amp;")'!c26")</f>
        <v>0</v>
      </c>
      <c r="D26" s="24">
        <f ca="1">INDIRECT("'("&amp;$A$4&amp;")'!d26")</f>
        <v>0</v>
      </c>
      <c r="E26" s="24">
        <f ca="1">INDIRECT("'("&amp;$A$4&amp;")'!e26")</f>
        <v>0</v>
      </c>
      <c r="F26" s="24">
        <f ca="1">INDIRECT("'("&amp;$A$4&amp;")'!f26")</f>
        <v>0</v>
      </c>
      <c r="G26" s="24">
        <f ca="1">INDIRECT("'("&amp;$A$4&amp;")'!g26")</f>
        <v>22</v>
      </c>
      <c r="H26" s="46">
        <f t="shared" ca="1" si="19"/>
        <v>0</v>
      </c>
      <c r="I26" s="46">
        <f t="shared" ca="1" si="20"/>
        <v>0.3728813559322034</v>
      </c>
      <c r="J26" s="24"/>
      <c r="K26" s="24">
        <f ca="1">INDIRECT("'("&amp;$A$4&amp;")'!k26")</f>
        <v>104</v>
      </c>
      <c r="L26" s="24">
        <f ca="1">INDIRECT("'("&amp;$A$4&amp;")'!l26")</f>
        <v>0</v>
      </c>
      <c r="M26" s="24">
        <f ca="1">INDIRECT("'("&amp;$A$4&amp;")'!m26")</f>
        <v>0</v>
      </c>
      <c r="N26" s="24">
        <f ca="1">INDIRECT("'("&amp;$A$4&amp;")'!n26")</f>
        <v>1</v>
      </c>
      <c r="O26" s="24">
        <f ca="1">INDIRECT("'("&amp;$A$4&amp;")'!o26")</f>
        <v>0</v>
      </c>
      <c r="P26" s="24">
        <f ca="1">INDIRECT("'("&amp;$A$4&amp;")'!p26")</f>
        <v>5</v>
      </c>
      <c r="Q26" s="46">
        <f t="shared" ca="1" si="26"/>
        <v>9.5238095238095247E-3</v>
      </c>
      <c r="R26" s="46">
        <f t="shared" ca="1" si="27"/>
        <v>4.5454545454545456E-2</v>
      </c>
      <c r="S26" s="24"/>
      <c r="T26" s="22">
        <f t="shared" ca="1" si="28"/>
        <v>141</v>
      </c>
      <c r="U26" s="22">
        <f t="shared" ca="1" si="29"/>
        <v>0</v>
      </c>
      <c r="V26" s="22">
        <f t="shared" ca="1" si="30"/>
        <v>0</v>
      </c>
      <c r="W26" s="22">
        <f t="shared" ca="1" si="31"/>
        <v>1</v>
      </c>
      <c r="X26" s="22">
        <f t="shared" ca="1" si="32"/>
        <v>0</v>
      </c>
      <c r="Y26" s="22">
        <f t="shared" ca="1" si="33"/>
        <v>27</v>
      </c>
      <c r="Z26" s="46">
        <f t="shared" ca="1" si="34"/>
        <v>7.0422535211267607E-3</v>
      </c>
      <c r="AA26" s="46">
        <f t="shared" ca="1" si="35"/>
        <v>0.15976331360946747</v>
      </c>
      <c r="AB26" s="24"/>
      <c r="AC26" s="24">
        <f ca="1">INDIRECT("'("&amp;$A$4&amp;")'!ac26")</f>
        <v>3</v>
      </c>
      <c r="AD26" s="24">
        <f ca="1">INDIRECT("'("&amp;$A$4&amp;")'!ad26")</f>
        <v>0</v>
      </c>
      <c r="AE26" s="24">
        <f ca="1">INDIRECT("'("&amp;$A$4&amp;")'!ae26")</f>
        <v>0</v>
      </c>
      <c r="AF26" s="24">
        <f ca="1">INDIRECT("'("&amp;$A$4&amp;")'!af26")</f>
        <v>0</v>
      </c>
      <c r="AG26" s="24">
        <f ca="1">INDIRECT("'("&amp;$A$4&amp;")'!ag26")</f>
        <v>0</v>
      </c>
      <c r="AH26" s="24">
        <f ca="1">INDIRECT("'("&amp;$A$4&amp;")'!ah26")</f>
        <v>0</v>
      </c>
      <c r="AI26" s="46">
        <f t="shared" ca="1" si="41"/>
        <v>0</v>
      </c>
      <c r="AJ26" s="46">
        <f t="shared" ca="1" si="42"/>
        <v>0</v>
      </c>
      <c r="AK26" s="24"/>
      <c r="AL26" s="24">
        <f ca="1">INDIRECT("'("&amp;$A$4&amp;")'!al26")</f>
        <v>26</v>
      </c>
      <c r="AM26" s="24">
        <f ca="1">INDIRECT("'("&amp;$A$4&amp;")'!am26")</f>
        <v>0</v>
      </c>
      <c r="AN26" s="24">
        <f ca="1">INDIRECT("'("&amp;$A$4&amp;")'!an26")</f>
        <v>0</v>
      </c>
      <c r="AO26" s="24">
        <f ca="1">INDIRECT("'("&amp;$A$4&amp;")'!ao26")</f>
        <v>0</v>
      </c>
      <c r="AP26" s="24">
        <f ca="1">INDIRECT("'("&amp;$A$4&amp;")'!ap26")</f>
        <v>0</v>
      </c>
      <c r="AQ26" s="24">
        <f ca="1">INDIRECT("'("&amp;$A$4&amp;")'!aq26")</f>
        <v>2</v>
      </c>
      <c r="AR26" s="46">
        <f t="shared" ca="1" si="48"/>
        <v>0</v>
      </c>
      <c r="AS26" s="46">
        <f t="shared" ca="1" si="49"/>
        <v>7.1428571428571425E-2</v>
      </c>
      <c r="AT26" s="24"/>
      <c r="AU26" s="22">
        <f t="shared" ca="1" si="50"/>
        <v>170</v>
      </c>
      <c r="AV26" s="22">
        <f t="shared" ca="1" si="51"/>
        <v>0</v>
      </c>
      <c r="AW26" s="22">
        <f t="shared" ca="1" si="52"/>
        <v>0</v>
      </c>
      <c r="AX26" s="22">
        <f t="shared" ca="1" si="53"/>
        <v>1</v>
      </c>
      <c r="AY26" s="22">
        <f t="shared" ca="1" si="54"/>
        <v>0</v>
      </c>
      <c r="AZ26" s="22">
        <f t="shared" ca="1" si="55"/>
        <v>29</v>
      </c>
      <c r="BA26" s="46">
        <f t="shared" ca="1" si="56"/>
        <v>5.8479532163742687E-3</v>
      </c>
      <c r="BB26" s="46">
        <f t="shared" ca="1" si="57"/>
        <v>0.14499999999999999</v>
      </c>
      <c r="BC26" s="19"/>
      <c r="BD26" s="19"/>
      <c r="BE26" s="19"/>
      <c r="BF26" s="19"/>
      <c r="BG26" s="19"/>
      <c r="BH26" s="19"/>
      <c r="BI26" s="19"/>
      <c r="BJ26" s="19"/>
      <c r="BK26" s="19"/>
    </row>
    <row r="27" spans="1:63" s="8" customFormat="1" ht="15" customHeight="1" x14ac:dyDescent="0.35">
      <c r="A27" s="2" t="s">
        <v>34</v>
      </c>
      <c r="B27" s="24">
        <f ca="1">INDIRECT("'("&amp;$A$4&amp;")'!b27")</f>
        <v>23</v>
      </c>
      <c r="C27" s="24">
        <f ca="1">INDIRECT("'("&amp;$A$4&amp;")'!c27")</f>
        <v>1</v>
      </c>
      <c r="D27" s="24">
        <f ca="1">INDIRECT("'("&amp;$A$4&amp;")'!d27")</f>
        <v>0</v>
      </c>
      <c r="E27" s="24">
        <f ca="1">INDIRECT("'("&amp;$A$4&amp;")'!e27")</f>
        <v>0</v>
      </c>
      <c r="F27" s="24">
        <f ca="1">INDIRECT("'("&amp;$A$4&amp;")'!f27")</f>
        <v>0</v>
      </c>
      <c r="G27" s="24">
        <f ca="1">INDIRECT("'("&amp;$A$4&amp;")'!g27")</f>
        <v>1</v>
      </c>
      <c r="H27" s="46">
        <f t="shared" ca="1" si="19"/>
        <v>4.1666666666666664E-2</v>
      </c>
      <c r="I27" s="46">
        <f t="shared" ca="1" si="20"/>
        <v>0.04</v>
      </c>
      <c r="J27" s="24"/>
      <c r="K27" s="24">
        <f ca="1">INDIRECT("'("&amp;$A$4&amp;")'!k27")</f>
        <v>54</v>
      </c>
      <c r="L27" s="24">
        <f ca="1">INDIRECT("'("&amp;$A$4&amp;")'!l27")</f>
        <v>0</v>
      </c>
      <c r="M27" s="24">
        <f ca="1">INDIRECT("'("&amp;$A$4&amp;")'!m27")</f>
        <v>0</v>
      </c>
      <c r="N27" s="24">
        <f ca="1">INDIRECT("'("&amp;$A$4&amp;")'!n27")</f>
        <v>0</v>
      </c>
      <c r="O27" s="24">
        <f ca="1">INDIRECT("'("&amp;$A$4&amp;")'!o27")</f>
        <v>0</v>
      </c>
      <c r="P27" s="24">
        <f ca="1">INDIRECT("'("&amp;$A$4&amp;")'!p27")</f>
        <v>9</v>
      </c>
      <c r="Q27" s="46">
        <f t="shared" ca="1" si="26"/>
        <v>0</v>
      </c>
      <c r="R27" s="46">
        <f t="shared" ca="1" si="27"/>
        <v>0.14285714285714285</v>
      </c>
      <c r="S27" s="24"/>
      <c r="T27" s="22">
        <f t="shared" ca="1" si="28"/>
        <v>77</v>
      </c>
      <c r="U27" s="22">
        <f t="shared" ca="1" si="29"/>
        <v>1</v>
      </c>
      <c r="V27" s="22">
        <f t="shared" ca="1" si="30"/>
        <v>0</v>
      </c>
      <c r="W27" s="22">
        <f t="shared" ca="1" si="31"/>
        <v>0</v>
      </c>
      <c r="X27" s="22">
        <f t="shared" ca="1" si="32"/>
        <v>0</v>
      </c>
      <c r="Y27" s="22">
        <f t="shared" ca="1" si="33"/>
        <v>10</v>
      </c>
      <c r="Z27" s="46">
        <f t="shared" ca="1" si="34"/>
        <v>1.282051282051282E-2</v>
      </c>
      <c r="AA27" s="46">
        <f t="shared" ca="1" si="35"/>
        <v>0.11363636363636363</v>
      </c>
      <c r="AB27" s="24"/>
      <c r="AC27" s="24">
        <f ca="1">INDIRECT("'("&amp;$A$4&amp;")'!ac27")</f>
        <v>2</v>
      </c>
      <c r="AD27" s="24">
        <f ca="1">INDIRECT("'("&amp;$A$4&amp;")'!ad27")</f>
        <v>0</v>
      </c>
      <c r="AE27" s="24">
        <f ca="1">INDIRECT("'("&amp;$A$4&amp;")'!ae27")</f>
        <v>0</v>
      </c>
      <c r="AF27" s="24">
        <f ca="1">INDIRECT("'("&amp;$A$4&amp;")'!af27")</f>
        <v>0</v>
      </c>
      <c r="AG27" s="24">
        <f ca="1">INDIRECT("'("&amp;$A$4&amp;")'!ag27")</f>
        <v>0</v>
      </c>
      <c r="AH27" s="24">
        <f ca="1">INDIRECT("'("&amp;$A$4&amp;")'!ah27")</f>
        <v>0</v>
      </c>
      <c r="AI27" s="46">
        <f t="shared" ca="1" si="41"/>
        <v>0</v>
      </c>
      <c r="AJ27" s="46">
        <f t="shared" ca="1" si="42"/>
        <v>0</v>
      </c>
      <c r="AK27" s="24"/>
      <c r="AL27" s="24">
        <f ca="1">INDIRECT("'("&amp;$A$4&amp;")'!al27")</f>
        <v>21</v>
      </c>
      <c r="AM27" s="24">
        <f ca="1">INDIRECT("'("&amp;$A$4&amp;")'!am27")</f>
        <v>0</v>
      </c>
      <c r="AN27" s="24">
        <f ca="1">INDIRECT("'("&amp;$A$4&amp;")'!an27")</f>
        <v>0</v>
      </c>
      <c r="AO27" s="24">
        <f ca="1">INDIRECT("'("&amp;$A$4&amp;")'!ao27")</f>
        <v>1</v>
      </c>
      <c r="AP27" s="24">
        <f ca="1">INDIRECT("'("&amp;$A$4&amp;")'!ap27")</f>
        <v>0</v>
      </c>
      <c r="AQ27" s="24">
        <f ca="1">INDIRECT("'("&amp;$A$4&amp;")'!aq27")</f>
        <v>3</v>
      </c>
      <c r="AR27" s="46">
        <f t="shared" ca="1" si="48"/>
        <v>4.5454545454545456E-2</v>
      </c>
      <c r="AS27" s="46">
        <f t="shared" ca="1" si="49"/>
        <v>0.12</v>
      </c>
      <c r="AT27" s="24"/>
      <c r="AU27" s="22">
        <f t="shared" ca="1" si="50"/>
        <v>100</v>
      </c>
      <c r="AV27" s="22">
        <f t="shared" ca="1" si="51"/>
        <v>1</v>
      </c>
      <c r="AW27" s="22">
        <f t="shared" ca="1" si="52"/>
        <v>0</v>
      </c>
      <c r="AX27" s="22">
        <f t="shared" ca="1" si="53"/>
        <v>1</v>
      </c>
      <c r="AY27" s="22">
        <f t="shared" ca="1" si="54"/>
        <v>0</v>
      </c>
      <c r="AZ27" s="22">
        <f t="shared" ca="1" si="55"/>
        <v>13</v>
      </c>
      <c r="BA27" s="46">
        <f t="shared" ca="1" si="56"/>
        <v>1.9607843137254902E-2</v>
      </c>
      <c r="BB27" s="46">
        <f t="shared" ca="1" si="57"/>
        <v>0.11304347826086956</v>
      </c>
      <c r="BC27" s="19"/>
      <c r="BD27" s="19"/>
      <c r="BE27" s="19"/>
      <c r="BF27" s="19"/>
      <c r="BG27" s="19"/>
      <c r="BH27" s="19"/>
      <c r="BI27" s="19"/>
      <c r="BJ27" s="19"/>
      <c r="BK27" s="19"/>
    </row>
    <row r="28" spans="1:63" s="8" customFormat="1" ht="15" customHeight="1" x14ac:dyDescent="0.35">
      <c r="A28" s="2" t="s">
        <v>35</v>
      </c>
      <c r="B28" s="24">
        <f ca="1">INDIRECT("'("&amp;$A$4&amp;")'!b28")</f>
        <v>24</v>
      </c>
      <c r="C28" s="24">
        <f ca="1">INDIRECT("'("&amp;$A$4&amp;")'!c28")</f>
        <v>2</v>
      </c>
      <c r="D28" s="24">
        <f ca="1">INDIRECT("'("&amp;$A$4&amp;")'!d28")</f>
        <v>0</v>
      </c>
      <c r="E28" s="24">
        <f ca="1">INDIRECT("'("&amp;$A$4&amp;")'!e28")</f>
        <v>0</v>
      </c>
      <c r="F28" s="24">
        <f ca="1">INDIRECT("'("&amp;$A$4&amp;")'!f28")</f>
        <v>0</v>
      </c>
      <c r="G28" s="24">
        <f ca="1">INDIRECT("'("&amp;$A$4&amp;")'!g28")</f>
        <v>0</v>
      </c>
      <c r="H28" s="46">
        <f t="shared" ca="1" si="19"/>
        <v>7.6923076923076927E-2</v>
      </c>
      <c r="I28" s="46">
        <f t="shared" ca="1" si="20"/>
        <v>0</v>
      </c>
      <c r="J28" s="24"/>
      <c r="K28" s="24">
        <f ca="1">INDIRECT("'("&amp;$A$4&amp;")'!k28")</f>
        <v>21</v>
      </c>
      <c r="L28" s="24">
        <f ca="1">INDIRECT("'("&amp;$A$4&amp;")'!l28")</f>
        <v>0</v>
      </c>
      <c r="M28" s="24">
        <f ca="1">INDIRECT("'("&amp;$A$4&amp;")'!m28")</f>
        <v>0</v>
      </c>
      <c r="N28" s="24">
        <f ca="1">INDIRECT("'("&amp;$A$4&amp;")'!n28")</f>
        <v>0</v>
      </c>
      <c r="O28" s="24">
        <f ca="1">INDIRECT("'("&amp;$A$4&amp;")'!o28")</f>
        <v>0</v>
      </c>
      <c r="P28" s="24">
        <f ca="1">INDIRECT("'("&amp;$A$4&amp;")'!p28")</f>
        <v>1</v>
      </c>
      <c r="Q28" s="46">
        <f t="shared" ca="1" si="26"/>
        <v>0</v>
      </c>
      <c r="R28" s="46">
        <f t="shared" ca="1" si="27"/>
        <v>4.5454545454545456E-2</v>
      </c>
      <c r="S28" s="24"/>
      <c r="T28" s="22">
        <f t="shared" ca="1" si="28"/>
        <v>45</v>
      </c>
      <c r="U28" s="22">
        <f t="shared" ca="1" si="29"/>
        <v>2</v>
      </c>
      <c r="V28" s="22">
        <f t="shared" ca="1" si="30"/>
        <v>0</v>
      </c>
      <c r="W28" s="22">
        <f t="shared" ca="1" si="31"/>
        <v>0</v>
      </c>
      <c r="X28" s="22">
        <f t="shared" ca="1" si="32"/>
        <v>0</v>
      </c>
      <c r="Y28" s="22">
        <f t="shared" ca="1" si="33"/>
        <v>1</v>
      </c>
      <c r="Z28" s="46">
        <f t="shared" ca="1" si="34"/>
        <v>4.2553191489361701E-2</v>
      </c>
      <c r="AA28" s="46">
        <f t="shared" ca="1" si="35"/>
        <v>2.0833333333333332E-2</v>
      </c>
      <c r="AB28" s="24"/>
      <c r="AC28" s="24">
        <f ca="1">INDIRECT("'("&amp;$A$4&amp;")'!ac28")</f>
        <v>0</v>
      </c>
      <c r="AD28" s="24">
        <f ca="1">INDIRECT("'("&amp;$A$4&amp;")'!ad28")</f>
        <v>0</v>
      </c>
      <c r="AE28" s="24">
        <f ca="1">INDIRECT("'("&amp;$A$4&amp;")'!ae28")</f>
        <v>0</v>
      </c>
      <c r="AF28" s="24">
        <f ca="1">INDIRECT("'("&amp;$A$4&amp;")'!af28")</f>
        <v>0</v>
      </c>
      <c r="AG28" s="24">
        <f ca="1">INDIRECT("'("&amp;$A$4&amp;")'!ag28")</f>
        <v>0</v>
      </c>
      <c r="AH28" s="24">
        <f ca="1">INDIRECT("'("&amp;$A$4&amp;")'!ah28")</f>
        <v>0</v>
      </c>
      <c r="AI28" s="46" t="str">
        <f t="shared" ca="1" si="41"/>
        <v>-</v>
      </c>
      <c r="AJ28" s="46" t="str">
        <f t="shared" ca="1" si="42"/>
        <v>-</v>
      </c>
      <c r="AK28" s="24"/>
      <c r="AL28" s="24">
        <f ca="1">INDIRECT("'("&amp;$A$4&amp;")'!al28")</f>
        <v>10</v>
      </c>
      <c r="AM28" s="24">
        <f ca="1">INDIRECT("'("&amp;$A$4&amp;")'!am28")</f>
        <v>1</v>
      </c>
      <c r="AN28" s="24">
        <f ca="1">INDIRECT("'("&amp;$A$4&amp;")'!an28")</f>
        <v>0</v>
      </c>
      <c r="AO28" s="24">
        <f ca="1">INDIRECT("'("&amp;$A$4&amp;")'!ao28")</f>
        <v>1</v>
      </c>
      <c r="AP28" s="24">
        <f ca="1">INDIRECT("'("&amp;$A$4&amp;")'!ap28")</f>
        <v>0</v>
      </c>
      <c r="AQ28" s="24">
        <f ca="1">INDIRECT("'("&amp;$A$4&amp;")'!aq28")</f>
        <v>0</v>
      </c>
      <c r="AR28" s="46">
        <f t="shared" ca="1" si="48"/>
        <v>0.16666666666666666</v>
      </c>
      <c r="AS28" s="46">
        <f t="shared" ca="1" si="49"/>
        <v>0</v>
      </c>
      <c r="AT28" s="24"/>
      <c r="AU28" s="22">
        <f t="shared" ca="1" si="50"/>
        <v>55</v>
      </c>
      <c r="AV28" s="22">
        <f t="shared" ca="1" si="51"/>
        <v>3</v>
      </c>
      <c r="AW28" s="22">
        <f t="shared" ca="1" si="52"/>
        <v>0</v>
      </c>
      <c r="AX28" s="22">
        <f t="shared" ca="1" si="53"/>
        <v>1</v>
      </c>
      <c r="AY28" s="22">
        <f t="shared" ca="1" si="54"/>
        <v>0</v>
      </c>
      <c r="AZ28" s="22">
        <f t="shared" ca="1" si="55"/>
        <v>1</v>
      </c>
      <c r="BA28" s="46">
        <f t="shared" ca="1" si="56"/>
        <v>6.7796610169491525E-2</v>
      </c>
      <c r="BB28" s="46">
        <f t="shared" ca="1" si="57"/>
        <v>1.6666666666666666E-2</v>
      </c>
      <c r="BC28" s="19"/>
      <c r="BD28" s="19"/>
      <c r="BE28" s="19"/>
      <c r="BF28" s="19"/>
      <c r="BG28" s="19"/>
      <c r="BH28" s="19"/>
      <c r="BI28" s="19"/>
      <c r="BJ28" s="19"/>
      <c r="BK28" s="19"/>
    </row>
    <row r="29" spans="1:63" s="8" customFormat="1" ht="15" customHeight="1" x14ac:dyDescent="0.35">
      <c r="A29" s="2" t="s">
        <v>36</v>
      </c>
      <c r="B29" s="24">
        <f ca="1">INDIRECT("'("&amp;$A$4&amp;")'!b29")</f>
        <v>21</v>
      </c>
      <c r="C29" s="24">
        <f ca="1">INDIRECT("'("&amp;$A$4&amp;")'!c29")</f>
        <v>0</v>
      </c>
      <c r="D29" s="24">
        <f ca="1">INDIRECT("'("&amp;$A$4&amp;")'!d29")</f>
        <v>0</v>
      </c>
      <c r="E29" s="24">
        <f ca="1">INDIRECT("'("&amp;$A$4&amp;")'!e29")</f>
        <v>0</v>
      </c>
      <c r="F29" s="24">
        <f ca="1">INDIRECT("'("&amp;$A$4&amp;")'!f29")</f>
        <v>1</v>
      </c>
      <c r="G29" s="24">
        <f ca="1">INDIRECT("'("&amp;$A$4&amp;")'!g29")</f>
        <v>0</v>
      </c>
      <c r="H29" s="46">
        <f t="shared" ca="1" si="19"/>
        <v>4.5454545454545456E-2</v>
      </c>
      <c r="I29" s="46">
        <f t="shared" ca="1" si="20"/>
        <v>0</v>
      </c>
      <c r="J29" s="24"/>
      <c r="K29" s="24">
        <f ca="1">INDIRECT("'("&amp;$A$4&amp;")'!k29")</f>
        <v>31</v>
      </c>
      <c r="L29" s="24">
        <f ca="1">INDIRECT("'("&amp;$A$4&amp;")'!l29")</f>
        <v>0</v>
      </c>
      <c r="M29" s="24">
        <f ca="1">INDIRECT("'("&amp;$A$4&amp;")'!m29")</f>
        <v>0</v>
      </c>
      <c r="N29" s="24">
        <f ca="1">INDIRECT("'("&amp;$A$4&amp;")'!n29")</f>
        <v>0</v>
      </c>
      <c r="O29" s="24">
        <f ca="1">INDIRECT("'("&amp;$A$4&amp;")'!o29")</f>
        <v>0</v>
      </c>
      <c r="P29" s="24">
        <f ca="1">INDIRECT("'("&amp;$A$4&amp;")'!p29")</f>
        <v>0</v>
      </c>
      <c r="Q29" s="46">
        <f t="shared" ca="1" si="26"/>
        <v>0</v>
      </c>
      <c r="R29" s="46">
        <f t="shared" ca="1" si="27"/>
        <v>0</v>
      </c>
      <c r="S29" s="24"/>
      <c r="T29" s="22">
        <f t="shared" ca="1" si="28"/>
        <v>52</v>
      </c>
      <c r="U29" s="22">
        <f t="shared" ca="1" si="29"/>
        <v>0</v>
      </c>
      <c r="V29" s="22">
        <f t="shared" ca="1" si="30"/>
        <v>0</v>
      </c>
      <c r="W29" s="22">
        <f t="shared" ca="1" si="31"/>
        <v>0</v>
      </c>
      <c r="X29" s="22">
        <f t="shared" ca="1" si="32"/>
        <v>1</v>
      </c>
      <c r="Y29" s="22">
        <f t="shared" ca="1" si="33"/>
        <v>0</v>
      </c>
      <c r="Z29" s="46">
        <f t="shared" ca="1" si="34"/>
        <v>1.8867924528301886E-2</v>
      </c>
      <c r="AA29" s="46">
        <f t="shared" ca="1" si="35"/>
        <v>0</v>
      </c>
      <c r="AB29" s="24"/>
      <c r="AC29" s="24">
        <f ca="1">INDIRECT("'("&amp;$A$4&amp;")'!ac29")</f>
        <v>4</v>
      </c>
      <c r="AD29" s="24">
        <f ca="1">INDIRECT("'("&amp;$A$4&amp;")'!ad29")</f>
        <v>0</v>
      </c>
      <c r="AE29" s="24">
        <f ca="1">INDIRECT("'("&amp;$A$4&amp;")'!ae29")</f>
        <v>0</v>
      </c>
      <c r="AF29" s="24">
        <f ca="1">INDIRECT("'("&amp;$A$4&amp;")'!af29")</f>
        <v>0</v>
      </c>
      <c r="AG29" s="24">
        <f ca="1">INDIRECT("'("&amp;$A$4&amp;")'!ag29")</f>
        <v>0</v>
      </c>
      <c r="AH29" s="24">
        <f ca="1">INDIRECT("'("&amp;$A$4&amp;")'!ah29")</f>
        <v>0</v>
      </c>
      <c r="AI29" s="46">
        <f t="shared" ca="1" si="41"/>
        <v>0</v>
      </c>
      <c r="AJ29" s="46">
        <f t="shared" ca="1" si="42"/>
        <v>0</v>
      </c>
      <c r="AK29" s="24"/>
      <c r="AL29" s="24">
        <f ca="1">INDIRECT("'("&amp;$A$4&amp;")'!al29")</f>
        <v>17</v>
      </c>
      <c r="AM29" s="24">
        <f ca="1">INDIRECT("'("&amp;$A$4&amp;")'!am29")</f>
        <v>0</v>
      </c>
      <c r="AN29" s="24">
        <f ca="1">INDIRECT("'("&amp;$A$4&amp;")'!an29")</f>
        <v>1</v>
      </c>
      <c r="AO29" s="24">
        <f ca="1">INDIRECT("'("&amp;$A$4&amp;")'!ao29")</f>
        <v>0</v>
      </c>
      <c r="AP29" s="24">
        <f ca="1">INDIRECT("'("&amp;$A$4&amp;")'!ap29")</f>
        <v>0</v>
      </c>
      <c r="AQ29" s="24">
        <f ca="1">INDIRECT("'("&amp;$A$4&amp;")'!aq29")</f>
        <v>0</v>
      </c>
      <c r="AR29" s="46">
        <f t="shared" ca="1" si="48"/>
        <v>5.5555555555555552E-2</v>
      </c>
      <c r="AS29" s="46">
        <f t="shared" ca="1" si="49"/>
        <v>0</v>
      </c>
      <c r="AT29" s="24"/>
      <c r="AU29" s="22">
        <f t="shared" ca="1" si="50"/>
        <v>73</v>
      </c>
      <c r="AV29" s="22">
        <f t="shared" ca="1" si="51"/>
        <v>0</v>
      </c>
      <c r="AW29" s="22">
        <f t="shared" ca="1" si="52"/>
        <v>1</v>
      </c>
      <c r="AX29" s="22">
        <f t="shared" ca="1" si="53"/>
        <v>0</v>
      </c>
      <c r="AY29" s="22">
        <f t="shared" ca="1" si="54"/>
        <v>1</v>
      </c>
      <c r="AZ29" s="22">
        <f t="shared" ca="1" si="55"/>
        <v>0</v>
      </c>
      <c r="BA29" s="46">
        <f t="shared" ca="1" si="56"/>
        <v>2.6666666666666668E-2</v>
      </c>
      <c r="BB29" s="46">
        <f t="shared" ca="1" si="57"/>
        <v>0</v>
      </c>
      <c r="BC29" s="19"/>
      <c r="BD29" s="19"/>
      <c r="BE29" s="19"/>
      <c r="BF29" s="19"/>
      <c r="BG29" s="19"/>
      <c r="BH29" s="19"/>
      <c r="BI29" s="19"/>
      <c r="BJ29" s="19"/>
      <c r="BK29" s="19"/>
    </row>
    <row r="30" spans="1:63" s="8" customFormat="1" ht="15" customHeight="1" x14ac:dyDescent="0.35">
      <c r="A30" s="2" t="s">
        <v>37</v>
      </c>
      <c r="B30" s="24">
        <f ca="1">INDIRECT("'("&amp;$A$4&amp;")'!b30")</f>
        <v>0</v>
      </c>
      <c r="C30" s="24">
        <f ca="1">INDIRECT("'("&amp;$A$4&amp;")'!c30")</f>
        <v>0</v>
      </c>
      <c r="D30" s="24">
        <f ca="1">INDIRECT("'("&amp;$A$4&amp;")'!d30")</f>
        <v>0</v>
      </c>
      <c r="E30" s="24">
        <f ca="1">INDIRECT("'("&amp;$A$4&amp;")'!e30")</f>
        <v>0</v>
      </c>
      <c r="F30" s="24">
        <f ca="1">INDIRECT("'("&amp;$A$4&amp;")'!f30")</f>
        <v>0</v>
      </c>
      <c r="G30" s="24">
        <f ca="1">INDIRECT("'("&amp;$A$4&amp;")'!g30")</f>
        <v>0</v>
      </c>
      <c r="H30" s="46" t="str">
        <f t="shared" ca="1" si="19"/>
        <v>-</v>
      </c>
      <c r="I30" s="46" t="str">
        <f t="shared" ca="1" si="20"/>
        <v>-</v>
      </c>
      <c r="J30" s="24"/>
      <c r="K30" s="24">
        <f ca="1">INDIRECT("'("&amp;$A$4&amp;")'!k30")</f>
        <v>9</v>
      </c>
      <c r="L30" s="24">
        <f ca="1">INDIRECT("'("&amp;$A$4&amp;")'!l30")</f>
        <v>0</v>
      </c>
      <c r="M30" s="24">
        <f ca="1">INDIRECT("'("&amp;$A$4&amp;")'!m30")</f>
        <v>0</v>
      </c>
      <c r="N30" s="24">
        <f ca="1">INDIRECT("'("&amp;$A$4&amp;")'!n30")</f>
        <v>0</v>
      </c>
      <c r="O30" s="24">
        <f ca="1">INDIRECT("'("&amp;$A$4&amp;")'!o30")</f>
        <v>0</v>
      </c>
      <c r="P30" s="24">
        <f ca="1">INDIRECT("'("&amp;$A$4&amp;")'!p30")</f>
        <v>0</v>
      </c>
      <c r="Q30" s="46">
        <f t="shared" ca="1" si="26"/>
        <v>0</v>
      </c>
      <c r="R30" s="46">
        <f t="shared" ca="1" si="27"/>
        <v>0</v>
      </c>
      <c r="S30" s="24"/>
      <c r="T30" s="22">
        <f t="shared" ca="1" si="28"/>
        <v>9</v>
      </c>
      <c r="U30" s="22">
        <f t="shared" ca="1" si="29"/>
        <v>0</v>
      </c>
      <c r="V30" s="22">
        <f t="shared" ca="1" si="30"/>
        <v>0</v>
      </c>
      <c r="W30" s="22">
        <f t="shared" ca="1" si="31"/>
        <v>0</v>
      </c>
      <c r="X30" s="22">
        <f t="shared" ca="1" si="32"/>
        <v>0</v>
      </c>
      <c r="Y30" s="22">
        <f t="shared" ca="1" si="33"/>
        <v>0</v>
      </c>
      <c r="Z30" s="46">
        <f t="shared" ca="1" si="34"/>
        <v>0</v>
      </c>
      <c r="AA30" s="46">
        <f t="shared" ca="1" si="35"/>
        <v>0</v>
      </c>
      <c r="AB30" s="24"/>
      <c r="AC30" s="24">
        <f ca="1">INDIRECT("'("&amp;$A$4&amp;")'!ac30")</f>
        <v>0</v>
      </c>
      <c r="AD30" s="24">
        <f ca="1">INDIRECT("'("&amp;$A$4&amp;")'!ad30")</f>
        <v>0</v>
      </c>
      <c r="AE30" s="24">
        <f ca="1">INDIRECT("'("&amp;$A$4&amp;")'!ae30")</f>
        <v>0</v>
      </c>
      <c r="AF30" s="24">
        <f ca="1">INDIRECT("'("&amp;$A$4&amp;")'!af30")</f>
        <v>0</v>
      </c>
      <c r="AG30" s="24">
        <f ca="1">INDIRECT("'("&amp;$A$4&amp;")'!ag30")</f>
        <v>0</v>
      </c>
      <c r="AH30" s="24">
        <f ca="1">INDIRECT("'("&amp;$A$4&amp;")'!ah30")</f>
        <v>0</v>
      </c>
      <c r="AI30" s="46" t="str">
        <f t="shared" ca="1" si="41"/>
        <v>-</v>
      </c>
      <c r="AJ30" s="46" t="str">
        <f t="shared" ca="1" si="42"/>
        <v>-</v>
      </c>
      <c r="AK30" s="24"/>
      <c r="AL30" s="24">
        <f ca="1">INDIRECT("'("&amp;$A$4&amp;")'!al30")</f>
        <v>2</v>
      </c>
      <c r="AM30" s="24">
        <f ca="1">INDIRECT("'("&amp;$A$4&amp;")'!am30")</f>
        <v>0</v>
      </c>
      <c r="AN30" s="24">
        <f ca="1">INDIRECT("'("&amp;$A$4&amp;")'!an30")</f>
        <v>0</v>
      </c>
      <c r="AO30" s="24">
        <f ca="1">INDIRECT("'("&amp;$A$4&amp;")'!ao30")</f>
        <v>0</v>
      </c>
      <c r="AP30" s="24">
        <f ca="1">INDIRECT("'("&amp;$A$4&amp;")'!ap30")</f>
        <v>0</v>
      </c>
      <c r="AQ30" s="24">
        <f ca="1">INDIRECT("'("&amp;$A$4&amp;")'!aq30")</f>
        <v>0</v>
      </c>
      <c r="AR30" s="46">
        <f t="shared" ca="1" si="48"/>
        <v>0</v>
      </c>
      <c r="AS30" s="46">
        <f t="shared" ca="1" si="49"/>
        <v>0</v>
      </c>
      <c r="AT30" s="24"/>
      <c r="AU30" s="22">
        <f t="shared" ca="1" si="50"/>
        <v>11</v>
      </c>
      <c r="AV30" s="22">
        <f t="shared" ca="1" si="51"/>
        <v>0</v>
      </c>
      <c r="AW30" s="22">
        <f t="shared" ca="1" si="52"/>
        <v>0</v>
      </c>
      <c r="AX30" s="22">
        <f t="shared" ca="1" si="53"/>
        <v>0</v>
      </c>
      <c r="AY30" s="22">
        <f t="shared" ca="1" si="54"/>
        <v>0</v>
      </c>
      <c r="AZ30" s="22">
        <f t="shared" ca="1" si="55"/>
        <v>0</v>
      </c>
      <c r="BA30" s="46">
        <f t="shared" ca="1" si="56"/>
        <v>0</v>
      </c>
      <c r="BB30" s="46">
        <f t="shared" ca="1" si="57"/>
        <v>0</v>
      </c>
      <c r="BC30" s="19"/>
      <c r="BD30" s="19"/>
      <c r="BE30" s="19"/>
      <c r="BF30" s="19"/>
      <c r="BG30" s="19"/>
      <c r="BH30" s="19"/>
      <c r="BI30" s="19"/>
      <c r="BJ30" s="19"/>
      <c r="BK30" s="19"/>
    </row>
    <row r="31" spans="1:63" s="8" customFormat="1" ht="15" customHeight="1" x14ac:dyDescent="0.35">
      <c r="A31" s="3" t="s">
        <v>38</v>
      </c>
      <c r="B31" s="24">
        <f ca="1">INDIRECT("'("&amp;$A$4&amp;")'!b31")</f>
        <v>13</v>
      </c>
      <c r="C31" s="24">
        <f ca="1">INDIRECT("'("&amp;$A$4&amp;")'!c31")</f>
        <v>0</v>
      </c>
      <c r="D31" s="24">
        <f ca="1">INDIRECT("'("&amp;$A$4&amp;")'!d31")</f>
        <v>0</v>
      </c>
      <c r="E31" s="24">
        <f ca="1">INDIRECT("'("&amp;$A$4&amp;")'!e31")</f>
        <v>0</v>
      </c>
      <c r="F31" s="24">
        <f ca="1">INDIRECT("'("&amp;$A$4&amp;")'!f31")</f>
        <v>0</v>
      </c>
      <c r="G31" s="24">
        <f ca="1">INDIRECT("'("&amp;$A$4&amp;")'!g31")</f>
        <v>20</v>
      </c>
      <c r="H31" s="46">
        <f t="shared" ca="1" si="19"/>
        <v>0</v>
      </c>
      <c r="I31" s="46">
        <f t="shared" ca="1" si="20"/>
        <v>0.60606060606060608</v>
      </c>
      <c r="J31" s="24"/>
      <c r="K31" s="24">
        <f ca="1">INDIRECT("'("&amp;$A$4&amp;")'!k31")</f>
        <v>15</v>
      </c>
      <c r="L31" s="24">
        <f ca="1">INDIRECT("'("&amp;$A$4&amp;")'!l31")</f>
        <v>0</v>
      </c>
      <c r="M31" s="24">
        <f ca="1">INDIRECT("'("&amp;$A$4&amp;")'!m31")</f>
        <v>0</v>
      </c>
      <c r="N31" s="24">
        <f ca="1">INDIRECT("'("&amp;$A$4&amp;")'!n31")</f>
        <v>0</v>
      </c>
      <c r="O31" s="24">
        <f ca="1">INDIRECT("'("&amp;$A$4&amp;")'!o31")</f>
        <v>0</v>
      </c>
      <c r="P31" s="24">
        <f ca="1">INDIRECT("'("&amp;$A$4&amp;")'!p31")</f>
        <v>87</v>
      </c>
      <c r="Q31" s="46">
        <f t="shared" ca="1" si="26"/>
        <v>0</v>
      </c>
      <c r="R31" s="46">
        <f t="shared" ca="1" si="27"/>
        <v>0.8529411764705882</v>
      </c>
      <c r="S31" s="24"/>
      <c r="T31" s="22">
        <f t="shared" ca="1" si="28"/>
        <v>28</v>
      </c>
      <c r="U31" s="22">
        <f t="shared" ca="1" si="29"/>
        <v>0</v>
      </c>
      <c r="V31" s="22">
        <f t="shared" ca="1" si="30"/>
        <v>0</v>
      </c>
      <c r="W31" s="22">
        <f t="shared" ca="1" si="31"/>
        <v>0</v>
      </c>
      <c r="X31" s="22">
        <f t="shared" ca="1" si="32"/>
        <v>0</v>
      </c>
      <c r="Y31" s="22">
        <f t="shared" ca="1" si="33"/>
        <v>107</v>
      </c>
      <c r="Z31" s="46">
        <f t="shared" ca="1" si="34"/>
        <v>0</v>
      </c>
      <c r="AA31" s="46">
        <f t="shared" ca="1" si="35"/>
        <v>0.79259259259259263</v>
      </c>
      <c r="AB31" s="24"/>
      <c r="AC31" s="24">
        <f ca="1">INDIRECT("'("&amp;$A$4&amp;")'!ac31")</f>
        <v>0</v>
      </c>
      <c r="AD31" s="24">
        <f ca="1">INDIRECT("'("&amp;$A$4&amp;")'!ad31")</f>
        <v>0</v>
      </c>
      <c r="AE31" s="24">
        <f ca="1">INDIRECT("'("&amp;$A$4&amp;")'!ae31")</f>
        <v>0</v>
      </c>
      <c r="AF31" s="24">
        <f ca="1">INDIRECT("'("&amp;$A$4&amp;")'!af31")</f>
        <v>0</v>
      </c>
      <c r="AG31" s="24">
        <f ca="1">INDIRECT("'("&amp;$A$4&amp;")'!ag31")</f>
        <v>0</v>
      </c>
      <c r="AH31" s="24">
        <f ca="1">INDIRECT("'("&amp;$A$4&amp;")'!ah31")</f>
        <v>1</v>
      </c>
      <c r="AI31" s="46" t="str">
        <f t="shared" ca="1" si="41"/>
        <v>-</v>
      </c>
      <c r="AJ31" s="46">
        <f t="shared" ca="1" si="42"/>
        <v>1</v>
      </c>
      <c r="AK31" s="24"/>
      <c r="AL31" s="24">
        <f ca="1">INDIRECT("'("&amp;$A$4&amp;")'!al31")</f>
        <v>11</v>
      </c>
      <c r="AM31" s="24">
        <f ca="1">INDIRECT("'("&amp;$A$4&amp;")'!am31")</f>
        <v>0</v>
      </c>
      <c r="AN31" s="24">
        <f ca="1">INDIRECT("'("&amp;$A$4&amp;")'!an31")</f>
        <v>0</v>
      </c>
      <c r="AO31" s="24">
        <f ca="1">INDIRECT("'("&amp;$A$4&amp;")'!ao31")</f>
        <v>0</v>
      </c>
      <c r="AP31" s="24">
        <f ca="1">INDIRECT("'("&amp;$A$4&amp;")'!ap31")</f>
        <v>0</v>
      </c>
      <c r="AQ31" s="24">
        <f ca="1">INDIRECT("'("&amp;$A$4&amp;")'!aq31")</f>
        <v>29</v>
      </c>
      <c r="AR31" s="46">
        <f t="shared" ca="1" si="48"/>
        <v>0</v>
      </c>
      <c r="AS31" s="46">
        <f t="shared" ca="1" si="49"/>
        <v>0.72499999999999998</v>
      </c>
      <c r="AT31" s="24"/>
      <c r="AU31" s="22">
        <f t="shared" ca="1" si="50"/>
        <v>39</v>
      </c>
      <c r="AV31" s="22">
        <f t="shared" ca="1" si="51"/>
        <v>0</v>
      </c>
      <c r="AW31" s="22">
        <f t="shared" ca="1" si="52"/>
        <v>0</v>
      </c>
      <c r="AX31" s="22">
        <f t="shared" ca="1" si="53"/>
        <v>0</v>
      </c>
      <c r="AY31" s="22">
        <f t="shared" ca="1" si="54"/>
        <v>0</v>
      </c>
      <c r="AZ31" s="22">
        <f t="shared" ca="1" si="55"/>
        <v>137</v>
      </c>
      <c r="BA31" s="46">
        <f t="shared" ca="1" si="56"/>
        <v>0</v>
      </c>
      <c r="BB31" s="46">
        <f t="shared" ca="1" si="57"/>
        <v>0.77840909090909094</v>
      </c>
      <c r="BC31" s="19"/>
      <c r="BD31" s="19"/>
      <c r="BE31" s="19"/>
      <c r="BF31" s="19"/>
      <c r="BG31" s="19"/>
      <c r="BH31" s="19"/>
      <c r="BI31" s="19"/>
      <c r="BJ31" s="19"/>
      <c r="BK31" s="19"/>
    </row>
    <row r="32" spans="1:63" s="8" customFormat="1" ht="15" customHeight="1" x14ac:dyDescent="0.35">
      <c r="A32" s="3" t="s">
        <v>39</v>
      </c>
      <c r="B32" s="24">
        <f ca="1">INDIRECT("'("&amp;$A$4&amp;")'!b32")</f>
        <v>51</v>
      </c>
      <c r="C32" s="24">
        <f ca="1">INDIRECT("'("&amp;$A$4&amp;")'!c32")</f>
        <v>3</v>
      </c>
      <c r="D32" s="24">
        <f ca="1">INDIRECT("'("&amp;$A$4&amp;")'!d32")</f>
        <v>1</v>
      </c>
      <c r="E32" s="24">
        <f ca="1">INDIRECT("'("&amp;$A$4&amp;")'!e32")</f>
        <v>0</v>
      </c>
      <c r="F32" s="24">
        <f ca="1">INDIRECT("'("&amp;$A$4&amp;")'!f32")</f>
        <v>0</v>
      </c>
      <c r="G32" s="24">
        <f ca="1">INDIRECT("'("&amp;$A$4&amp;")'!g32")</f>
        <v>0</v>
      </c>
      <c r="H32" s="46">
        <f t="shared" ca="1" si="19"/>
        <v>7.2727272727272724E-2</v>
      </c>
      <c r="I32" s="46">
        <f t="shared" ca="1" si="20"/>
        <v>0</v>
      </c>
      <c r="J32" s="24"/>
      <c r="K32" s="24">
        <f ca="1">INDIRECT("'("&amp;$A$4&amp;")'!k32")</f>
        <v>63</v>
      </c>
      <c r="L32" s="24">
        <f ca="1">INDIRECT("'("&amp;$A$4&amp;")'!l32")</f>
        <v>0</v>
      </c>
      <c r="M32" s="24">
        <f ca="1">INDIRECT("'("&amp;$A$4&amp;")'!m32")</f>
        <v>1</v>
      </c>
      <c r="N32" s="24">
        <f ca="1">INDIRECT("'("&amp;$A$4&amp;")'!n32")</f>
        <v>0</v>
      </c>
      <c r="O32" s="24">
        <f ca="1">INDIRECT("'("&amp;$A$4&amp;")'!o32")</f>
        <v>1</v>
      </c>
      <c r="P32" s="24">
        <f ca="1">INDIRECT("'("&amp;$A$4&amp;")'!p32")</f>
        <v>7</v>
      </c>
      <c r="Q32" s="46">
        <f t="shared" ca="1" si="26"/>
        <v>3.0769230769230771E-2</v>
      </c>
      <c r="R32" s="46">
        <f t="shared" ca="1" si="27"/>
        <v>9.7222222222222224E-2</v>
      </c>
      <c r="S32" s="24"/>
      <c r="T32" s="22">
        <f t="shared" ca="1" si="28"/>
        <v>114</v>
      </c>
      <c r="U32" s="22">
        <f t="shared" ca="1" si="29"/>
        <v>3</v>
      </c>
      <c r="V32" s="22">
        <f t="shared" ca="1" si="30"/>
        <v>2</v>
      </c>
      <c r="W32" s="22">
        <f t="shared" ca="1" si="31"/>
        <v>0</v>
      </c>
      <c r="X32" s="22">
        <f t="shared" ca="1" si="32"/>
        <v>1</v>
      </c>
      <c r="Y32" s="22">
        <f t="shared" ca="1" si="33"/>
        <v>7</v>
      </c>
      <c r="Z32" s="46">
        <f t="shared" ca="1" si="34"/>
        <v>0.05</v>
      </c>
      <c r="AA32" s="46">
        <f t="shared" ca="1" si="35"/>
        <v>5.5118110236220472E-2</v>
      </c>
      <c r="AB32" s="24"/>
      <c r="AC32" s="24">
        <f ca="1">INDIRECT("'("&amp;$A$4&amp;")'!ac32")</f>
        <v>0</v>
      </c>
      <c r="AD32" s="24">
        <f ca="1">INDIRECT("'("&amp;$A$4&amp;")'!ad32")</f>
        <v>0</v>
      </c>
      <c r="AE32" s="24">
        <f ca="1">INDIRECT("'("&amp;$A$4&amp;")'!ae32")</f>
        <v>0</v>
      </c>
      <c r="AF32" s="24">
        <f ca="1">INDIRECT("'("&amp;$A$4&amp;")'!af32")</f>
        <v>0</v>
      </c>
      <c r="AG32" s="24">
        <f ca="1">INDIRECT("'("&amp;$A$4&amp;")'!ag32")</f>
        <v>0</v>
      </c>
      <c r="AH32" s="24">
        <f ca="1">INDIRECT("'("&amp;$A$4&amp;")'!ah32")</f>
        <v>0</v>
      </c>
      <c r="AI32" s="46" t="str">
        <f t="shared" ca="1" si="41"/>
        <v>-</v>
      </c>
      <c r="AJ32" s="46" t="str">
        <f t="shared" ca="1" si="42"/>
        <v>-</v>
      </c>
      <c r="AK32" s="24"/>
      <c r="AL32" s="24">
        <f ca="1">INDIRECT("'("&amp;$A$4&amp;")'!al32")</f>
        <v>20</v>
      </c>
      <c r="AM32" s="24">
        <f ca="1">INDIRECT("'("&amp;$A$4&amp;")'!am32")</f>
        <v>0</v>
      </c>
      <c r="AN32" s="24">
        <f ca="1">INDIRECT("'("&amp;$A$4&amp;")'!an32")</f>
        <v>2</v>
      </c>
      <c r="AO32" s="24">
        <f ca="1">INDIRECT("'("&amp;$A$4&amp;")'!ao32")</f>
        <v>0</v>
      </c>
      <c r="AP32" s="24">
        <f ca="1">INDIRECT("'("&amp;$A$4&amp;")'!ap32")</f>
        <v>0</v>
      </c>
      <c r="AQ32" s="24">
        <f ca="1">INDIRECT("'("&amp;$A$4&amp;")'!aq32")</f>
        <v>0</v>
      </c>
      <c r="AR32" s="46">
        <f t="shared" ca="1" si="48"/>
        <v>9.0909090909090912E-2</v>
      </c>
      <c r="AS32" s="46">
        <f t="shared" ca="1" si="49"/>
        <v>0</v>
      </c>
      <c r="AT32" s="24"/>
      <c r="AU32" s="22">
        <f t="shared" ca="1" si="50"/>
        <v>134</v>
      </c>
      <c r="AV32" s="22">
        <f t="shared" ca="1" si="51"/>
        <v>3</v>
      </c>
      <c r="AW32" s="22">
        <f t="shared" ca="1" si="52"/>
        <v>4</v>
      </c>
      <c r="AX32" s="22">
        <f t="shared" ca="1" si="53"/>
        <v>0</v>
      </c>
      <c r="AY32" s="22">
        <f t="shared" ca="1" si="54"/>
        <v>1</v>
      </c>
      <c r="AZ32" s="22">
        <f t="shared" ca="1" si="55"/>
        <v>7</v>
      </c>
      <c r="BA32" s="46">
        <f t="shared" ca="1" si="56"/>
        <v>5.6338028169014086E-2</v>
      </c>
      <c r="BB32" s="46">
        <f t="shared" ca="1" si="57"/>
        <v>4.6979865771812082E-2</v>
      </c>
      <c r="BC32" s="19"/>
      <c r="BD32" s="19"/>
      <c r="BE32" s="19"/>
      <c r="BF32" s="19"/>
      <c r="BG32" s="19"/>
      <c r="BH32" s="19"/>
      <c r="BI32" s="19"/>
      <c r="BJ32" s="19"/>
      <c r="BK32" s="19"/>
    </row>
    <row r="33" spans="1:63" s="8" customFormat="1" ht="15" customHeight="1" x14ac:dyDescent="0.35">
      <c r="A33" s="2" t="s">
        <v>40</v>
      </c>
      <c r="B33" s="24">
        <f ca="1">INDIRECT("'("&amp;$A$4&amp;")'!b33")</f>
        <v>6</v>
      </c>
      <c r="C33" s="24">
        <f ca="1">INDIRECT("'("&amp;$A$4&amp;")'!c33")</f>
        <v>0</v>
      </c>
      <c r="D33" s="24">
        <f ca="1">INDIRECT("'("&amp;$A$4&amp;")'!d33")</f>
        <v>0</v>
      </c>
      <c r="E33" s="24">
        <f ca="1">INDIRECT("'("&amp;$A$4&amp;")'!e33")</f>
        <v>0</v>
      </c>
      <c r="F33" s="24">
        <f ca="1">INDIRECT("'("&amp;$A$4&amp;")'!f33")</f>
        <v>0</v>
      </c>
      <c r="G33" s="24">
        <f ca="1">INDIRECT("'("&amp;$A$4&amp;")'!g33")</f>
        <v>2</v>
      </c>
      <c r="H33" s="46">
        <f t="shared" ca="1" si="19"/>
        <v>0</v>
      </c>
      <c r="I33" s="46">
        <f t="shared" ca="1" si="20"/>
        <v>0.25</v>
      </c>
      <c r="J33" s="24"/>
      <c r="K33" s="24">
        <f ca="1">INDIRECT("'("&amp;$A$4&amp;")'!k33")</f>
        <v>20</v>
      </c>
      <c r="L33" s="24">
        <f ca="1">INDIRECT("'("&amp;$A$4&amp;")'!l33")</f>
        <v>1</v>
      </c>
      <c r="M33" s="24">
        <f ca="1">INDIRECT("'("&amp;$A$4&amp;")'!m33")</f>
        <v>0</v>
      </c>
      <c r="N33" s="24">
        <f ca="1">INDIRECT("'("&amp;$A$4&amp;")'!n33")</f>
        <v>0</v>
      </c>
      <c r="O33" s="24">
        <f ca="1">INDIRECT("'("&amp;$A$4&amp;")'!o33")</f>
        <v>0</v>
      </c>
      <c r="P33" s="24">
        <f ca="1">INDIRECT("'("&amp;$A$4&amp;")'!p33")</f>
        <v>12</v>
      </c>
      <c r="Q33" s="46">
        <f t="shared" ca="1" si="26"/>
        <v>4.7619047619047616E-2</v>
      </c>
      <c r="R33" s="46">
        <f t="shared" ca="1" si="27"/>
        <v>0.36363636363636365</v>
      </c>
      <c r="S33" s="24"/>
      <c r="T33" s="22">
        <f t="shared" ca="1" si="28"/>
        <v>26</v>
      </c>
      <c r="U33" s="22">
        <f t="shared" ca="1" si="29"/>
        <v>1</v>
      </c>
      <c r="V33" s="22">
        <f t="shared" ca="1" si="30"/>
        <v>0</v>
      </c>
      <c r="W33" s="22">
        <f t="shared" ca="1" si="31"/>
        <v>0</v>
      </c>
      <c r="X33" s="22">
        <f t="shared" ca="1" si="32"/>
        <v>0</v>
      </c>
      <c r="Y33" s="22">
        <f t="shared" ca="1" si="33"/>
        <v>14</v>
      </c>
      <c r="Z33" s="46">
        <f t="shared" ca="1" si="34"/>
        <v>3.7037037037037035E-2</v>
      </c>
      <c r="AA33" s="46">
        <f t="shared" ca="1" si="35"/>
        <v>0.34146341463414637</v>
      </c>
      <c r="AB33" s="24"/>
      <c r="AC33" s="24">
        <f ca="1">INDIRECT("'("&amp;$A$4&amp;")'!ac33")</f>
        <v>0</v>
      </c>
      <c r="AD33" s="24">
        <f ca="1">INDIRECT("'("&amp;$A$4&amp;")'!ad33")</f>
        <v>0</v>
      </c>
      <c r="AE33" s="24">
        <f ca="1">INDIRECT("'("&amp;$A$4&amp;")'!ae33")</f>
        <v>0</v>
      </c>
      <c r="AF33" s="24">
        <f ca="1">INDIRECT("'("&amp;$A$4&amp;")'!af33")</f>
        <v>0</v>
      </c>
      <c r="AG33" s="24">
        <f ca="1">INDIRECT("'("&amp;$A$4&amp;")'!ag33")</f>
        <v>0</v>
      </c>
      <c r="AH33" s="24">
        <f ca="1">INDIRECT("'("&amp;$A$4&amp;")'!ah33")</f>
        <v>0</v>
      </c>
      <c r="AI33" s="46" t="str">
        <f t="shared" ca="1" si="41"/>
        <v>-</v>
      </c>
      <c r="AJ33" s="46" t="str">
        <f t="shared" ca="1" si="42"/>
        <v>-</v>
      </c>
      <c r="AK33" s="24"/>
      <c r="AL33" s="24">
        <f ca="1">INDIRECT("'("&amp;$A$4&amp;")'!al33")</f>
        <v>9</v>
      </c>
      <c r="AM33" s="24">
        <f ca="1">INDIRECT("'("&amp;$A$4&amp;")'!am33")</f>
        <v>0</v>
      </c>
      <c r="AN33" s="24">
        <f ca="1">INDIRECT("'("&amp;$A$4&amp;")'!an33")</f>
        <v>0</v>
      </c>
      <c r="AO33" s="24">
        <f ca="1">INDIRECT("'("&amp;$A$4&amp;")'!ao33")</f>
        <v>0</v>
      </c>
      <c r="AP33" s="24">
        <f ca="1">INDIRECT("'("&amp;$A$4&amp;")'!ap33")</f>
        <v>0</v>
      </c>
      <c r="AQ33" s="24">
        <f ca="1">INDIRECT("'("&amp;$A$4&amp;")'!aq33")</f>
        <v>0</v>
      </c>
      <c r="AR33" s="46">
        <f t="shared" ca="1" si="48"/>
        <v>0</v>
      </c>
      <c r="AS33" s="46">
        <f t="shared" ca="1" si="49"/>
        <v>0</v>
      </c>
      <c r="AT33" s="24"/>
      <c r="AU33" s="22">
        <f t="shared" ca="1" si="50"/>
        <v>35</v>
      </c>
      <c r="AV33" s="22">
        <f t="shared" ca="1" si="51"/>
        <v>1</v>
      </c>
      <c r="AW33" s="22">
        <f t="shared" ca="1" si="52"/>
        <v>0</v>
      </c>
      <c r="AX33" s="22">
        <f t="shared" ca="1" si="53"/>
        <v>0</v>
      </c>
      <c r="AY33" s="22">
        <f t="shared" ca="1" si="54"/>
        <v>0</v>
      </c>
      <c r="AZ33" s="22">
        <f t="shared" ca="1" si="55"/>
        <v>14</v>
      </c>
      <c r="BA33" s="46">
        <f t="shared" ca="1" si="56"/>
        <v>2.7777777777777776E-2</v>
      </c>
      <c r="BB33" s="46">
        <f t="shared" ca="1" si="57"/>
        <v>0.28000000000000003</v>
      </c>
      <c r="BC33" s="19"/>
      <c r="BD33" s="19"/>
      <c r="BE33" s="19"/>
      <c r="BF33" s="19"/>
      <c r="BG33" s="19"/>
      <c r="BH33" s="19"/>
      <c r="BI33" s="19"/>
      <c r="BJ33" s="19"/>
      <c r="BK33" s="19"/>
    </row>
    <row r="34" spans="1:63" s="8" customFormat="1" ht="15" customHeight="1" x14ac:dyDescent="0.35">
      <c r="A34" s="3" t="s">
        <v>41</v>
      </c>
      <c r="B34" s="24">
        <f ca="1">INDIRECT("'("&amp;$A$4&amp;")'!b34")</f>
        <v>12</v>
      </c>
      <c r="C34" s="24">
        <f ca="1">INDIRECT("'("&amp;$A$4&amp;")'!c34")</f>
        <v>1</v>
      </c>
      <c r="D34" s="24">
        <f ca="1">INDIRECT("'("&amp;$A$4&amp;")'!d34")</f>
        <v>0</v>
      </c>
      <c r="E34" s="24">
        <f ca="1">INDIRECT("'("&amp;$A$4&amp;")'!e34")</f>
        <v>0</v>
      </c>
      <c r="F34" s="24">
        <f ca="1">INDIRECT("'("&amp;$A$4&amp;")'!f34")</f>
        <v>0</v>
      </c>
      <c r="G34" s="24">
        <f ca="1">INDIRECT("'("&amp;$A$4&amp;")'!g34")</f>
        <v>0</v>
      </c>
      <c r="H34" s="46">
        <f t="shared" ca="1" si="19"/>
        <v>7.6923076923076927E-2</v>
      </c>
      <c r="I34" s="46">
        <f t="shared" ca="1" si="20"/>
        <v>0</v>
      </c>
      <c r="J34" s="24"/>
      <c r="K34" s="24">
        <f ca="1">INDIRECT("'("&amp;$A$4&amp;")'!k34")</f>
        <v>52</v>
      </c>
      <c r="L34" s="24">
        <f ca="1">INDIRECT("'("&amp;$A$4&amp;")'!l34")</f>
        <v>0</v>
      </c>
      <c r="M34" s="24">
        <f ca="1">INDIRECT("'("&amp;$A$4&amp;")'!m34")</f>
        <v>0</v>
      </c>
      <c r="N34" s="24">
        <f ca="1">INDIRECT("'("&amp;$A$4&amp;")'!n34")</f>
        <v>0</v>
      </c>
      <c r="O34" s="24">
        <f ca="1">INDIRECT("'("&amp;$A$4&amp;")'!o34")</f>
        <v>0</v>
      </c>
      <c r="P34" s="24">
        <f ca="1">INDIRECT("'("&amp;$A$4&amp;")'!p34")</f>
        <v>1</v>
      </c>
      <c r="Q34" s="46">
        <f t="shared" ca="1" si="26"/>
        <v>0</v>
      </c>
      <c r="R34" s="46">
        <f t="shared" ca="1" si="27"/>
        <v>1.8867924528301886E-2</v>
      </c>
      <c r="S34" s="24"/>
      <c r="T34" s="22">
        <f t="shared" ca="1" si="28"/>
        <v>64</v>
      </c>
      <c r="U34" s="22">
        <f t="shared" ca="1" si="29"/>
        <v>1</v>
      </c>
      <c r="V34" s="22">
        <f t="shared" ca="1" si="30"/>
        <v>0</v>
      </c>
      <c r="W34" s="22">
        <f t="shared" ca="1" si="31"/>
        <v>0</v>
      </c>
      <c r="X34" s="22">
        <f t="shared" ca="1" si="32"/>
        <v>0</v>
      </c>
      <c r="Y34" s="22">
        <f t="shared" ca="1" si="33"/>
        <v>1</v>
      </c>
      <c r="Z34" s="46">
        <f t="shared" ca="1" si="34"/>
        <v>1.5384615384615385E-2</v>
      </c>
      <c r="AA34" s="46">
        <f t="shared" ca="1" si="35"/>
        <v>1.5151515151515152E-2</v>
      </c>
      <c r="AB34" s="24"/>
      <c r="AC34" s="24">
        <f ca="1">INDIRECT("'("&amp;$A$4&amp;")'!ac34")</f>
        <v>4</v>
      </c>
      <c r="AD34" s="24">
        <f ca="1">INDIRECT("'("&amp;$A$4&amp;")'!ad34")</f>
        <v>0</v>
      </c>
      <c r="AE34" s="24">
        <f ca="1">INDIRECT("'("&amp;$A$4&amp;")'!ae34")</f>
        <v>0</v>
      </c>
      <c r="AF34" s="24">
        <f ca="1">INDIRECT("'("&amp;$A$4&amp;")'!af34")</f>
        <v>0</v>
      </c>
      <c r="AG34" s="24">
        <f ca="1">INDIRECT("'("&amp;$A$4&amp;")'!ag34")</f>
        <v>0</v>
      </c>
      <c r="AH34" s="24">
        <f ca="1">INDIRECT("'("&amp;$A$4&amp;")'!ah34")</f>
        <v>0</v>
      </c>
      <c r="AI34" s="46">
        <f t="shared" ca="1" si="41"/>
        <v>0</v>
      </c>
      <c r="AJ34" s="46">
        <f t="shared" ca="1" si="42"/>
        <v>0</v>
      </c>
      <c r="AK34" s="24"/>
      <c r="AL34" s="24">
        <f ca="1">INDIRECT("'("&amp;$A$4&amp;")'!al34")</f>
        <v>8</v>
      </c>
      <c r="AM34" s="24">
        <f ca="1">INDIRECT("'("&amp;$A$4&amp;")'!am34")</f>
        <v>0</v>
      </c>
      <c r="AN34" s="24">
        <f ca="1">INDIRECT("'("&amp;$A$4&amp;")'!an34")</f>
        <v>0</v>
      </c>
      <c r="AO34" s="24">
        <f ca="1">INDIRECT("'("&amp;$A$4&amp;")'!ao34")</f>
        <v>1</v>
      </c>
      <c r="AP34" s="24">
        <f ca="1">INDIRECT("'("&amp;$A$4&amp;")'!ap34")</f>
        <v>0</v>
      </c>
      <c r="AQ34" s="24">
        <f ca="1">INDIRECT("'("&amp;$A$4&amp;")'!aq34")</f>
        <v>1</v>
      </c>
      <c r="AR34" s="46">
        <f t="shared" ca="1" si="48"/>
        <v>0.1111111111111111</v>
      </c>
      <c r="AS34" s="46">
        <f t="shared" ca="1" si="49"/>
        <v>0.1</v>
      </c>
      <c r="AT34" s="24"/>
      <c r="AU34" s="22">
        <f t="shared" ca="1" si="50"/>
        <v>76</v>
      </c>
      <c r="AV34" s="22">
        <f t="shared" ca="1" si="51"/>
        <v>1</v>
      </c>
      <c r="AW34" s="22">
        <f t="shared" ca="1" si="52"/>
        <v>0</v>
      </c>
      <c r="AX34" s="22">
        <f t="shared" ca="1" si="53"/>
        <v>1</v>
      </c>
      <c r="AY34" s="22">
        <f t="shared" ca="1" si="54"/>
        <v>0</v>
      </c>
      <c r="AZ34" s="22">
        <f t="shared" ca="1" si="55"/>
        <v>2</v>
      </c>
      <c r="BA34" s="46">
        <f t="shared" ca="1" si="56"/>
        <v>2.564102564102564E-2</v>
      </c>
      <c r="BB34" s="46">
        <f t="shared" ca="1" si="57"/>
        <v>2.5000000000000001E-2</v>
      </c>
      <c r="BC34" s="19"/>
      <c r="BD34" s="19"/>
      <c r="BE34" s="19"/>
      <c r="BF34" s="19"/>
      <c r="BG34" s="19"/>
      <c r="BH34" s="19"/>
      <c r="BI34" s="19"/>
      <c r="BJ34" s="19"/>
      <c r="BK34" s="19"/>
    </row>
    <row r="35" spans="1:63" s="8" customFormat="1" ht="15" customHeight="1" x14ac:dyDescent="0.35">
      <c r="A35" s="3" t="s">
        <v>42</v>
      </c>
      <c r="B35" s="24">
        <f ca="1">INDIRECT("'("&amp;$A$4&amp;")'!b35")</f>
        <v>25</v>
      </c>
      <c r="C35" s="24">
        <f ca="1">INDIRECT("'("&amp;$A$4&amp;")'!c35")</f>
        <v>1</v>
      </c>
      <c r="D35" s="24">
        <f ca="1">INDIRECT("'("&amp;$A$4&amp;")'!d35")</f>
        <v>0</v>
      </c>
      <c r="E35" s="24">
        <f ca="1">INDIRECT("'("&amp;$A$4&amp;")'!e35")</f>
        <v>0</v>
      </c>
      <c r="F35" s="24">
        <f ca="1">INDIRECT("'("&amp;$A$4&amp;")'!f35")</f>
        <v>0</v>
      </c>
      <c r="G35" s="24">
        <f ca="1">INDIRECT("'("&amp;$A$4&amp;")'!g35")</f>
        <v>4</v>
      </c>
      <c r="H35" s="46">
        <f t="shared" ca="1" si="19"/>
        <v>3.8461538461538464E-2</v>
      </c>
      <c r="I35" s="46">
        <f t="shared" ca="1" si="20"/>
        <v>0.13333333333333333</v>
      </c>
      <c r="J35" s="24"/>
      <c r="K35" s="24">
        <f ca="1">INDIRECT("'("&amp;$A$4&amp;")'!k35")</f>
        <v>32</v>
      </c>
      <c r="L35" s="24">
        <f ca="1">INDIRECT("'("&amp;$A$4&amp;")'!l35")</f>
        <v>0</v>
      </c>
      <c r="M35" s="24">
        <f ca="1">INDIRECT("'("&amp;$A$4&amp;")'!m35")</f>
        <v>0</v>
      </c>
      <c r="N35" s="24">
        <f ca="1">INDIRECT("'("&amp;$A$4&amp;")'!n35")</f>
        <v>0</v>
      </c>
      <c r="O35" s="24">
        <f ca="1">INDIRECT("'("&amp;$A$4&amp;")'!o35")</f>
        <v>0</v>
      </c>
      <c r="P35" s="24">
        <f ca="1">INDIRECT("'("&amp;$A$4&amp;")'!p35")</f>
        <v>6</v>
      </c>
      <c r="Q35" s="46">
        <f t="shared" ca="1" si="26"/>
        <v>0</v>
      </c>
      <c r="R35" s="46">
        <f t="shared" ca="1" si="27"/>
        <v>0.15789473684210525</v>
      </c>
      <c r="S35" s="24"/>
      <c r="T35" s="22">
        <f t="shared" ca="1" si="28"/>
        <v>57</v>
      </c>
      <c r="U35" s="22">
        <f t="shared" ca="1" si="29"/>
        <v>1</v>
      </c>
      <c r="V35" s="22">
        <f t="shared" ca="1" si="30"/>
        <v>0</v>
      </c>
      <c r="W35" s="22">
        <f t="shared" ca="1" si="31"/>
        <v>0</v>
      </c>
      <c r="X35" s="22">
        <f t="shared" ca="1" si="32"/>
        <v>0</v>
      </c>
      <c r="Y35" s="22">
        <f t="shared" ca="1" si="33"/>
        <v>10</v>
      </c>
      <c r="Z35" s="46">
        <f t="shared" ca="1" si="34"/>
        <v>1.7241379310344827E-2</v>
      </c>
      <c r="AA35" s="46">
        <f t="shared" ca="1" si="35"/>
        <v>0.14705882352941177</v>
      </c>
      <c r="AB35" s="24"/>
      <c r="AC35" s="24">
        <f ca="1">INDIRECT("'("&amp;$A$4&amp;")'!ac35")</f>
        <v>2</v>
      </c>
      <c r="AD35" s="24">
        <f ca="1">INDIRECT("'("&amp;$A$4&amp;")'!ad35")</f>
        <v>0</v>
      </c>
      <c r="AE35" s="24">
        <f ca="1">INDIRECT("'("&amp;$A$4&amp;")'!ae35")</f>
        <v>0</v>
      </c>
      <c r="AF35" s="24">
        <f ca="1">INDIRECT("'("&amp;$A$4&amp;")'!af35")</f>
        <v>0</v>
      </c>
      <c r="AG35" s="24">
        <f ca="1">INDIRECT("'("&amp;$A$4&amp;")'!ag35")</f>
        <v>0</v>
      </c>
      <c r="AH35" s="24">
        <f ca="1">INDIRECT("'("&amp;$A$4&amp;")'!ah35")</f>
        <v>0</v>
      </c>
      <c r="AI35" s="46">
        <f t="shared" ca="1" si="41"/>
        <v>0</v>
      </c>
      <c r="AJ35" s="46">
        <f t="shared" ca="1" si="42"/>
        <v>0</v>
      </c>
      <c r="AK35" s="24"/>
      <c r="AL35" s="24">
        <f ca="1">INDIRECT("'("&amp;$A$4&amp;")'!al35")</f>
        <v>6</v>
      </c>
      <c r="AM35" s="24">
        <f ca="1">INDIRECT("'("&amp;$A$4&amp;")'!am35")</f>
        <v>0</v>
      </c>
      <c r="AN35" s="24">
        <f ca="1">INDIRECT("'("&amp;$A$4&amp;")'!an35")</f>
        <v>0</v>
      </c>
      <c r="AO35" s="24">
        <f ca="1">INDIRECT("'("&amp;$A$4&amp;")'!ao35")</f>
        <v>0</v>
      </c>
      <c r="AP35" s="24">
        <f ca="1">INDIRECT("'("&amp;$A$4&amp;")'!ap35")</f>
        <v>0</v>
      </c>
      <c r="AQ35" s="24">
        <f ca="1">INDIRECT("'("&amp;$A$4&amp;")'!aq35")</f>
        <v>4</v>
      </c>
      <c r="AR35" s="46">
        <f t="shared" ca="1" si="48"/>
        <v>0</v>
      </c>
      <c r="AS35" s="46">
        <f t="shared" ca="1" si="49"/>
        <v>0.4</v>
      </c>
      <c r="AT35" s="24"/>
      <c r="AU35" s="22">
        <f t="shared" ca="1" si="50"/>
        <v>65</v>
      </c>
      <c r="AV35" s="22">
        <f t="shared" ca="1" si="51"/>
        <v>1</v>
      </c>
      <c r="AW35" s="22">
        <f t="shared" ca="1" si="52"/>
        <v>0</v>
      </c>
      <c r="AX35" s="22">
        <f t="shared" ca="1" si="53"/>
        <v>0</v>
      </c>
      <c r="AY35" s="22">
        <f t="shared" ca="1" si="54"/>
        <v>0</v>
      </c>
      <c r="AZ35" s="22">
        <f t="shared" ca="1" si="55"/>
        <v>14</v>
      </c>
      <c r="BA35" s="46">
        <f t="shared" ca="1" si="56"/>
        <v>1.5151515151515152E-2</v>
      </c>
      <c r="BB35" s="46">
        <f t="shared" ca="1" si="57"/>
        <v>0.17499999999999999</v>
      </c>
      <c r="BC35" s="19"/>
      <c r="BD35" s="19"/>
      <c r="BE35" s="19"/>
      <c r="BF35" s="19"/>
      <c r="BG35" s="19"/>
      <c r="BH35" s="19"/>
      <c r="BI35" s="19"/>
      <c r="BJ35" s="19"/>
      <c r="BK35" s="19"/>
    </row>
    <row r="36" spans="1:63" s="8" customFormat="1" ht="15" customHeight="1" x14ac:dyDescent="0.35">
      <c r="A36" s="2" t="s">
        <v>43</v>
      </c>
      <c r="B36" s="24">
        <f ca="1">INDIRECT("'("&amp;$A$4&amp;")'!b36")</f>
        <v>0</v>
      </c>
      <c r="C36" s="24">
        <f ca="1">INDIRECT("'("&amp;$A$4&amp;")'!c36")</f>
        <v>0</v>
      </c>
      <c r="D36" s="24">
        <f ca="1">INDIRECT("'("&amp;$A$4&amp;")'!d36")</f>
        <v>0</v>
      </c>
      <c r="E36" s="24">
        <f ca="1">INDIRECT("'("&amp;$A$4&amp;")'!e36")</f>
        <v>0</v>
      </c>
      <c r="F36" s="24">
        <f ca="1">INDIRECT("'("&amp;$A$4&amp;")'!f36")</f>
        <v>0</v>
      </c>
      <c r="G36" s="24">
        <f ca="1">INDIRECT("'("&amp;$A$4&amp;")'!g36")</f>
        <v>0</v>
      </c>
      <c r="H36" s="46" t="str">
        <f t="shared" ca="1" si="19"/>
        <v>-</v>
      </c>
      <c r="I36" s="46" t="str">
        <f t="shared" ca="1" si="20"/>
        <v>-</v>
      </c>
      <c r="J36" s="24"/>
      <c r="K36" s="24">
        <f ca="1">INDIRECT("'("&amp;$A$4&amp;")'!k36")</f>
        <v>0</v>
      </c>
      <c r="L36" s="24">
        <f ca="1">INDIRECT("'("&amp;$A$4&amp;")'!l36")</f>
        <v>0</v>
      </c>
      <c r="M36" s="24">
        <f ca="1">INDIRECT("'("&amp;$A$4&amp;")'!m36")</f>
        <v>0</v>
      </c>
      <c r="N36" s="24">
        <f ca="1">INDIRECT("'("&amp;$A$4&amp;")'!n36")</f>
        <v>0</v>
      </c>
      <c r="O36" s="24">
        <f ca="1">INDIRECT("'("&amp;$A$4&amp;")'!o36")</f>
        <v>0</v>
      </c>
      <c r="P36" s="24">
        <f ca="1">INDIRECT("'("&amp;$A$4&amp;")'!p36")</f>
        <v>0</v>
      </c>
      <c r="Q36" s="46" t="str">
        <f t="shared" ca="1" si="26"/>
        <v>-</v>
      </c>
      <c r="R36" s="46" t="str">
        <f t="shared" ca="1" si="27"/>
        <v>-</v>
      </c>
      <c r="S36" s="24"/>
      <c r="T36" s="22">
        <f t="shared" ca="1" si="28"/>
        <v>0</v>
      </c>
      <c r="U36" s="22">
        <f t="shared" ca="1" si="29"/>
        <v>0</v>
      </c>
      <c r="V36" s="22">
        <f t="shared" ca="1" si="30"/>
        <v>0</v>
      </c>
      <c r="W36" s="22">
        <f t="shared" ca="1" si="31"/>
        <v>0</v>
      </c>
      <c r="X36" s="22">
        <f t="shared" ca="1" si="32"/>
        <v>0</v>
      </c>
      <c r="Y36" s="22">
        <f t="shared" ca="1" si="33"/>
        <v>0</v>
      </c>
      <c r="Z36" s="46" t="str">
        <f t="shared" ca="1" si="34"/>
        <v>-</v>
      </c>
      <c r="AA36" s="46" t="str">
        <f t="shared" ca="1" si="35"/>
        <v>-</v>
      </c>
      <c r="AB36" s="24"/>
      <c r="AC36" s="24">
        <f ca="1">INDIRECT("'("&amp;$A$4&amp;")'!ac36")</f>
        <v>5</v>
      </c>
      <c r="AD36" s="24">
        <f ca="1">INDIRECT("'("&amp;$A$4&amp;")'!ad36")</f>
        <v>0</v>
      </c>
      <c r="AE36" s="24">
        <f ca="1">INDIRECT("'("&amp;$A$4&amp;")'!ae36")</f>
        <v>0</v>
      </c>
      <c r="AF36" s="24">
        <f ca="1">INDIRECT("'("&amp;$A$4&amp;")'!af36")</f>
        <v>0</v>
      </c>
      <c r="AG36" s="24">
        <f ca="1">INDIRECT("'("&amp;$A$4&amp;")'!ag36")</f>
        <v>2</v>
      </c>
      <c r="AH36" s="24">
        <f ca="1">INDIRECT("'("&amp;$A$4&amp;")'!ah36")</f>
        <v>0</v>
      </c>
      <c r="AI36" s="46">
        <f t="shared" ca="1" si="41"/>
        <v>0.2857142857142857</v>
      </c>
      <c r="AJ36" s="46">
        <f t="shared" ca="1" si="42"/>
        <v>0</v>
      </c>
      <c r="AK36" s="24"/>
      <c r="AL36" s="24">
        <f ca="1">INDIRECT("'("&amp;$A$4&amp;")'!al36")</f>
        <v>1</v>
      </c>
      <c r="AM36" s="24">
        <f ca="1">INDIRECT("'("&amp;$A$4&amp;")'!am36")</f>
        <v>0</v>
      </c>
      <c r="AN36" s="24">
        <f ca="1">INDIRECT("'("&amp;$A$4&amp;")'!an36")</f>
        <v>0</v>
      </c>
      <c r="AO36" s="24">
        <f ca="1">INDIRECT("'("&amp;$A$4&amp;")'!ao36")</f>
        <v>0</v>
      </c>
      <c r="AP36" s="24">
        <f ca="1">INDIRECT("'("&amp;$A$4&amp;")'!ap36")</f>
        <v>0</v>
      </c>
      <c r="AQ36" s="24">
        <f ca="1">INDIRECT("'("&amp;$A$4&amp;")'!aq36")</f>
        <v>0</v>
      </c>
      <c r="AR36" s="46">
        <f t="shared" ca="1" si="48"/>
        <v>0</v>
      </c>
      <c r="AS36" s="46">
        <f t="shared" ca="1" si="49"/>
        <v>0</v>
      </c>
      <c r="AT36" s="24"/>
      <c r="AU36" s="22">
        <f t="shared" ca="1" si="50"/>
        <v>6</v>
      </c>
      <c r="AV36" s="22">
        <f t="shared" ca="1" si="51"/>
        <v>0</v>
      </c>
      <c r="AW36" s="22">
        <f t="shared" ca="1" si="52"/>
        <v>0</v>
      </c>
      <c r="AX36" s="22">
        <f t="shared" ca="1" si="53"/>
        <v>0</v>
      </c>
      <c r="AY36" s="22">
        <f t="shared" ca="1" si="54"/>
        <v>2</v>
      </c>
      <c r="AZ36" s="22">
        <f t="shared" ca="1" si="55"/>
        <v>0</v>
      </c>
      <c r="BA36" s="46">
        <f t="shared" ca="1" si="56"/>
        <v>0.25</v>
      </c>
      <c r="BB36" s="46">
        <f t="shared" ca="1" si="57"/>
        <v>0</v>
      </c>
      <c r="BC36" s="19"/>
      <c r="BD36" s="19"/>
      <c r="BE36" s="19"/>
      <c r="BF36" s="19"/>
      <c r="BG36" s="19"/>
      <c r="BH36" s="19"/>
      <c r="BI36" s="19"/>
      <c r="BJ36" s="19"/>
      <c r="BK36" s="19"/>
    </row>
    <row r="37" spans="1:63" s="8" customFormat="1" ht="15" customHeight="1" x14ac:dyDescent="0.35">
      <c r="A37" s="3" t="s">
        <v>44</v>
      </c>
      <c r="B37" s="24">
        <f ca="1">INDIRECT("'("&amp;$A$4&amp;")'!b37")</f>
        <v>25</v>
      </c>
      <c r="C37" s="24">
        <f ca="1">INDIRECT("'("&amp;$A$4&amp;")'!c37")</f>
        <v>0</v>
      </c>
      <c r="D37" s="24">
        <f ca="1">INDIRECT("'("&amp;$A$4&amp;")'!d37")</f>
        <v>0</v>
      </c>
      <c r="E37" s="24">
        <f ca="1">INDIRECT("'("&amp;$A$4&amp;")'!e37")</f>
        <v>0</v>
      </c>
      <c r="F37" s="24">
        <f ca="1">INDIRECT("'("&amp;$A$4&amp;")'!f37")</f>
        <v>0</v>
      </c>
      <c r="G37" s="24">
        <f ca="1">INDIRECT("'("&amp;$A$4&amp;")'!g37")</f>
        <v>5</v>
      </c>
      <c r="H37" s="46">
        <f t="shared" ca="1" si="19"/>
        <v>0</v>
      </c>
      <c r="I37" s="46">
        <f t="shared" ca="1" si="20"/>
        <v>0.16666666666666666</v>
      </c>
      <c r="J37" s="24"/>
      <c r="K37" s="24">
        <f ca="1">INDIRECT("'("&amp;$A$4&amp;")'!k37")</f>
        <v>41</v>
      </c>
      <c r="L37" s="24">
        <f ca="1">INDIRECT("'("&amp;$A$4&amp;")'!l37")</f>
        <v>0</v>
      </c>
      <c r="M37" s="24">
        <f ca="1">INDIRECT("'("&amp;$A$4&amp;")'!m37")</f>
        <v>0</v>
      </c>
      <c r="N37" s="24">
        <f ca="1">INDIRECT("'("&amp;$A$4&amp;")'!n37")</f>
        <v>0</v>
      </c>
      <c r="O37" s="24">
        <f ca="1">INDIRECT("'("&amp;$A$4&amp;")'!o37")</f>
        <v>0</v>
      </c>
      <c r="P37" s="24">
        <f ca="1">INDIRECT("'("&amp;$A$4&amp;")'!p37")</f>
        <v>0</v>
      </c>
      <c r="Q37" s="46">
        <f t="shared" ca="1" si="26"/>
        <v>0</v>
      </c>
      <c r="R37" s="46">
        <f t="shared" ca="1" si="27"/>
        <v>0</v>
      </c>
      <c r="S37" s="24"/>
      <c r="T37" s="22">
        <f t="shared" ca="1" si="28"/>
        <v>66</v>
      </c>
      <c r="U37" s="22">
        <f t="shared" ca="1" si="29"/>
        <v>0</v>
      </c>
      <c r="V37" s="22">
        <f t="shared" ca="1" si="30"/>
        <v>0</v>
      </c>
      <c r="W37" s="22">
        <f t="shared" ca="1" si="31"/>
        <v>0</v>
      </c>
      <c r="X37" s="22">
        <f t="shared" ca="1" si="32"/>
        <v>0</v>
      </c>
      <c r="Y37" s="22">
        <f t="shared" ca="1" si="33"/>
        <v>5</v>
      </c>
      <c r="Z37" s="46">
        <f t="shared" ca="1" si="34"/>
        <v>0</v>
      </c>
      <c r="AA37" s="46">
        <f t="shared" ca="1" si="35"/>
        <v>7.0422535211267609E-2</v>
      </c>
      <c r="AB37" s="24"/>
      <c r="AC37" s="24">
        <f ca="1">INDIRECT("'("&amp;$A$4&amp;")'!ac37")</f>
        <v>4</v>
      </c>
      <c r="AD37" s="24">
        <f ca="1">INDIRECT("'("&amp;$A$4&amp;")'!ad37")</f>
        <v>0</v>
      </c>
      <c r="AE37" s="24">
        <f ca="1">INDIRECT("'("&amp;$A$4&amp;")'!ae37")</f>
        <v>0</v>
      </c>
      <c r="AF37" s="24">
        <f ca="1">INDIRECT("'("&amp;$A$4&amp;")'!af37")</f>
        <v>0</v>
      </c>
      <c r="AG37" s="24">
        <f ca="1">INDIRECT("'("&amp;$A$4&amp;")'!ag37")</f>
        <v>0</v>
      </c>
      <c r="AH37" s="24">
        <f ca="1">INDIRECT("'("&amp;$A$4&amp;")'!ah37")</f>
        <v>0</v>
      </c>
      <c r="AI37" s="46">
        <f t="shared" ca="1" si="41"/>
        <v>0</v>
      </c>
      <c r="AJ37" s="46">
        <f t="shared" ca="1" si="42"/>
        <v>0</v>
      </c>
      <c r="AK37" s="24"/>
      <c r="AL37" s="24">
        <f ca="1">INDIRECT("'("&amp;$A$4&amp;")'!al37")</f>
        <v>18</v>
      </c>
      <c r="AM37" s="24">
        <f ca="1">INDIRECT("'("&amp;$A$4&amp;")'!am37")</f>
        <v>0</v>
      </c>
      <c r="AN37" s="24">
        <f ca="1">INDIRECT("'("&amp;$A$4&amp;")'!an37")</f>
        <v>0</v>
      </c>
      <c r="AO37" s="24">
        <f ca="1">INDIRECT("'("&amp;$A$4&amp;")'!ao37")</f>
        <v>0</v>
      </c>
      <c r="AP37" s="24">
        <f ca="1">INDIRECT("'("&amp;$A$4&amp;")'!ap37")</f>
        <v>0</v>
      </c>
      <c r="AQ37" s="24">
        <f ca="1">INDIRECT("'("&amp;$A$4&amp;")'!aq37")</f>
        <v>0</v>
      </c>
      <c r="AR37" s="46">
        <f t="shared" ca="1" si="48"/>
        <v>0</v>
      </c>
      <c r="AS37" s="46">
        <f t="shared" ca="1" si="49"/>
        <v>0</v>
      </c>
      <c r="AT37" s="24"/>
      <c r="AU37" s="22">
        <f t="shared" ca="1" si="50"/>
        <v>88</v>
      </c>
      <c r="AV37" s="22">
        <f t="shared" ca="1" si="51"/>
        <v>0</v>
      </c>
      <c r="AW37" s="22">
        <f t="shared" ca="1" si="52"/>
        <v>0</v>
      </c>
      <c r="AX37" s="22">
        <f t="shared" ca="1" si="53"/>
        <v>0</v>
      </c>
      <c r="AY37" s="22">
        <f t="shared" ca="1" si="54"/>
        <v>0</v>
      </c>
      <c r="AZ37" s="22">
        <f t="shared" ca="1" si="55"/>
        <v>5</v>
      </c>
      <c r="BA37" s="46">
        <f t="shared" ca="1" si="56"/>
        <v>0</v>
      </c>
      <c r="BB37" s="46">
        <f t="shared" ca="1" si="57"/>
        <v>5.3763440860215055E-2</v>
      </c>
      <c r="BC37" s="19"/>
      <c r="BD37" s="19"/>
      <c r="BE37" s="19"/>
      <c r="BF37" s="19"/>
      <c r="BG37" s="19"/>
      <c r="BH37" s="19"/>
      <c r="BI37" s="19"/>
      <c r="BJ37" s="19"/>
      <c r="BK37" s="19"/>
    </row>
    <row r="38" spans="1:63" s="8" customFormat="1" ht="15" customHeight="1" x14ac:dyDescent="0.35">
      <c r="A38" s="3" t="s">
        <v>45</v>
      </c>
      <c r="B38" s="24">
        <f ca="1">INDIRECT("'("&amp;$A$4&amp;")'!b38")</f>
        <v>1</v>
      </c>
      <c r="C38" s="24">
        <f ca="1">INDIRECT("'("&amp;$A$4&amp;")'!c38")</f>
        <v>0</v>
      </c>
      <c r="D38" s="24">
        <f ca="1">INDIRECT("'("&amp;$A$4&amp;")'!d38")</f>
        <v>0</v>
      </c>
      <c r="E38" s="24">
        <f ca="1">INDIRECT("'("&amp;$A$4&amp;")'!e38")</f>
        <v>0</v>
      </c>
      <c r="F38" s="24">
        <f ca="1">INDIRECT("'("&amp;$A$4&amp;")'!f38")</f>
        <v>0</v>
      </c>
      <c r="G38" s="24">
        <f ca="1">INDIRECT("'("&amp;$A$4&amp;")'!g38")</f>
        <v>8</v>
      </c>
      <c r="H38" s="46">
        <f t="shared" ca="1" si="19"/>
        <v>0</v>
      </c>
      <c r="I38" s="46">
        <f t="shared" ca="1" si="20"/>
        <v>0.88888888888888884</v>
      </c>
      <c r="J38" s="24"/>
      <c r="K38" s="24">
        <f ca="1">INDIRECT("'("&amp;$A$4&amp;")'!k38")</f>
        <v>0</v>
      </c>
      <c r="L38" s="24">
        <f ca="1">INDIRECT("'("&amp;$A$4&amp;")'!l38")</f>
        <v>0</v>
      </c>
      <c r="M38" s="24">
        <f ca="1">INDIRECT("'("&amp;$A$4&amp;")'!m38")</f>
        <v>0</v>
      </c>
      <c r="N38" s="24">
        <f ca="1">INDIRECT("'("&amp;$A$4&amp;")'!n38")</f>
        <v>0</v>
      </c>
      <c r="O38" s="24">
        <f ca="1">INDIRECT("'("&amp;$A$4&amp;")'!o38")</f>
        <v>0</v>
      </c>
      <c r="P38" s="24">
        <f ca="1">INDIRECT("'("&amp;$A$4&amp;")'!p38")</f>
        <v>48</v>
      </c>
      <c r="Q38" s="46" t="str">
        <f t="shared" ca="1" si="26"/>
        <v>-</v>
      </c>
      <c r="R38" s="46">
        <f t="shared" ca="1" si="27"/>
        <v>1</v>
      </c>
      <c r="S38" s="24"/>
      <c r="T38" s="22">
        <f t="shared" ca="1" si="28"/>
        <v>1</v>
      </c>
      <c r="U38" s="22">
        <f t="shared" ca="1" si="29"/>
        <v>0</v>
      </c>
      <c r="V38" s="22">
        <f t="shared" ca="1" si="30"/>
        <v>0</v>
      </c>
      <c r="W38" s="22">
        <f t="shared" ca="1" si="31"/>
        <v>0</v>
      </c>
      <c r="X38" s="22">
        <f t="shared" ca="1" si="32"/>
        <v>0</v>
      </c>
      <c r="Y38" s="22">
        <f t="shared" ca="1" si="33"/>
        <v>56</v>
      </c>
      <c r="Z38" s="46">
        <f t="shared" ca="1" si="34"/>
        <v>0</v>
      </c>
      <c r="AA38" s="46">
        <f t="shared" ca="1" si="35"/>
        <v>0.98245614035087714</v>
      </c>
      <c r="AB38" s="24"/>
      <c r="AC38" s="24">
        <f ca="1">INDIRECT("'("&amp;$A$4&amp;")'!ac38")</f>
        <v>3</v>
      </c>
      <c r="AD38" s="24">
        <f ca="1">INDIRECT("'("&amp;$A$4&amp;")'!ad38")</f>
        <v>0</v>
      </c>
      <c r="AE38" s="24">
        <f ca="1">INDIRECT("'("&amp;$A$4&amp;")'!ae38")</f>
        <v>0</v>
      </c>
      <c r="AF38" s="24">
        <f ca="1">INDIRECT("'("&amp;$A$4&amp;")'!af38")</f>
        <v>0</v>
      </c>
      <c r="AG38" s="24">
        <f ca="1">INDIRECT("'("&amp;$A$4&amp;")'!ag38")</f>
        <v>0</v>
      </c>
      <c r="AH38" s="24">
        <f ca="1">INDIRECT("'("&amp;$A$4&amp;")'!ah38")</f>
        <v>1</v>
      </c>
      <c r="AI38" s="46">
        <f t="shared" ca="1" si="41"/>
        <v>0</v>
      </c>
      <c r="AJ38" s="46">
        <f t="shared" ca="1" si="42"/>
        <v>0.25</v>
      </c>
      <c r="AK38" s="24"/>
      <c r="AL38" s="24">
        <f ca="1">INDIRECT("'("&amp;$A$4&amp;")'!al38")</f>
        <v>3</v>
      </c>
      <c r="AM38" s="24">
        <f ca="1">INDIRECT("'("&amp;$A$4&amp;")'!am38")</f>
        <v>0</v>
      </c>
      <c r="AN38" s="24">
        <f ca="1">INDIRECT("'("&amp;$A$4&amp;")'!an38")</f>
        <v>0</v>
      </c>
      <c r="AO38" s="24">
        <f ca="1">INDIRECT("'("&amp;$A$4&amp;")'!ao38")</f>
        <v>0</v>
      </c>
      <c r="AP38" s="24">
        <f ca="1">INDIRECT("'("&amp;$A$4&amp;")'!ap38")</f>
        <v>0</v>
      </c>
      <c r="AQ38" s="24">
        <f ca="1">INDIRECT("'("&amp;$A$4&amp;")'!aq38")</f>
        <v>6</v>
      </c>
      <c r="AR38" s="46">
        <f t="shared" ca="1" si="48"/>
        <v>0</v>
      </c>
      <c r="AS38" s="46">
        <f t="shared" ca="1" si="49"/>
        <v>0.66666666666666663</v>
      </c>
      <c r="AT38" s="24"/>
      <c r="AU38" s="22">
        <f t="shared" ca="1" si="50"/>
        <v>7</v>
      </c>
      <c r="AV38" s="22">
        <f t="shared" ca="1" si="51"/>
        <v>0</v>
      </c>
      <c r="AW38" s="22">
        <f t="shared" ca="1" si="52"/>
        <v>0</v>
      </c>
      <c r="AX38" s="22">
        <f t="shared" ca="1" si="53"/>
        <v>0</v>
      </c>
      <c r="AY38" s="22">
        <f t="shared" ca="1" si="54"/>
        <v>0</v>
      </c>
      <c r="AZ38" s="22">
        <f t="shared" ca="1" si="55"/>
        <v>63</v>
      </c>
      <c r="BA38" s="46">
        <f t="shared" ca="1" si="56"/>
        <v>0</v>
      </c>
      <c r="BB38" s="46">
        <f t="shared" ca="1" si="57"/>
        <v>0.9</v>
      </c>
      <c r="BC38" s="19"/>
      <c r="BD38" s="19"/>
      <c r="BE38" s="19"/>
      <c r="BF38" s="19"/>
      <c r="BG38" s="19"/>
      <c r="BH38" s="19"/>
      <c r="BI38" s="19"/>
      <c r="BJ38" s="19"/>
      <c r="BK38" s="19"/>
    </row>
    <row r="39" spans="1:63" s="8" customFormat="1" ht="15" customHeight="1" x14ac:dyDescent="0.35">
      <c r="A39" s="3" t="s">
        <v>46</v>
      </c>
      <c r="B39" s="24">
        <f ca="1">INDIRECT("'("&amp;$A$4&amp;")'!b39")</f>
        <v>9</v>
      </c>
      <c r="C39" s="24">
        <f ca="1">INDIRECT("'("&amp;$A$4&amp;")'!c39")</f>
        <v>0</v>
      </c>
      <c r="D39" s="24">
        <f ca="1">INDIRECT("'("&amp;$A$4&amp;")'!d39")</f>
        <v>0</v>
      </c>
      <c r="E39" s="24">
        <f ca="1">INDIRECT("'("&amp;$A$4&amp;")'!e39")</f>
        <v>0</v>
      </c>
      <c r="F39" s="24">
        <f ca="1">INDIRECT("'("&amp;$A$4&amp;")'!f39")</f>
        <v>0</v>
      </c>
      <c r="G39" s="24">
        <f ca="1">INDIRECT("'("&amp;$A$4&amp;")'!g39")</f>
        <v>0</v>
      </c>
      <c r="H39" s="46">
        <f t="shared" ca="1" si="19"/>
        <v>0</v>
      </c>
      <c r="I39" s="46">
        <f t="shared" ca="1" si="20"/>
        <v>0</v>
      </c>
      <c r="J39" s="24"/>
      <c r="K39" s="24">
        <f ca="1">INDIRECT("'("&amp;$A$4&amp;")'!k39")</f>
        <v>17</v>
      </c>
      <c r="L39" s="24">
        <f ca="1">INDIRECT("'("&amp;$A$4&amp;")'!l39")</f>
        <v>0</v>
      </c>
      <c r="M39" s="24">
        <f ca="1">INDIRECT("'("&amp;$A$4&amp;")'!m39")</f>
        <v>0</v>
      </c>
      <c r="N39" s="24">
        <f ca="1">INDIRECT("'("&amp;$A$4&amp;")'!n39")</f>
        <v>0</v>
      </c>
      <c r="O39" s="24">
        <f ca="1">INDIRECT("'("&amp;$A$4&amp;")'!o39")</f>
        <v>0</v>
      </c>
      <c r="P39" s="24">
        <f ca="1">INDIRECT("'("&amp;$A$4&amp;")'!p39")</f>
        <v>2</v>
      </c>
      <c r="Q39" s="46">
        <f t="shared" ca="1" si="26"/>
        <v>0</v>
      </c>
      <c r="R39" s="46">
        <f t="shared" ca="1" si="27"/>
        <v>0.10526315789473684</v>
      </c>
      <c r="S39" s="24"/>
      <c r="T39" s="22">
        <f t="shared" ca="1" si="28"/>
        <v>26</v>
      </c>
      <c r="U39" s="22">
        <f t="shared" ca="1" si="29"/>
        <v>0</v>
      </c>
      <c r="V39" s="22">
        <f t="shared" ca="1" si="30"/>
        <v>0</v>
      </c>
      <c r="W39" s="22">
        <f t="shared" ca="1" si="31"/>
        <v>0</v>
      </c>
      <c r="X39" s="22">
        <f t="shared" ca="1" si="32"/>
        <v>0</v>
      </c>
      <c r="Y39" s="22">
        <f t="shared" ca="1" si="33"/>
        <v>2</v>
      </c>
      <c r="Z39" s="46">
        <f t="shared" ca="1" si="34"/>
        <v>0</v>
      </c>
      <c r="AA39" s="46">
        <f t="shared" ca="1" si="35"/>
        <v>7.1428571428571425E-2</v>
      </c>
      <c r="AB39" s="24"/>
      <c r="AC39" s="24">
        <f ca="1">INDIRECT("'("&amp;$A$4&amp;")'!ac39")</f>
        <v>0</v>
      </c>
      <c r="AD39" s="24">
        <f ca="1">INDIRECT("'("&amp;$A$4&amp;")'!ad39")</f>
        <v>0</v>
      </c>
      <c r="AE39" s="24">
        <f ca="1">INDIRECT("'("&amp;$A$4&amp;")'!ae39")</f>
        <v>0</v>
      </c>
      <c r="AF39" s="24">
        <f ca="1">INDIRECT("'("&amp;$A$4&amp;")'!af39")</f>
        <v>0</v>
      </c>
      <c r="AG39" s="24">
        <f ca="1">INDIRECT("'("&amp;$A$4&amp;")'!ag39")</f>
        <v>0</v>
      </c>
      <c r="AH39" s="24">
        <f ca="1">INDIRECT("'("&amp;$A$4&amp;")'!ah39")</f>
        <v>0</v>
      </c>
      <c r="AI39" s="46" t="str">
        <f t="shared" ca="1" si="41"/>
        <v>-</v>
      </c>
      <c r="AJ39" s="46" t="str">
        <f t="shared" ca="1" si="42"/>
        <v>-</v>
      </c>
      <c r="AK39" s="24"/>
      <c r="AL39" s="24">
        <f ca="1">INDIRECT("'("&amp;$A$4&amp;")'!al39")</f>
        <v>1</v>
      </c>
      <c r="AM39" s="24">
        <f ca="1">INDIRECT("'("&amp;$A$4&amp;")'!am39")</f>
        <v>0</v>
      </c>
      <c r="AN39" s="24">
        <f ca="1">INDIRECT("'("&amp;$A$4&amp;")'!an39")</f>
        <v>0</v>
      </c>
      <c r="AO39" s="24">
        <f ca="1">INDIRECT("'("&amp;$A$4&amp;")'!ao39")</f>
        <v>0</v>
      </c>
      <c r="AP39" s="24">
        <f ca="1">INDIRECT("'("&amp;$A$4&amp;")'!ap39")</f>
        <v>0</v>
      </c>
      <c r="AQ39" s="24">
        <f ca="1">INDIRECT("'("&amp;$A$4&amp;")'!aq39")</f>
        <v>0</v>
      </c>
      <c r="AR39" s="46">
        <f t="shared" ca="1" si="48"/>
        <v>0</v>
      </c>
      <c r="AS39" s="46">
        <f t="shared" ca="1" si="49"/>
        <v>0</v>
      </c>
      <c r="AT39" s="24"/>
      <c r="AU39" s="22">
        <f t="shared" ca="1" si="50"/>
        <v>27</v>
      </c>
      <c r="AV39" s="22">
        <f t="shared" ca="1" si="51"/>
        <v>0</v>
      </c>
      <c r="AW39" s="22">
        <f t="shared" ca="1" si="52"/>
        <v>0</v>
      </c>
      <c r="AX39" s="22">
        <f t="shared" ca="1" si="53"/>
        <v>0</v>
      </c>
      <c r="AY39" s="22">
        <f t="shared" ca="1" si="54"/>
        <v>0</v>
      </c>
      <c r="AZ39" s="22">
        <f t="shared" ca="1" si="55"/>
        <v>2</v>
      </c>
      <c r="BA39" s="46">
        <f t="shared" ca="1" si="56"/>
        <v>0</v>
      </c>
      <c r="BB39" s="46">
        <f t="shared" ca="1" si="57"/>
        <v>6.8965517241379309E-2</v>
      </c>
      <c r="BC39" s="19"/>
      <c r="BD39" s="19"/>
      <c r="BE39" s="19"/>
      <c r="BF39" s="19"/>
      <c r="BG39" s="19"/>
      <c r="BH39" s="19"/>
      <c r="BI39" s="19"/>
      <c r="BJ39" s="19"/>
      <c r="BK39" s="19"/>
    </row>
    <row r="40" spans="1:63" s="8" customFormat="1" ht="15" customHeight="1" x14ac:dyDescent="0.35">
      <c r="A40" s="2" t="s">
        <v>47</v>
      </c>
      <c r="B40" s="24">
        <f ca="1">INDIRECT("'("&amp;$A$4&amp;")'!b40")</f>
        <v>24</v>
      </c>
      <c r="C40" s="24">
        <f ca="1">INDIRECT("'("&amp;$A$4&amp;")'!c40")</f>
        <v>5</v>
      </c>
      <c r="D40" s="24">
        <f ca="1">INDIRECT("'("&amp;$A$4&amp;")'!d40")</f>
        <v>1</v>
      </c>
      <c r="E40" s="24">
        <f ca="1">INDIRECT("'("&amp;$A$4&amp;")'!e40")</f>
        <v>0</v>
      </c>
      <c r="F40" s="24">
        <f ca="1">INDIRECT("'("&amp;$A$4&amp;")'!f40")</f>
        <v>0</v>
      </c>
      <c r="G40" s="24">
        <f ca="1">INDIRECT("'("&amp;$A$4&amp;")'!g40")</f>
        <v>0</v>
      </c>
      <c r="H40" s="46">
        <f t="shared" ca="1" si="19"/>
        <v>0.2</v>
      </c>
      <c r="I40" s="46">
        <f t="shared" ca="1" si="20"/>
        <v>0</v>
      </c>
      <c r="J40" s="24"/>
      <c r="K40" s="24">
        <f ca="1">INDIRECT("'("&amp;$A$4&amp;")'!k40")</f>
        <v>25</v>
      </c>
      <c r="L40" s="24">
        <f ca="1">INDIRECT("'("&amp;$A$4&amp;")'!l40")</f>
        <v>0</v>
      </c>
      <c r="M40" s="24">
        <f ca="1">INDIRECT("'("&amp;$A$4&amp;")'!m40")</f>
        <v>0</v>
      </c>
      <c r="N40" s="24">
        <f ca="1">INDIRECT("'("&amp;$A$4&amp;")'!n40")</f>
        <v>0</v>
      </c>
      <c r="O40" s="24">
        <f ca="1">INDIRECT("'("&amp;$A$4&amp;")'!o40")</f>
        <v>0</v>
      </c>
      <c r="P40" s="24">
        <f ca="1">INDIRECT("'("&amp;$A$4&amp;")'!p40")</f>
        <v>0</v>
      </c>
      <c r="Q40" s="46">
        <f t="shared" ca="1" si="26"/>
        <v>0</v>
      </c>
      <c r="R40" s="46">
        <f t="shared" ca="1" si="27"/>
        <v>0</v>
      </c>
      <c r="S40" s="24"/>
      <c r="T40" s="22">
        <f t="shared" ca="1" si="28"/>
        <v>49</v>
      </c>
      <c r="U40" s="22">
        <f t="shared" ca="1" si="29"/>
        <v>5</v>
      </c>
      <c r="V40" s="22">
        <f t="shared" ca="1" si="30"/>
        <v>1</v>
      </c>
      <c r="W40" s="22">
        <f t="shared" ca="1" si="31"/>
        <v>0</v>
      </c>
      <c r="X40" s="22">
        <f t="shared" ca="1" si="32"/>
        <v>0</v>
      </c>
      <c r="Y40" s="22">
        <f t="shared" ca="1" si="33"/>
        <v>0</v>
      </c>
      <c r="Z40" s="46">
        <f t="shared" ca="1" si="34"/>
        <v>0.10909090909090909</v>
      </c>
      <c r="AA40" s="46">
        <f t="shared" ca="1" si="35"/>
        <v>0</v>
      </c>
      <c r="AB40" s="24"/>
      <c r="AC40" s="24">
        <f ca="1">INDIRECT("'("&amp;$A$4&amp;")'!ac40")</f>
        <v>0</v>
      </c>
      <c r="AD40" s="24">
        <f ca="1">INDIRECT("'("&amp;$A$4&amp;")'!ad40")</f>
        <v>0</v>
      </c>
      <c r="AE40" s="24">
        <f ca="1">INDIRECT("'("&amp;$A$4&amp;")'!ae40")</f>
        <v>0</v>
      </c>
      <c r="AF40" s="24">
        <f ca="1">INDIRECT("'("&amp;$A$4&amp;")'!af40")</f>
        <v>0</v>
      </c>
      <c r="AG40" s="24">
        <f ca="1">INDIRECT("'("&amp;$A$4&amp;")'!ag40")</f>
        <v>0</v>
      </c>
      <c r="AH40" s="24">
        <f ca="1">INDIRECT("'("&amp;$A$4&amp;")'!ah40")</f>
        <v>0</v>
      </c>
      <c r="AI40" s="46" t="str">
        <f t="shared" ca="1" si="41"/>
        <v>-</v>
      </c>
      <c r="AJ40" s="46" t="str">
        <f t="shared" ca="1" si="42"/>
        <v>-</v>
      </c>
      <c r="AK40" s="24"/>
      <c r="AL40" s="24">
        <f ca="1">INDIRECT("'("&amp;$A$4&amp;")'!al40")</f>
        <v>3</v>
      </c>
      <c r="AM40" s="24">
        <f ca="1">INDIRECT("'("&amp;$A$4&amp;")'!am40")</f>
        <v>0</v>
      </c>
      <c r="AN40" s="24">
        <f ca="1">INDIRECT("'("&amp;$A$4&amp;")'!an40")</f>
        <v>0</v>
      </c>
      <c r="AO40" s="24">
        <f ca="1">INDIRECT("'("&amp;$A$4&amp;")'!ao40")</f>
        <v>1</v>
      </c>
      <c r="AP40" s="24">
        <f ca="1">INDIRECT("'("&amp;$A$4&amp;")'!ap40")</f>
        <v>0</v>
      </c>
      <c r="AQ40" s="24">
        <f ca="1">INDIRECT("'("&amp;$A$4&amp;")'!aq40")</f>
        <v>5</v>
      </c>
      <c r="AR40" s="46">
        <f t="shared" ca="1" si="48"/>
        <v>0.25</v>
      </c>
      <c r="AS40" s="46">
        <f t="shared" ca="1" si="49"/>
        <v>0.55555555555555558</v>
      </c>
      <c r="AT40" s="24"/>
      <c r="AU40" s="22">
        <f t="shared" ca="1" si="50"/>
        <v>52</v>
      </c>
      <c r="AV40" s="22">
        <f t="shared" ca="1" si="51"/>
        <v>5</v>
      </c>
      <c r="AW40" s="22">
        <f t="shared" ca="1" si="52"/>
        <v>1</v>
      </c>
      <c r="AX40" s="22">
        <f t="shared" ca="1" si="53"/>
        <v>1</v>
      </c>
      <c r="AY40" s="22">
        <f t="shared" ca="1" si="54"/>
        <v>0</v>
      </c>
      <c r="AZ40" s="22">
        <f t="shared" ca="1" si="55"/>
        <v>5</v>
      </c>
      <c r="BA40" s="46">
        <f t="shared" ca="1" si="56"/>
        <v>0.11864406779661017</v>
      </c>
      <c r="BB40" s="46">
        <f t="shared" ca="1" si="57"/>
        <v>7.8125E-2</v>
      </c>
      <c r="BC40" s="19"/>
      <c r="BD40" s="19"/>
      <c r="BE40" s="19"/>
      <c r="BF40" s="19"/>
      <c r="BG40" s="19"/>
      <c r="BH40" s="19"/>
      <c r="BI40" s="19"/>
      <c r="BJ40" s="19"/>
      <c r="BK40" s="19"/>
    </row>
    <row r="41" spans="1:63" s="8" customFormat="1" ht="15" customHeight="1" x14ac:dyDescent="0.35">
      <c r="A41" s="2" t="s">
        <v>48</v>
      </c>
      <c r="B41" s="24">
        <f ca="1">INDIRECT("'("&amp;$A$4&amp;")'!b41")</f>
        <v>2</v>
      </c>
      <c r="C41" s="24">
        <f ca="1">INDIRECT("'("&amp;$A$4&amp;")'!c41")</f>
        <v>0</v>
      </c>
      <c r="D41" s="24">
        <f ca="1">INDIRECT("'("&amp;$A$4&amp;")'!d41")</f>
        <v>0</v>
      </c>
      <c r="E41" s="24">
        <f ca="1">INDIRECT("'("&amp;$A$4&amp;")'!e41")</f>
        <v>0</v>
      </c>
      <c r="F41" s="24">
        <f ca="1">INDIRECT("'("&amp;$A$4&amp;")'!f41")</f>
        <v>0</v>
      </c>
      <c r="G41" s="24">
        <f ca="1">INDIRECT("'("&amp;$A$4&amp;")'!g41")</f>
        <v>6</v>
      </c>
      <c r="H41" s="46">
        <f t="shared" ca="1" si="19"/>
        <v>0</v>
      </c>
      <c r="I41" s="46">
        <f t="shared" ca="1" si="20"/>
        <v>0.75</v>
      </c>
      <c r="J41" s="24"/>
      <c r="K41" s="24">
        <f ca="1">INDIRECT("'("&amp;$A$4&amp;")'!k41")</f>
        <v>35</v>
      </c>
      <c r="L41" s="24">
        <f ca="1">INDIRECT("'("&amp;$A$4&amp;")'!l41")</f>
        <v>1</v>
      </c>
      <c r="M41" s="24">
        <f ca="1">INDIRECT("'("&amp;$A$4&amp;")'!m41")</f>
        <v>0</v>
      </c>
      <c r="N41" s="24">
        <f ca="1">INDIRECT("'("&amp;$A$4&amp;")'!n41")</f>
        <v>1</v>
      </c>
      <c r="O41" s="24">
        <f ca="1">INDIRECT("'("&amp;$A$4&amp;")'!o41")</f>
        <v>0</v>
      </c>
      <c r="P41" s="24">
        <f ca="1">INDIRECT("'("&amp;$A$4&amp;")'!p41")</f>
        <v>19</v>
      </c>
      <c r="Q41" s="46">
        <f t="shared" ca="1" si="26"/>
        <v>5.4054054054054057E-2</v>
      </c>
      <c r="R41" s="46">
        <f t="shared" ca="1" si="27"/>
        <v>0.3392857142857143</v>
      </c>
      <c r="S41" s="24"/>
      <c r="T41" s="22">
        <f t="shared" ca="1" si="28"/>
        <v>37</v>
      </c>
      <c r="U41" s="22">
        <f t="shared" ca="1" si="29"/>
        <v>1</v>
      </c>
      <c r="V41" s="22">
        <f t="shared" ca="1" si="30"/>
        <v>0</v>
      </c>
      <c r="W41" s="22">
        <f t="shared" ca="1" si="31"/>
        <v>1</v>
      </c>
      <c r="X41" s="22">
        <f t="shared" ca="1" si="32"/>
        <v>0</v>
      </c>
      <c r="Y41" s="22">
        <f t="shared" ca="1" si="33"/>
        <v>25</v>
      </c>
      <c r="Z41" s="46">
        <f t="shared" ca="1" si="34"/>
        <v>5.128205128205128E-2</v>
      </c>
      <c r="AA41" s="46">
        <f t="shared" ca="1" si="35"/>
        <v>0.390625</v>
      </c>
      <c r="AB41" s="24"/>
      <c r="AC41" s="24">
        <f ca="1">INDIRECT("'("&amp;$A$4&amp;")'!ac41")</f>
        <v>0</v>
      </c>
      <c r="AD41" s="24">
        <f ca="1">INDIRECT("'("&amp;$A$4&amp;")'!ad41")</f>
        <v>0</v>
      </c>
      <c r="AE41" s="24">
        <f ca="1">INDIRECT("'("&amp;$A$4&amp;")'!ae41")</f>
        <v>0</v>
      </c>
      <c r="AF41" s="24">
        <f ca="1">INDIRECT("'("&amp;$A$4&amp;")'!af41")</f>
        <v>0</v>
      </c>
      <c r="AG41" s="24">
        <f ca="1">INDIRECT("'("&amp;$A$4&amp;")'!ag41")</f>
        <v>0</v>
      </c>
      <c r="AH41" s="24">
        <f ca="1">INDIRECT("'("&amp;$A$4&amp;")'!ah41")</f>
        <v>0</v>
      </c>
      <c r="AI41" s="46" t="str">
        <f t="shared" ca="1" si="41"/>
        <v>-</v>
      </c>
      <c r="AJ41" s="46" t="str">
        <f t="shared" ca="1" si="42"/>
        <v>-</v>
      </c>
      <c r="AK41" s="24"/>
      <c r="AL41" s="24">
        <f ca="1">INDIRECT("'("&amp;$A$4&amp;")'!al41")</f>
        <v>8</v>
      </c>
      <c r="AM41" s="24">
        <f ca="1">INDIRECT("'("&amp;$A$4&amp;")'!am41")</f>
        <v>0</v>
      </c>
      <c r="AN41" s="24">
        <f ca="1">INDIRECT("'("&amp;$A$4&amp;")'!an41")</f>
        <v>0</v>
      </c>
      <c r="AO41" s="24">
        <f ca="1">INDIRECT("'("&amp;$A$4&amp;")'!ao41")</f>
        <v>0</v>
      </c>
      <c r="AP41" s="24">
        <f ca="1">INDIRECT("'("&amp;$A$4&amp;")'!ap41")</f>
        <v>0</v>
      </c>
      <c r="AQ41" s="24">
        <f ca="1">INDIRECT("'("&amp;$A$4&amp;")'!aq41")</f>
        <v>1</v>
      </c>
      <c r="AR41" s="46">
        <f t="shared" ca="1" si="48"/>
        <v>0</v>
      </c>
      <c r="AS41" s="46">
        <f t="shared" ca="1" si="49"/>
        <v>0.1111111111111111</v>
      </c>
      <c r="AT41" s="24"/>
      <c r="AU41" s="22">
        <f t="shared" ca="1" si="50"/>
        <v>45</v>
      </c>
      <c r="AV41" s="22">
        <f t="shared" ca="1" si="51"/>
        <v>1</v>
      </c>
      <c r="AW41" s="22">
        <f t="shared" ca="1" si="52"/>
        <v>0</v>
      </c>
      <c r="AX41" s="22">
        <f t="shared" ca="1" si="53"/>
        <v>1</v>
      </c>
      <c r="AY41" s="22">
        <f t="shared" ca="1" si="54"/>
        <v>0</v>
      </c>
      <c r="AZ41" s="22">
        <f t="shared" ca="1" si="55"/>
        <v>26</v>
      </c>
      <c r="BA41" s="46">
        <f t="shared" ca="1" si="56"/>
        <v>4.2553191489361701E-2</v>
      </c>
      <c r="BB41" s="46">
        <f t="shared" ca="1" si="57"/>
        <v>0.35616438356164382</v>
      </c>
      <c r="BC41" s="19"/>
      <c r="BD41" s="19"/>
      <c r="BE41" s="19"/>
      <c r="BF41" s="19"/>
      <c r="BG41" s="19"/>
      <c r="BH41" s="19"/>
      <c r="BI41" s="19"/>
      <c r="BJ41" s="19"/>
      <c r="BK41" s="19"/>
    </row>
    <row r="42" spans="1:63" s="8" customFormat="1" ht="15" customHeight="1" x14ac:dyDescent="0.35">
      <c r="A42" s="2" t="s">
        <v>49</v>
      </c>
      <c r="B42" s="24">
        <f ca="1">INDIRECT("'("&amp;$A$4&amp;")'!b42")</f>
        <v>11</v>
      </c>
      <c r="C42" s="24">
        <f ca="1">INDIRECT("'("&amp;$A$4&amp;")'!c42")</f>
        <v>0</v>
      </c>
      <c r="D42" s="24">
        <f ca="1">INDIRECT("'("&amp;$A$4&amp;")'!d42")</f>
        <v>0</v>
      </c>
      <c r="E42" s="24">
        <f ca="1">INDIRECT("'("&amp;$A$4&amp;")'!e42")</f>
        <v>0</v>
      </c>
      <c r="F42" s="24">
        <f ca="1">INDIRECT("'("&amp;$A$4&amp;")'!f42")</f>
        <v>1</v>
      </c>
      <c r="G42" s="24">
        <f ca="1">INDIRECT("'("&amp;$A$4&amp;")'!g42")</f>
        <v>0</v>
      </c>
      <c r="H42" s="46">
        <f t="shared" ca="1" si="19"/>
        <v>8.3333333333333329E-2</v>
      </c>
      <c r="I42" s="46">
        <f t="shared" ca="1" si="20"/>
        <v>0</v>
      </c>
      <c r="J42" s="24"/>
      <c r="K42" s="24">
        <f ca="1">INDIRECT("'("&amp;$A$4&amp;")'!k42")</f>
        <v>21</v>
      </c>
      <c r="L42" s="24">
        <f ca="1">INDIRECT("'("&amp;$A$4&amp;")'!l42")</f>
        <v>0</v>
      </c>
      <c r="M42" s="24">
        <f ca="1">INDIRECT("'("&amp;$A$4&amp;")'!m42")</f>
        <v>0</v>
      </c>
      <c r="N42" s="24">
        <f ca="1">INDIRECT("'("&amp;$A$4&amp;")'!n42")</f>
        <v>0</v>
      </c>
      <c r="O42" s="24">
        <f ca="1">INDIRECT("'("&amp;$A$4&amp;")'!o42")</f>
        <v>1</v>
      </c>
      <c r="P42" s="24">
        <f ca="1">INDIRECT("'("&amp;$A$4&amp;")'!p42")</f>
        <v>6</v>
      </c>
      <c r="Q42" s="46">
        <f t="shared" ca="1" si="26"/>
        <v>4.5454545454545456E-2</v>
      </c>
      <c r="R42" s="46">
        <f t="shared" ca="1" si="27"/>
        <v>0.21428571428571427</v>
      </c>
      <c r="S42" s="24"/>
      <c r="T42" s="22">
        <f t="shared" ca="1" si="28"/>
        <v>32</v>
      </c>
      <c r="U42" s="22">
        <f t="shared" ca="1" si="29"/>
        <v>0</v>
      </c>
      <c r="V42" s="22">
        <f t="shared" ca="1" si="30"/>
        <v>0</v>
      </c>
      <c r="W42" s="22">
        <f t="shared" ca="1" si="31"/>
        <v>0</v>
      </c>
      <c r="X42" s="22">
        <f t="shared" ca="1" si="32"/>
        <v>2</v>
      </c>
      <c r="Y42" s="22">
        <f t="shared" ca="1" si="33"/>
        <v>6</v>
      </c>
      <c r="Z42" s="46">
        <f t="shared" ca="1" si="34"/>
        <v>5.8823529411764705E-2</v>
      </c>
      <c r="AA42" s="46">
        <f t="shared" ca="1" si="35"/>
        <v>0.15</v>
      </c>
      <c r="AB42" s="24"/>
      <c r="AC42" s="24">
        <f ca="1">INDIRECT("'("&amp;$A$4&amp;")'!ac42")</f>
        <v>1</v>
      </c>
      <c r="AD42" s="24">
        <f ca="1">INDIRECT("'("&amp;$A$4&amp;")'!ad42")</f>
        <v>0</v>
      </c>
      <c r="AE42" s="24">
        <f ca="1">INDIRECT("'("&amp;$A$4&amp;")'!ae42")</f>
        <v>0</v>
      </c>
      <c r="AF42" s="24">
        <f ca="1">INDIRECT("'("&amp;$A$4&amp;")'!af42")</f>
        <v>0</v>
      </c>
      <c r="AG42" s="24">
        <f ca="1">INDIRECT("'("&amp;$A$4&amp;")'!ag42")</f>
        <v>0</v>
      </c>
      <c r="AH42" s="24">
        <f ca="1">INDIRECT("'("&amp;$A$4&amp;")'!ah42")</f>
        <v>1</v>
      </c>
      <c r="AI42" s="46">
        <f t="shared" ca="1" si="41"/>
        <v>0</v>
      </c>
      <c r="AJ42" s="46">
        <f t="shared" ca="1" si="42"/>
        <v>0.5</v>
      </c>
      <c r="AK42" s="24"/>
      <c r="AL42" s="24">
        <f ca="1">INDIRECT("'("&amp;$A$4&amp;")'!al42")</f>
        <v>6</v>
      </c>
      <c r="AM42" s="24">
        <f ca="1">INDIRECT("'("&amp;$A$4&amp;")'!am42")</f>
        <v>0</v>
      </c>
      <c r="AN42" s="24">
        <f ca="1">INDIRECT("'("&amp;$A$4&amp;")'!an42")</f>
        <v>0</v>
      </c>
      <c r="AO42" s="24">
        <f ca="1">INDIRECT("'("&amp;$A$4&amp;")'!ao42")</f>
        <v>0</v>
      </c>
      <c r="AP42" s="24">
        <f ca="1">INDIRECT("'("&amp;$A$4&amp;")'!ap42")</f>
        <v>1</v>
      </c>
      <c r="AQ42" s="24">
        <f ca="1">INDIRECT("'("&amp;$A$4&amp;")'!aq42")</f>
        <v>1</v>
      </c>
      <c r="AR42" s="46">
        <f t="shared" ca="1" si="48"/>
        <v>0.14285714285714285</v>
      </c>
      <c r="AS42" s="46">
        <f t="shared" ca="1" si="49"/>
        <v>0.125</v>
      </c>
      <c r="AT42" s="24"/>
      <c r="AU42" s="22">
        <f t="shared" ca="1" si="50"/>
        <v>39</v>
      </c>
      <c r="AV42" s="22">
        <f t="shared" ca="1" si="51"/>
        <v>0</v>
      </c>
      <c r="AW42" s="22">
        <f t="shared" ca="1" si="52"/>
        <v>0</v>
      </c>
      <c r="AX42" s="22">
        <f t="shared" ca="1" si="53"/>
        <v>0</v>
      </c>
      <c r="AY42" s="22">
        <f t="shared" ca="1" si="54"/>
        <v>3</v>
      </c>
      <c r="AZ42" s="22">
        <f t="shared" ca="1" si="55"/>
        <v>8</v>
      </c>
      <c r="BA42" s="46">
        <f t="shared" ca="1" si="56"/>
        <v>7.1428571428571425E-2</v>
      </c>
      <c r="BB42" s="46">
        <f t="shared" ca="1" si="57"/>
        <v>0.16</v>
      </c>
      <c r="BC42" s="19"/>
      <c r="BD42" s="19"/>
      <c r="BE42" s="19"/>
      <c r="BF42" s="19"/>
      <c r="BG42" s="19"/>
      <c r="BH42" s="19"/>
      <c r="BI42" s="19"/>
      <c r="BJ42" s="19"/>
      <c r="BK42" s="19"/>
    </row>
    <row r="43" spans="1:63" s="8" customFormat="1" ht="15" customHeight="1" x14ac:dyDescent="0.35">
      <c r="A43" s="2" t="s">
        <v>50</v>
      </c>
      <c r="B43" s="24">
        <f ca="1">INDIRECT("'("&amp;$A$4&amp;")'!b43")</f>
        <v>12</v>
      </c>
      <c r="C43" s="24">
        <f ca="1">INDIRECT("'("&amp;$A$4&amp;")'!c43")</f>
        <v>0</v>
      </c>
      <c r="D43" s="24">
        <f ca="1">INDIRECT("'("&amp;$A$4&amp;")'!d43")</f>
        <v>0</v>
      </c>
      <c r="E43" s="24">
        <f ca="1">INDIRECT("'("&amp;$A$4&amp;")'!e43")</f>
        <v>1</v>
      </c>
      <c r="F43" s="24">
        <f ca="1">INDIRECT("'("&amp;$A$4&amp;")'!f43")</f>
        <v>0</v>
      </c>
      <c r="G43" s="24">
        <f ca="1">INDIRECT("'("&amp;$A$4&amp;")'!g43")</f>
        <v>0</v>
      </c>
      <c r="H43" s="46">
        <f t="shared" ca="1" si="19"/>
        <v>7.6923076923076927E-2</v>
      </c>
      <c r="I43" s="46">
        <f t="shared" ca="1" si="20"/>
        <v>0</v>
      </c>
      <c r="J43" s="24"/>
      <c r="K43" s="24">
        <f ca="1">INDIRECT("'("&amp;$A$4&amp;")'!k43")</f>
        <v>42</v>
      </c>
      <c r="L43" s="24">
        <f ca="1">INDIRECT("'("&amp;$A$4&amp;")'!l43")</f>
        <v>0</v>
      </c>
      <c r="M43" s="24">
        <f ca="1">INDIRECT("'("&amp;$A$4&amp;")'!m43")</f>
        <v>0</v>
      </c>
      <c r="N43" s="24">
        <f ca="1">INDIRECT("'("&amp;$A$4&amp;")'!n43")</f>
        <v>2</v>
      </c>
      <c r="O43" s="24">
        <f ca="1">INDIRECT("'("&amp;$A$4&amp;")'!o43")</f>
        <v>0</v>
      </c>
      <c r="P43" s="24">
        <f ca="1">INDIRECT("'("&amp;$A$4&amp;")'!p43")</f>
        <v>0</v>
      </c>
      <c r="Q43" s="46">
        <f t="shared" ca="1" si="26"/>
        <v>4.5454545454545456E-2</v>
      </c>
      <c r="R43" s="46">
        <f t="shared" ca="1" si="27"/>
        <v>0</v>
      </c>
      <c r="S43" s="24"/>
      <c r="T43" s="22">
        <f t="shared" ca="1" si="28"/>
        <v>54</v>
      </c>
      <c r="U43" s="22">
        <f t="shared" ca="1" si="29"/>
        <v>0</v>
      </c>
      <c r="V43" s="22">
        <f t="shared" ca="1" si="30"/>
        <v>0</v>
      </c>
      <c r="W43" s="22">
        <f t="shared" ca="1" si="31"/>
        <v>3</v>
      </c>
      <c r="X43" s="22">
        <f t="shared" ca="1" si="32"/>
        <v>0</v>
      </c>
      <c r="Y43" s="22">
        <f t="shared" ca="1" si="33"/>
        <v>0</v>
      </c>
      <c r="Z43" s="46">
        <f t="shared" ca="1" si="34"/>
        <v>5.2631578947368418E-2</v>
      </c>
      <c r="AA43" s="46">
        <f t="shared" ca="1" si="35"/>
        <v>0</v>
      </c>
      <c r="AB43" s="24"/>
      <c r="AC43" s="24">
        <f ca="1">INDIRECT("'("&amp;$A$4&amp;")'!ac43")</f>
        <v>0</v>
      </c>
      <c r="AD43" s="24">
        <f ca="1">INDIRECT("'("&amp;$A$4&amp;")'!ad43")</f>
        <v>0</v>
      </c>
      <c r="AE43" s="24">
        <f ca="1">INDIRECT("'("&amp;$A$4&amp;")'!ae43")</f>
        <v>0</v>
      </c>
      <c r="AF43" s="24">
        <f ca="1">INDIRECT("'("&amp;$A$4&amp;")'!af43")</f>
        <v>0</v>
      </c>
      <c r="AG43" s="24">
        <f ca="1">INDIRECT("'("&amp;$A$4&amp;")'!ag43")</f>
        <v>0</v>
      </c>
      <c r="AH43" s="24">
        <f ca="1">INDIRECT("'("&amp;$A$4&amp;")'!ah43")</f>
        <v>0</v>
      </c>
      <c r="AI43" s="46" t="str">
        <f t="shared" ca="1" si="41"/>
        <v>-</v>
      </c>
      <c r="AJ43" s="46" t="str">
        <f t="shared" ca="1" si="42"/>
        <v>-</v>
      </c>
      <c r="AK43" s="24"/>
      <c r="AL43" s="24">
        <f ca="1">INDIRECT("'("&amp;$A$4&amp;")'!al43")</f>
        <v>24</v>
      </c>
      <c r="AM43" s="24">
        <f ca="1">INDIRECT("'("&amp;$A$4&amp;")'!am43")</f>
        <v>0</v>
      </c>
      <c r="AN43" s="24">
        <f ca="1">INDIRECT("'("&amp;$A$4&amp;")'!an43")</f>
        <v>0</v>
      </c>
      <c r="AO43" s="24">
        <f ca="1">INDIRECT("'("&amp;$A$4&amp;")'!ao43")</f>
        <v>0</v>
      </c>
      <c r="AP43" s="24">
        <f ca="1">INDIRECT("'("&amp;$A$4&amp;")'!ap43")</f>
        <v>0</v>
      </c>
      <c r="AQ43" s="24">
        <f ca="1">INDIRECT("'("&amp;$A$4&amp;")'!aq43")</f>
        <v>0</v>
      </c>
      <c r="AR43" s="46">
        <f t="shared" ca="1" si="48"/>
        <v>0</v>
      </c>
      <c r="AS43" s="46">
        <f t="shared" ca="1" si="49"/>
        <v>0</v>
      </c>
      <c r="AT43" s="24"/>
      <c r="AU43" s="22">
        <f t="shared" ca="1" si="50"/>
        <v>78</v>
      </c>
      <c r="AV43" s="22">
        <f t="shared" ca="1" si="51"/>
        <v>0</v>
      </c>
      <c r="AW43" s="22">
        <f t="shared" ca="1" si="52"/>
        <v>0</v>
      </c>
      <c r="AX43" s="22">
        <f t="shared" ca="1" si="53"/>
        <v>3</v>
      </c>
      <c r="AY43" s="22">
        <f t="shared" ca="1" si="54"/>
        <v>0</v>
      </c>
      <c r="AZ43" s="22">
        <f t="shared" ca="1" si="55"/>
        <v>0</v>
      </c>
      <c r="BA43" s="46">
        <f t="shared" ca="1" si="56"/>
        <v>3.7037037037037035E-2</v>
      </c>
      <c r="BB43" s="46">
        <f t="shared" ca="1" si="57"/>
        <v>0</v>
      </c>
      <c r="BC43" s="19"/>
      <c r="BD43" s="19"/>
      <c r="BE43" s="19"/>
      <c r="BF43" s="19"/>
      <c r="BG43" s="19"/>
      <c r="BH43" s="19"/>
      <c r="BI43" s="19"/>
      <c r="BJ43" s="19"/>
      <c r="BK43" s="19"/>
    </row>
    <row r="44" spans="1:63" s="8" customFormat="1" ht="15" customHeight="1" x14ac:dyDescent="0.35">
      <c r="A44" s="2" t="s">
        <v>51</v>
      </c>
      <c r="B44" s="24">
        <f ca="1">INDIRECT("'("&amp;$A$4&amp;")'!b44")</f>
        <v>2</v>
      </c>
      <c r="C44" s="24">
        <f ca="1">INDIRECT("'("&amp;$A$4&amp;")'!c44")</f>
        <v>1</v>
      </c>
      <c r="D44" s="24">
        <f ca="1">INDIRECT("'("&amp;$A$4&amp;")'!d44")</f>
        <v>0</v>
      </c>
      <c r="E44" s="24">
        <f ca="1">INDIRECT("'("&amp;$A$4&amp;")'!e44")</f>
        <v>0</v>
      </c>
      <c r="F44" s="24">
        <f ca="1">INDIRECT("'("&amp;$A$4&amp;")'!f44")</f>
        <v>0</v>
      </c>
      <c r="G44" s="24">
        <f ca="1">INDIRECT("'("&amp;$A$4&amp;")'!g44")</f>
        <v>5</v>
      </c>
      <c r="H44" s="46">
        <f t="shared" ca="1" si="19"/>
        <v>0.33333333333333331</v>
      </c>
      <c r="I44" s="46">
        <f t="shared" ca="1" si="20"/>
        <v>0.625</v>
      </c>
      <c r="J44" s="24"/>
      <c r="K44" s="24">
        <f ca="1">INDIRECT("'("&amp;$A$4&amp;")'!k44")</f>
        <v>15</v>
      </c>
      <c r="L44" s="24">
        <f ca="1">INDIRECT("'("&amp;$A$4&amp;")'!l44")</f>
        <v>0</v>
      </c>
      <c r="M44" s="24">
        <f ca="1">INDIRECT("'("&amp;$A$4&amp;")'!m44")</f>
        <v>0</v>
      </c>
      <c r="N44" s="24">
        <f ca="1">INDIRECT("'("&amp;$A$4&amp;")'!n44")</f>
        <v>0</v>
      </c>
      <c r="O44" s="24">
        <f ca="1">INDIRECT("'("&amp;$A$4&amp;")'!o44")</f>
        <v>0</v>
      </c>
      <c r="P44" s="24">
        <f ca="1">INDIRECT("'("&amp;$A$4&amp;")'!p44")</f>
        <v>31</v>
      </c>
      <c r="Q44" s="46">
        <f t="shared" ca="1" si="26"/>
        <v>0</v>
      </c>
      <c r="R44" s="46">
        <f t="shared" ca="1" si="27"/>
        <v>0.67391304347826086</v>
      </c>
      <c r="S44" s="24"/>
      <c r="T44" s="22">
        <f t="shared" ca="1" si="28"/>
        <v>17</v>
      </c>
      <c r="U44" s="22">
        <f t="shared" ca="1" si="29"/>
        <v>1</v>
      </c>
      <c r="V44" s="22">
        <f t="shared" ca="1" si="30"/>
        <v>0</v>
      </c>
      <c r="W44" s="22">
        <f t="shared" ca="1" si="31"/>
        <v>0</v>
      </c>
      <c r="X44" s="22">
        <f t="shared" ca="1" si="32"/>
        <v>0</v>
      </c>
      <c r="Y44" s="22">
        <f t="shared" ca="1" si="33"/>
        <v>36</v>
      </c>
      <c r="Z44" s="46">
        <f t="shared" ca="1" si="34"/>
        <v>5.5555555555555552E-2</v>
      </c>
      <c r="AA44" s="46">
        <f t="shared" ca="1" si="35"/>
        <v>0.66666666666666663</v>
      </c>
      <c r="AB44" s="24"/>
      <c r="AC44" s="24">
        <f ca="1">INDIRECT("'("&amp;$A$4&amp;")'!ac44")</f>
        <v>0</v>
      </c>
      <c r="AD44" s="24">
        <f ca="1">INDIRECT("'("&amp;$A$4&amp;")'!ad44")</f>
        <v>0</v>
      </c>
      <c r="AE44" s="24">
        <f ca="1">INDIRECT("'("&amp;$A$4&amp;")'!ae44")</f>
        <v>0</v>
      </c>
      <c r="AF44" s="24">
        <f ca="1">INDIRECT("'("&amp;$A$4&amp;")'!af44")</f>
        <v>0</v>
      </c>
      <c r="AG44" s="24">
        <f ca="1">INDIRECT("'("&amp;$A$4&amp;")'!ag44")</f>
        <v>0</v>
      </c>
      <c r="AH44" s="24">
        <f ca="1">INDIRECT("'("&amp;$A$4&amp;")'!ah44")</f>
        <v>0</v>
      </c>
      <c r="AI44" s="46" t="str">
        <f t="shared" ca="1" si="41"/>
        <v>-</v>
      </c>
      <c r="AJ44" s="46" t="str">
        <f t="shared" ca="1" si="42"/>
        <v>-</v>
      </c>
      <c r="AK44" s="24"/>
      <c r="AL44" s="24">
        <f ca="1">INDIRECT("'("&amp;$A$4&amp;")'!al44")</f>
        <v>4</v>
      </c>
      <c r="AM44" s="24">
        <f ca="1">INDIRECT("'("&amp;$A$4&amp;")'!am44")</f>
        <v>0</v>
      </c>
      <c r="AN44" s="24">
        <f ca="1">INDIRECT("'("&amp;$A$4&amp;")'!an44")</f>
        <v>0</v>
      </c>
      <c r="AO44" s="24">
        <f ca="1">INDIRECT("'("&amp;$A$4&amp;")'!ao44")</f>
        <v>0</v>
      </c>
      <c r="AP44" s="24">
        <f ca="1">INDIRECT("'("&amp;$A$4&amp;")'!ap44")</f>
        <v>0</v>
      </c>
      <c r="AQ44" s="24">
        <f ca="1">INDIRECT("'("&amp;$A$4&amp;")'!aq44")</f>
        <v>2</v>
      </c>
      <c r="AR44" s="46">
        <f t="shared" ca="1" si="48"/>
        <v>0</v>
      </c>
      <c r="AS44" s="46">
        <f t="shared" ca="1" si="49"/>
        <v>0.33333333333333331</v>
      </c>
      <c r="AT44" s="24"/>
      <c r="AU44" s="22">
        <f t="shared" ca="1" si="50"/>
        <v>21</v>
      </c>
      <c r="AV44" s="22">
        <f t="shared" ca="1" si="51"/>
        <v>1</v>
      </c>
      <c r="AW44" s="22">
        <f t="shared" ca="1" si="52"/>
        <v>0</v>
      </c>
      <c r="AX44" s="22">
        <f t="shared" ca="1" si="53"/>
        <v>0</v>
      </c>
      <c r="AY44" s="22">
        <f t="shared" ca="1" si="54"/>
        <v>0</v>
      </c>
      <c r="AZ44" s="22">
        <f t="shared" ca="1" si="55"/>
        <v>38</v>
      </c>
      <c r="BA44" s="46">
        <f t="shared" ca="1" si="56"/>
        <v>4.5454545454545456E-2</v>
      </c>
      <c r="BB44" s="46">
        <f t="shared" ca="1" si="57"/>
        <v>0.6333333333333333</v>
      </c>
      <c r="BC44" s="19"/>
      <c r="BD44" s="19"/>
      <c r="BE44" s="19"/>
      <c r="BF44" s="19"/>
      <c r="BG44" s="19"/>
      <c r="BH44" s="19"/>
      <c r="BI44" s="19"/>
      <c r="BJ44" s="19"/>
      <c r="BK44" s="19"/>
    </row>
    <row r="45" spans="1:63" s="8" customFormat="1" ht="15" customHeight="1" x14ac:dyDescent="0.35">
      <c r="A45" s="2" t="s">
        <v>52</v>
      </c>
      <c r="B45" s="24">
        <f ca="1">INDIRECT("'("&amp;$A$4&amp;")'!b45")</f>
        <v>30</v>
      </c>
      <c r="C45" s="24">
        <f ca="1">INDIRECT("'("&amp;$A$4&amp;")'!c45")</f>
        <v>0</v>
      </c>
      <c r="D45" s="24">
        <f ca="1">INDIRECT("'("&amp;$A$4&amp;")'!d45")</f>
        <v>0</v>
      </c>
      <c r="E45" s="24">
        <f ca="1">INDIRECT("'("&amp;$A$4&amp;")'!e45")</f>
        <v>0</v>
      </c>
      <c r="F45" s="24">
        <f ca="1">INDIRECT("'("&amp;$A$4&amp;")'!f45")</f>
        <v>0</v>
      </c>
      <c r="G45" s="24">
        <f ca="1">INDIRECT("'("&amp;$A$4&amp;")'!g45")</f>
        <v>0</v>
      </c>
      <c r="H45" s="46">
        <f t="shared" ca="1" si="19"/>
        <v>0</v>
      </c>
      <c r="I45" s="46">
        <f t="shared" ca="1" si="20"/>
        <v>0</v>
      </c>
      <c r="J45" s="24"/>
      <c r="K45" s="24">
        <f ca="1">INDIRECT("'("&amp;$A$4&amp;")'!k45")</f>
        <v>7</v>
      </c>
      <c r="L45" s="24">
        <f ca="1">INDIRECT("'("&amp;$A$4&amp;")'!l45")</f>
        <v>0</v>
      </c>
      <c r="M45" s="24">
        <f ca="1">INDIRECT("'("&amp;$A$4&amp;")'!m45")</f>
        <v>0</v>
      </c>
      <c r="N45" s="24">
        <f ca="1">INDIRECT("'("&amp;$A$4&amp;")'!n45")</f>
        <v>0</v>
      </c>
      <c r="O45" s="24">
        <f ca="1">INDIRECT("'("&amp;$A$4&amp;")'!o45")</f>
        <v>0</v>
      </c>
      <c r="P45" s="24">
        <f ca="1">INDIRECT("'("&amp;$A$4&amp;")'!p45")</f>
        <v>0</v>
      </c>
      <c r="Q45" s="46">
        <f t="shared" ca="1" si="26"/>
        <v>0</v>
      </c>
      <c r="R45" s="46">
        <f t="shared" ca="1" si="27"/>
        <v>0</v>
      </c>
      <c r="S45" s="24"/>
      <c r="T45" s="22">
        <f t="shared" ca="1" si="28"/>
        <v>37</v>
      </c>
      <c r="U45" s="22">
        <f t="shared" ca="1" si="29"/>
        <v>0</v>
      </c>
      <c r="V45" s="22">
        <f t="shared" ca="1" si="30"/>
        <v>0</v>
      </c>
      <c r="W45" s="22">
        <f t="shared" ca="1" si="31"/>
        <v>0</v>
      </c>
      <c r="X45" s="22">
        <f t="shared" ca="1" si="32"/>
        <v>0</v>
      </c>
      <c r="Y45" s="22">
        <f t="shared" ca="1" si="33"/>
        <v>0</v>
      </c>
      <c r="Z45" s="46">
        <f t="shared" ca="1" si="34"/>
        <v>0</v>
      </c>
      <c r="AA45" s="46">
        <f t="shared" ca="1" si="35"/>
        <v>0</v>
      </c>
      <c r="AB45" s="24"/>
      <c r="AC45" s="24">
        <f ca="1">INDIRECT("'("&amp;$A$4&amp;")'!ac45")</f>
        <v>4</v>
      </c>
      <c r="AD45" s="24">
        <f ca="1">INDIRECT("'("&amp;$A$4&amp;")'!ad45")</f>
        <v>0</v>
      </c>
      <c r="AE45" s="24">
        <f ca="1">INDIRECT("'("&amp;$A$4&amp;")'!ae45")</f>
        <v>0</v>
      </c>
      <c r="AF45" s="24">
        <f ca="1">INDIRECT("'("&amp;$A$4&amp;")'!af45")</f>
        <v>0</v>
      </c>
      <c r="AG45" s="24">
        <f ca="1">INDIRECT("'("&amp;$A$4&amp;")'!ag45")</f>
        <v>0</v>
      </c>
      <c r="AH45" s="24">
        <f ca="1">INDIRECT("'("&amp;$A$4&amp;")'!ah45")</f>
        <v>0</v>
      </c>
      <c r="AI45" s="46">
        <f t="shared" ca="1" si="41"/>
        <v>0</v>
      </c>
      <c r="AJ45" s="46">
        <f t="shared" ca="1" si="42"/>
        <v>0</v>
      </c>
      <c r="AK45" s="24"/>
      <c r="AL45" s="24">
        <f ca="1">INDIRECT("'("&amp;$A$4&amp;")'!al45")</f>
        <v>16</v>
      </c>
      <c r="AM45" s="24">
        <f ca="1">INDIRECT("'("&amp;$A$4&amp;")'!am45")</f>
        <v>0</v>
      </c>
      <c r="AN45" s="24">
        <f ca="1">INDIRECT("'("&amp;$A$4&amp;")'!an45")</f>
        <v>0</v>
      </c>
      <c r="AO45" s="24">
        <f ca="1">INDIRECT("'("&amp;$A$4&amp;")'!ao45")</f>
        <v>0</v>
      </c>
      <c r="AP45" s="24">
        <f ca="1">INDIRECT("'("&amp;$A$4&amp;")'!ap45")</f>
        <v>0</v>
      </c>
      <c r="AQ45" s="24">
        <f ca="1">INDIRECT("'("&amp;$A$4&amp;")'!aq45")</f>
        <v>0</v>
      </c>
      <c r="AR45" s="46">
        <f t="shared" ca="1" si="48"/>
        <v>0</v>
      </c>
      <c r="AS45" s="46">
        <f t="shared" ca="1" si="49"/>
        <v>0</v>
      </c>
      <c r="AT45" s="24"/>
      <c r="AU45" s="22">
        <f t="shared" ca="1" si="50"/>
        <v>57</v>
      </c>
      <c r="AV45" s="22">
        <f t="shared" ca="1" si="51"/>
        <v>0</v>
      </c>
      <c r="AW45" s="22">
        <f t="shared" ca="1" si="52"/>
        <v>0</v>
      </c>
      <c r="AX45" s="22">
        <f t="shared" ca="1" si="53"/>
        <v>0</v>
      </c>
      <c r="AY45" s="22">
        <f t="shared" ca="1" si="54"/>
        <v>0</v>
      </c>
      <c r="AZ45" s="22">
        <f t="shared" ca="1" si="55"/>
        <v>0</v>
      </c>
      <c r="BA45" s="46">
        <f t="shared" ca="1" si="56"/>
        <v>0</v>
      </c>
      <c r="BB45" s="46">
        <f t="shared" ca="1" si="57"/>
        <v>0</v>
      </c>
      <c r="BC45" s="19"/>
      <c r="BD45" s="19"/>
      <c r="BE45" s="19"/>
      <c r="BF45" s="19"/>
      <c r="BG45" s="19"/>
      <c r="BH45" s="19"/>
      <c r="BI45" s="19"/>
      <c r="BJ45" s="19"/>
      <c r="BK45" s="19"/>
    </row>
    <row r="46" spans="1:63" s="8" customFormat="1" ht="15" customHeight="1" x14ac:dyDescent="0.35">
      <c r="A46" s="2" t="s">
        <v>53</v>
      </c>
      <c r="B46" s="24">
        <f ca="1">INDIRECT("'("&amp;$A$4&amp;")'!b46")</f>
        <v>9</v>
      </c>
      <c r="C46" s="24">
        <f ca="1">INDIRECT("'("&amp;$A$4&amp;")'!c46")</f>
        <v>0</v>
      </c>
      <c r="D46" s="24">
        <f ca="1">INDIRECT("'("&amp;$A$4&amp;")'!d46")</f>
        <v>0</v>
      </c>
      <c r="E46" s="24">
        <f ca="1">INDIRECT("'("&amp;$A$4&amp;")'!e46")</f>
        <v>0</v>
      </c>
      <c r="F46" s="24">
        <f ca="1">INDIRECT("'("&amp;$A$4&amp;")'!f46")</f>
        <v>0</v>
      </c>
      <c r="G46" s="24">
        <f ca="1">INDIRECT("'("&amp;$A$4&amp;")'!g46")</f>
        <v>4</v>
      </c>
      <c r="H46" s="46">
        <f t="shared" ca="1" si="19"/>
        <v>0</v>
      </c>
      <c r="I46" s="46">
        <f t="shared" ca="1" si="20"/>
        <v>0.30769230769230771</v>
      </c>
      <c r="J46" s="24"/>
      <c r="K46" s="24">
        <f ca="1">INDIRECT("'("&amp;$A$4&amp;")'!k46")</f>
        <v>15</v>
      </c>
      <c r="L46" s="24">
        <f ca="1">INDIRECT("'("&amp;$A$4&amp;")'!l46")</f>
        <v>0</v>
      </c>
      <c r="M46" s="24">
        <f ca="1">INDIRECT("'("&amp;$A$4&amp;")'!m46")</f>
        <v>0</v>
      </c>
      <c r="N46" s="24">
        <f ca="1">INDIRECT("'("&amp;$A$4&amp;")'!n46")</f>
        <v>0</v>
      </c>
      <c r="O46" s="24">
        <f ca="1">INDIRECT("'("&amp;$A$4&amp;")'!o46")</f>
        <v>0</v>
      </c>
      <c r="P46" s="24">
        <f ca="1">INDIRECT("'("&amp;$A$4&amp;")'!p46")</f>
        <v>4</v>
      </c>
      <c r="Q46" s="46">
        <f t="shared" ca="1" si="26"/>
        <v>0</v>
      </c>
      <c r="R46" s="46">
        <f t="shared" ca="1" si="27"/>
        <v>0.21052631578947367</v>
      </c>
      <c r="S46" s="24"/>
      <c r="T46" s="22">
        <f t="shared" ca="1" si="28"/>
        <v>24</v>
      </c>
      <c r="U46" s="22">
        <f t="shared" ca="1" si="29"/>
        <v>0</v>
      </c>
      <c r="V46" s="22">
        <f t="shared" ca="1" si="30"/>
        <v>0</v>
      </c>
      <c r="W46" s="22">
        <f t="shared" ca="1" si="31"/>
        <v>0</v>
      </c>
      <c r="X46" s="22">
        <f t="shared" ca="1" si="32"/>
        <v>0</v>
      </c>
      <c r="Y46" s="22">
        <f t="shared" ca="1" si="33"/>
        <v>8</v>
      </c>
      <c r="Z46" s="46">
        <f t="shared" ca="1" si="34"/>
        <v>0</v>
      </c>
      <c r="AA46" s="46">
        <f t="shared" ca="1" si="35"/>
        <v>0.25</v>
      </c>
      <c r="AB46" s="24"/>
      <c r="AC46" s="24">
        <f ca="1">INDIRECT("'("&amp;$A$4&amp;")'!ac46")</f>
        <v>1</v>
      </c>
      <c r="AD46" s="24">
        <f ca="1">INDIRECT("'("&amp;$A$4&amp;")'!ad46")</f>
        <v>0</v>
      </c>
      <c r="AE46" s="24">
        <f ca="1">INDIRECT("'("&amp;$A$4&amp;")'!ae46")</f>
        <v>0</v>
      </c>
      <c r="AF46" s="24">
        <f ca="1">INDIRECT("'("&amp;$A$4&amp;")'!af46")</f>
        <v>0</v>
      </c>
      <c r="AG46" s="24">
        <f ca="1">INDIRECT("'("&amp;$A$4&amp;")'!ag46")</f>
        <v>0</v>
      </c>
      <c r="AH46" s="24">
        <f ca="1">INDIRECT("'("&amp;$A$4&amp;")'!ah46")</f>
        <v>0</v>
      </c>
      <c r="AI46" s="46">
        <f t="shared" ca="1" si="41"/>
        <v>0</v>
      </c>
      <c r="AJ46" s="46">
        <f t="shared" ca="1" si="42"/>
        <v>0</v>
      </c>
      <c r="AK46" s="24"/>
      <c r="AL46" s="24">
        <f ca="1">INDIRECT("'("&amp;$A$4&amp;")'!al46")</f>
        <v>10</v>
      </c>
      <c r="AM46" s="24">
        <f ca="1">INDIRECT("'("&amp;$A$4&amp;")'!am46")</f>
        <v>0</v>
      </c>
      <c r="AN46" s="24">
        <f ca="1">INDIRECT("'("&amp;$A$4&amp;")'!an46")</f>
        <v>1</v>
      </c>
      <c r="AO46" s="24">
        <f ca="1">INDIRECT("'("&amp;$A$4&amp;")'!ao46")</f>
        <v>0</v>
      </c>
      <c r="AP46" s="24">
        <f ca="1">INDIRECT("'("&amp;$A$4&amp;")'!ap46")</f>
        <v>0</v>
      </c>
      <c r="AQ46" s="24">
        <f ca="1">INDIRECT("'("&amp;$A$4&amp;")'!aq46")</f>
        <v>2</v>
      </c>
      <c r="AR46" s="46">
        <f t="shared" ca="1" si="48"/>
        <v>9.0909090909090912E-2</v>
      </c>
      <c r="AS46" s="46">
        <f t="shared" ca="1" si="49"/>
        <v>0.15384615384615385</v>
      </c>
      <c r="AT46" s="24"/>
      <c r="AU46" s="22">
        <f t="shared" ca="1" si="50"/>
        <v>35</v>
      </c>
      <c r="AV46" s="22">
        <f t="shared" ca="1" si="51"/>
        <v>0</v>
      </c>
      <c r="AW46" s="22">
        <f t="shared" ca="1" si="52"/>
        <v>1</v>
      </c>
      <c r="AX46" s="22">
        <f t="shared" ca="1" si="53"/>
        <v>0</v>
      </c>
      <c r="AY46" s="22">
        <f t="shared" ca="1" si="54"/>
        <v>0</v>
      </c>
      <c r="AZ46" s="22">
        <f t="shared" ca="1" si="55"/>
        <v>10</v>
      </c>
      <c r="BA46" s="46">
        <f t="shared" ca="1" si="56"/>
        <v>2.7777777777777776E-2</v>
      </c>
      <c r="BB46" s="46">
        <f t="shared" ca="1" si="57"/>
        <v>0.21739130434782608</v>
      </c>
      <c r="BC46" s="19"/>
      <c r="BD46" s="19"/>
      <c r="BE46" s="19"/>
      <c r="BF46" s="19"/>
      <c r="BG46" s="19"/>
      <c r="BH46" s="19"/>
      <c r="BI46" s="19"/>
      <c r="BJ46" s="19"/>
      <c r="BK46" s="19"/>
    </row>
    <row r="47" spans="1:63" s="8" customFormat="1" ht="15" customHeight="1" x14ac:dyDescent="0.35">
      <c r="A47" s="2" t="s">
        <v>54</v>
      </c>
      <c r="B47" s="24">
        <f ca="1">INDIRECT("'("&amp;$A$4&amp;")'!b47")</f>
        <v>13</v>
      </c>
      <c r="C47" s="24">
        <f ca="1">INDIRECT("'("&amp;$A$4&amp;")'!c47")</f>
        <v>0</v>
      </c>
      <c r="D47" s="24">
        <f ca="1">INDIRECT("'("&amp;$A$4&amp;")'!d47")</f>
        <v>0</v>
      </c>
      <c r="E47" s="24">
        <f ca="1">INDIRECT("'("&amp;$A$4&amp;")'!e47")</f>
        <v>0</v>
      </c>
      <c r="F47" s="24">
        <f ca="1">INDIRECT("'("&amp;$A$4&amp;")'!f47")</f>
        <v>0</v>
      </c>
      <c r="G47" s="24">
        <f ca="1">INDIRECT("'("&amp;$A$4&amp;")'!g47")</f>
        <v>4</v>
      </c>
      <c r="H47" s="46">
        <f t="shared" ca="1" si="19"/>
        <v>0</v>
      </c>
      <c r="I47" s="46">
        <f t="shared" ca="1" si="20"/>
        <v>0.23529411764705882</v>
      </c>
      <c r="J47" s="24"/>
      <c r="K47" s="24">
        <f ca="1">INDIRECT("'("&amp;$A$4&amp;")'!k47")</f>
        <v>28</v>
      </c>
      <c r="L47" s="24">
        <f ca="1">INDIRECT("'("&amp;$A$4&amp;")'!l47")</f>
        <v>0</v>
      </c>
      <c r="M47" s="24">
        <f ca="1">INDIRECT("'("&amp;$A$4&amp;")'!m47")</f>
        <v>0</v>
      </c>
      <c r="N47" s="24">
        <f ca="1">INDIRECT("'("&amp;$A$4&amp;")'!n47")</f>
        <v>0</v>
      </c>
      <c r="O47" s="24">
        <f ca="1">INDIRECT("'("&amp;$A$4&amp;")'!o47")</f>
        <v>0</v>
      </c>
      <c r="P47" s="24">
        <f ca="1">INDIRECT("'("&amp;$A$4&amp;")'!p47")</f>
        <v>14</v>
      </c>
      <c r="Q47" s="46">
        <f t="shared" ca="1" si="26"/>
        <v>0</v>
      </c>
      <c r="R47" s="46">
        <f t="shared" ca="1" si="27"/>
        <v>0.33333333333333331</v>
      </c>
      <c r="S47" s="24"/>
      <c r="T47" s="22">
        <f t="shared" ca="1" si="28"/>
        <v>41</v>
      </c>
      <c r="U47" s="22">
        <f t="shared" ca="1" si="29"/>
        <v>0</v>
      </c>
      <c r="V47" s="22">
        <f t="shared" ca="1" si="30"/>
        <v>0</v>
      </c>
      <c r="W47" s="22">
        <f t="shared" ca="1" si="31"/>
        <v>0</v>
      </c>
      <c r="X47" s="22">
        <f t="shared" ca="1" si="32"/>
        <v>0</v>
      </c>
      <c r="Y47" s="22">
        <f t="shared" ca="1" si="33"/>
        <v>18</v>
      </c>
      <c r="Z47" s="46">
        <f t="shared" ca="1" si="34"/>
        <v>0</v>
      </c>
      <c r="AA47" s="46">
        <f t="shared" ca="1" si="35"/>
        <v>0.30508474576271188</v>
      </c>
      <c r="AB47" s="24"/>
      <c r="AC47" s="24">
        <f ca="1">INDIRECT("'("&amp;$A$4&amp;")'!ac47")</f>
        <v>0</v>
      </c>
      <c r="AD47" s="24">
        <f ca="1">INDIRECT("'("&amp;$A$4&amp;")'!ad47")</f>
        <v>0</v>
      </c>
      <c r="AE47" s="24">
        <f ca="1">INDIRECT("'("&amp;$A$4&amp;")'!ae47")</f>
        <v>0</v>
      </c>
      <c r="AF47" s="24">
        <f ca="1">INDIRECT("'("&amp;$A$4&amp;")'!af47")</f>
        <v>0</v>
      </c>
      <c r="AG47" s="24">
        <f ca="1">INDIRECT("'("&amp;$A$4&amp;")'!ag47")</f>
        <v>0</v>
      </c>
      <c r="AH47" s="24">
        <f ca="1">INDIRECT("'("&amp;$A$4&amp;")'!ah47")</f>
        <v>0</v>
      </c>
      <c r="AI47" s="46" t="str">
        <f t="shared" ca="1" si="41"/>
        <v>-</v>
      </c>
      <c r="AJ47" s="46" t="str">
        <f t="shared" ca="1" si="42"/>
        <v>-</v>
      </c>
      <c r="AK47" s="24"/>
      <c r="AL47" s="24">
        <f ca="1">INDIRECT("'("&amp;$A$4&amp;")'!al47")</f>
        <v>1</v>
      </c>
      <c r="AM47" s="24">
        <f ca="1">INDIRECT("'("&amp;$A$4&amp;")'!am47")</f>
        <v>0</v>
      </c>
      <c r="AN47" s="24">
        <f ca="1">INDIRECT("'("&amp;$A$4&amp;")'!an47")</f>
        <v>0</v>
      </c>
      <c r="AO47" s="24">
        <f ca="1">INDIRECT("'("&amp;$A$4&amp;")'!ao47")</f>
        <v>0</v>
      </c>
      <c r="AP47" s="24">
        <f ca="1">INDIRECT("'("&amp;$A$4&amp;")'!ap47")</f>
        <v>0</v>
      </c>
      <c r="AQ47" s="24">
        <f ca="1">INDIRECT("'("&amp;$A$4&amp;")'!aq47")</f>
        <v>10</v>
      </c>
      <c r="AR47" s="46">
        <f t="shared" ca="1" si="48"/>
        <v>0</v>
      </c>
      <c r="AS47" s="46">
        <f t="shared" ca="1" si="49"/>
        <v>0.90909090909090906</v>
      </c>
      <c r="AT47" s="24"/>
      <c r="AU47" s="22">
        <f t="shared" ca="1" si="50"/>
        <v>42</v>
      </c>
      <c r="AV47" s="22">
        <f t="shared" ca="1" si="51"/>
        <v>0</v>
      </c>
      <c r="AW47" s="22">
        <f t="shared" ca="1" si="52"/>
        <v>0</v>
      </c>
      <c r="AX47" s="22">
        <f t="shared" ca="1" si="53"/>
        <v>0</v>
      </c>
      <c r="AY47" s="22">
        <f t="shared" ca="1" si="54"/>
        <v>0</v>
      </c>
      <c r="AZ47" s="22">
        <f t="shared" ca="1" si="55"/>
        <v>28</v>
      </c>
      <c r="BA47" s="46">
        <f t="shared" ca="1" si="56"/>
        <v>0</v>
      </c>
      <c r="BB47" s="46">
        <f t="shared" ca="1" si="57"/>
        <v>0.4</v>
      </c>
      <c r="BC47" s="19"/>
      <c r="BD47" s="19"/>
      <c r="BE47" s="19"/>
      <c r="BF47" s="19"/>
      <c r="BG47" s="19"/>
      <c r="BH47" s="19"/>
      <c r="BI47" s="19"/>
      <c r="BJ47" s="19"/>
      <c r="BK47" s="19"/>
    </row>
    <row r="48" spans="1:63" s="8" customFormat="1" ht="15" customHeight="1" x14ac:dyDescent="0.35">
      <c r="A48" s="2" t="s">
        <v>55</v>
      </c>
      <c r="B48" s="24">
        <f ca="1">INDIRECT("'("&amp;$A$4&amp;")'!b48")</f>
        <v>0</v>
      </c>
      <c r="C48" s="24">
        <f ca="1">INDIRECT("'("&amp;$A$4&amp;")'!c48")</f>
        <v>0</v>
      </c>
      <c r="D48" s="24">
        <f ca="1">INDIRECT("'("&amp;$A$4&amp;")'!d48")</f>
        <v>0</v>
      </c>
      <c r="E48" s="24">
        <f ca="1">INDIRECT("'("&amp;$A$4&amp;")'!e48")</f>
        <v>0</v>
      </c>
      <c r="F48" s="24">
        <f ca="1">INDIRECT("'("&amp;$A$4&amp;")'!f48")</f>
        <v>0</v>
      </c>
      <c r="G48" s="24">
        <f ca="1">INDIRECT("'("&amp;$A$4&amp;")'!g48")</f>
        <v>0</v>
      </c>
      <c r="H48" s="46" t="str">
        <f t="shared" ca="1" si="19"/>
        <v>-</v>
      </c>
      <c r="I48" s="46" t="str">
        <f t="shared" ca="1" si="20"/>
        <v>-</v>
      </c>
      <c r="J48" s="24"/>
      <c r="K48" s="24">
        <f ca="1">INDIRECT("'("&amp;$A$4&amp;")'!k48")</f>
        <v>2</v>
      </c>
      <c r="L48" s="24">
        <f ca="1">INDIRECT("'("&amp;$A$4&amp;")'!l48")</f>
        <v>0</v>
      </c>
      <c r="M48" s="24">
        <f ca="1">INDIRECT("'("&amp;$A$4&amp;")'!m48")</f>
        <v>0</v>
      </c>
      <c r="N48" s="24">
        <f ca="1">INDIRECT("'("&amp;$A$4&amp;")'!n48")</f>
        <v>1</v>
      </c>
      <c r="O48" s="24">
        <f ca="1">INDIRECT("'("&amp;$A$4&amp;")'!o48")</f>
        <v>0</v>
      </c>
      <c r="P48" s="24">
        <f ca="1">INDIRECT("'("&amp;$A$4&amp;")'!p48")</f>
        <v>0</v>
      </c>
      <c r="Q48" s="46">
        <f t="shared" ca="1" si="26"/>
        <v>0.33333333333333331</v>
      </c>
      <c r="R48" s="46">
        <f t="shared" ca="1" si="27"/>
        <v>0</v>
      </c>
      <c r="S48" s="24"/>
      <c r="T48" s="22">
        <f t="shared" ca="1" si="28"/>
        <v>2</v>
      </c>
      <c r="U48" s="22">
        <f t="shared" ca="1" si="29"/>
        <v>0</v>
      </c>
      <c r="V48" s="22">
        <f t="shared" ca="1" si="30"/>
        <v>0</v>
      </c>
      <c r="W48" s="22">
        <f t="shared" ca="1" si="31"/>
        <v>1</v>
      </c>
      <c r="X48" s="22">
        <f t="shared" ca="1" si="32"/>
        <v>0</v>
      </c>
      <c r="Y48" s="22">
        <f t="shared" ca="1" si="33"/>
        <v>0</v>
      </c>
      <c r="Z48" s="46">
        <f t="shared" ca="1" si="34"/>
        <v>0.33333333333333331</v>
      </c>
      <c r="AA48" s="46">
        <f t="shared" ca="1" si="35"/>
        <v>0</v>
      </c>
      <c r="AB48" s="24"/>
      <c r="AC48" s="24">
        <f ca="1">INDIRECT("'("&amp;$A$4&amp;")'!ac48")</f>
        <v>0</v>
      </c>
      <c r="AD48" s="24">
        <f ca="1">INDIRECT("'("&amp;$A$4&amp;")'!ad48")</f>
        <v>0</v>
      </c>
      <c r="AE48" s="24">
        <f ca="1">INDIRECT("'("&amp;$A$4&amp;")'!ae48")</f>
        <v>0</v>
      </c>
      <c r="AF48" s="24">
        <f ca="1">INDIRECT("'("&amp;$A$4&amp;")'!af48")</f>
        <v>0</v>
      </c>
      <c r="AG48" s="24">
        <f ca="1">INDIRECT("'("&amp;$A$4&amp;")'!ag48")</f>
        <v>0</v>
      </c>
      <c r="AH48" s="24">
        <f ca="1">INDIRECT("'("&amp;$A$4&amp;")'!ah48")</f>
        <v>0</v>
      </c>
      <c r="AI48" s="46" t="str">
        <f t="shared" ca="1" si="41"/>
        <v>-</v>
      </c>
      <c r="AJ48" s="46" t="str">
        <f t="shared" ca="1" si="42"/>
        <v>-</v>
      </c>
      <c r="AK48" s="24"/>
      <c r="AL48" s="24">
        <f ca="1">INDIRECT("'("&amp;$A$4&amp;")'!al48")</f>
        <v>1</v>
      </c>
      <c r="AM48" s="24">
        <f ca="1">INDIRECT("'("&amp;$A$4&amp;")'!am48")</f>
        <v>0</v>
      </c>
      <c r="AN48" s="24">
        <f ca="1">INDIRECT("'("&amp;$A$4&amp;")'!an48")</f>
        <v>0</v>
      </c>
      <c r="AO48" s="24">
        <f ca="1">INDIRECT("'("&amp;$A$4&amp;")'!ao48")</f>
        <v>0</v>
      </c>
      <c r="AP48" s="24">
        <f ca="1">INDIRECT("'("&amp;$A$4&amp;")'!ap48")</f>
        <v>0</v>
      </c>
      <c r="AQ48" s="24">
        <f ca="1">INDIRECT("'("&amp;$A$4&amp;")'!aq48")</f>
        <v>0</v>
      </c>
      <c r="AR48" s="46">
        <f t="shared" ca="1" si="48"/>
        <v>0</v>
      </c>
      <c r="AS48" s="46">
        <f t="shared" ca="1" si="49"/>
        <v>0</v>
      </c>
      <c r="AT48" s="24"/>
      <c r="AU48" s="22">
        <f t="shared" ca="1" si="50"/>
        <v>3</v>
      </c>
      <c r="AV48" s="22">
        <f t="shared" ca="1" si="51"/>
        <v>0</v>
      </c>
      <c r="AW48" s="22">
        <f t="shared" ca="1" si="52"/>
        <v>0</v>
      </c>
      <c r="AX48" s="22">
        <f t="shared" ca="1" si="53"/>
        <v>1</v>
      </c>
      <c r="AY48" s="22">
        <f t="shared" ca="1" si="54"/>
        <v>0</v>
      </c>
      <c r="AZ48" s="22">
        <f t="shared" ca="1" si="55"/>
        <v>0</v>
      </c>
      <c r="BA48" s="46">
        <f t="shared" ca="1" si="56"/>
        <v>0.25</v>
      </c>
      <c r="BB48" s="46">
        <f t="shared" ca="1" si="57"/>
        <v>0</v>
      </c>
      <c r="BC48" s="19"/>
      <c r="BD48" s="19"/>
      <c r="BE48" s="19"/>
      <c r="BF48" s="19"/>
      <c r="BG48" s="19"/>
      <c r="BH48" s="19"/>
      <c r="BI48" s="19"/>
      <c r="BJ48" s="19"/>
      <c r="BK48" s="19"/>
    </row>
    <row r="49" spans="1:63" s="8" customFormat="1" ht="15" customHeight="1" x14ac:dyDescent="0.35">
      <c r="A49" s="21" t="s">
        <v>56</v>
      </c>
      <c r="B49" s="22">
        <f ca="1">SUM(B50:B56)</f>
        <v>644</v>
      </c>
      <c r="C49" s="22">
        <f t="shared" ref="C49:G49" ca="1" si="58">SUM(C50:C56)</f>
        <v>38</v>
      </c>
      <c r="D49" s="22">
        <f t="shared" ca="1" si="58"/>
        <v>11</v>
      </c>
      <c r="E49" s="22">
        <f t="shared" ca="1" si="58"/>
        <v>22</v>
      </c>
      <c r="F49" s="22">
        <f t="shared" ca="1" si="58"/>
        <v>10</v>
      </c>
      <c r="G49" s="22">
        <f t="shared" ca="1" si="58"/>
        <v>84</v>
      </c>
      <c r="H49" s="46">
        <f t="shared" ca="1" si="19"/>
        <v>0.11172413793103449</v>
      </c>
      <c r="I49" s="46">
        <f t="shared" ca="1" si="20"/>
        <v>0.103831891223733</v>
      </c>
      <c r="J49" s="22"/>
      <c r="K49" s="22">
        <f ca="1">SUM(K50:K56)</f>
        <v>42</v>
      </c>
      <c r="L49" s="22">
        <f t="shared" ref="L49" ca="1" si="59">SUM(L50:L56)</f>
        <v>2</v>
      </c>
      <c r="M49" s="22">
        <f t="shared" ref="M49" ca="1" si="60">SUM(M50:M56)</f>
        <v>0</v>
      </c>
      <c r="N49" s="22">
        <f t="shared" ref="N49" ca="1" si="61">SUM(N50:N56)</f>
        <v>2</v>
      </c>
      <c r="O49" s="22">
        <f t="shared" ref="O49" ca="1" si="62">SUM(O50:O56)</f>
        <v>1</v>
      </c>
      <c r="P49" s="22">
        <f t="shared" ref="P49" ca="1" si="63">SUM(P50:P56)</f>
        <v>1</v>
      </c>
      <c r="Q49" s="46">
        <f t="shared" ca="1" si="26"/>
        <v>0.10638297872340426</v>
      </c>
      <c r="R49" s="46">
        <f t="shared" ca="1" si="27"/>
        <v>2.0833333333333332E-2</v>
      </c>
      <c r="S49" s="22"/>
      <c r="T49" s="22">
        <f t="shared" ca="1" si="28"/>
        <v>686</v>
      </c>
      <c r="U49" s="22">
        <f t="shared" ca="1" si="29"/>
        <v>40</v>
      </c>
      <c r="V49" s="22">
        <f t="shared" ca="1" si="30"/>
        <v>11</v>
      </c>
      <c r="W49" s="22">
        <f t="shared" ca="1" si="31"/>
        <v>24</v>
      </c>
      <c r="X49" s="22">
        <f t="shared" ca="1" si="32"/>
        <v>11</v>
      </c>
      <c r="Y49" s="22">
        <f t="shared" ca="1" si="33"/>
        <v>85</v>
      </c>
      <c r="Z49" s="46">
        <f t="shared" ca="1" si="34"/>
        <v>0.11139896373056994</v>
      </c>
      <c r="AA49" s="46">
        <f t="shared" ca="1" si="35"/>
        <v>9.9183197199533252E-2</v>
      </c>
      <c r="AB49" s="22"/>
      <c r="AC49" s="22">
        <f ca="1">SUM(AC50:AC56)</f>
        <v>21</v>
      </c>
      <c r="AD49" s="22">
        <f t="shared" ref="AD49" ca="1" si="64">SUM(AD50:AD56)</f>
        <v>1</v>
      </c>
      <c r="AE49" s="22">
        <f t="shared" ref="AE49" ca="1" si="65">SUM(AE50:AE56)</f>
        <v>0</v>
      </c>
      <c r="AF49" s="22">
        <f t="shared" ref="AF49" ca="1" si="66">SUM(AF50:AF56)</f>
        <v>0</v>
      </c>
      <c r="AG49" s="22">
        <f t="shared" ref="AG49" ca="1" si="67">SUM(AG50:AG56)</f>
        <v>0</v>
      </c>
      <c r="AH49" s="22">
        <f t="shared" ref="AH49" ca="1" si="68">SUM(AH50:AH56)</f>
        <v>0</v>
      </c>
      <c r="AI49" s="46">
        <f t="shared" ca="1" si="41"/>
        <v>4.5454545454545456E-2</v>
      </c>
      <c r="AJ49" s="46">
        <f t="shared" ca="1" si="42"/>
        <v>0</v>
      </c>
      <c r="AK49" s="22"/>
      <c r="AL49" s="22">
        <f ca="1">SUM(AL50:AL56)</f>
        <v>251</v>
      </c>
      <c r="AM49" s="22">
        <f t="shared" ref="AM49" ca="1" si="69">SUM(AM50:AM56)</f>
        <v>6</v>
      </c>
      <c r="AN49" s="22">
        <f t="shared" ref="AN49" ca="1" si="70">SUM(AN50:AN56)</f>
        <v>17</v>
      </c>
      <c r="AO49" s="22">
        <f t="shared" ref="AO49" ca="1" si="71">SUM(AO50:AO56)</f>
        <v>19</v>
      </c>
      <c r="AP49" s="22">
        <f t="shared" ref="AP49" ca="1" si="72">SUM(AP50:AP56)</f>
        <v>11</v>
      </c>
      <c r="AQ49" s="22">
        <f t="shared" ref="AQ49" ca="1" si="73">SUM(AQ50:AQ56)</f>
        <v>30</v>
      </c>
      <c r="AR49" s="46">
        <f t="shared" ca="1" si="48"/>
        <v>0.17434210526315788</v>
      </c>
      <c r="AS49" s="46">
        <f t="shared" ca="1" si="49"/>
        <v>8.9820359281437126E-2</v>
      </c>
      <c r="AT49" s="22"/>
      <c r="AU49" s="22">
        <f t="shared" ca="1" si="50"/>
        <v>958</v>
      </c>
      <c r="AV49" s="22">
        <f t="shared" ca="1" si="51"/>
        <v>47</v>
      </c>
      <c r="AW49" s="22">
        <f t="shared" ca="1" si="52"/>
        <v>28</v>
      </c>
      <c r="AX49" s="22">
        <f t="shared" ca="1" si="53"/>
        <v>43</v>
      </c>
      <c r="AY49" s="22">
        <f t="shared" ca="1" si="54"/>
        <v>22</v>
      </c>
      <c r="AZ49" s="22">
        <f t="shared" ca="1" si="55"/>
        <v>115</v>
      </c>
      <c r="BA49" s="46">
        <f t="shared" ca="1" si="56"/>
        <v>0.12750455373406194</v>
      </c>
      <c r="BB49" s="46">
        <f t="shared" ca="1" si="57"/>
        <v>9.4806265457543282E-2</v>
      </c>
      <c r="BC49" s="19"/>
      <c r="BD49" s="19"/>
      <c r="BE49" s="19"/>
      <c r="BF49" s="19"/>
      <c r="BG49" s="19"/>
      <c r="BH49" s="19"/>
      <c r="BI49" s="19"/>
      <c r="BJ49" s="19"/>
      <c r="BK49" s="19"/>
    </row>
    <row r="50" spans="1:63" s="8" customFormat="1" ht="15" customHeight="1" x14ac:dyDescent="0.35">
      <c r="A50" s="2" t="s">
        <v>57</v>
      </c>
      <c r="B50" s="24">
        <f ca="1">INDIRECT("'("&amp;$A$4&amp;")'!b50")</f>
        <v>52</v>
      </c>
      <c r="C50" s="24">
        <f ca="1">INDIRECT("'("&amp;$A$4&amp;")'!c50")</f>
        <v>4</v>
      </c>
      <c r="D50" s="24">
        <f ca="1">INDIRECT("'("&amp;$A$4&amp;")'!d50")</f>
        <v>2</v>
      </c>
      <c r="E50" s="24">
        <f ca="1">INDIRECT("'("&amp;$A$4&amp;")'!e50")</f>
        <v>0</v>
      </c>
      <c r="F50" s="24">
        <f ca="1">INDIRECT("'("&amp;$A$4&amp;")'!f50")</f>
        <v>0</v>
      </c>
      <c r="G50" s="24">
        <f ca="1">INDIRECT("'("&amp;$A$4&amp;")'!g50")</f>
        <v>67</v>
      </c>
      <c r="H50" s="46">
        <f t="shared" ca="1" si="19"/>
        <v>0.10344827586206896</v>
      </c>
      <c r="I50" s="46">
        <f t="shared" ca="1" si="20"/>
        <v>0.53600000000000003</v>
      </c>
      <c r="J50" s="24"/>
      <c r="K50" s="24">
        <f ca="1">INDIRECT("'("&amp;$A$4&amp;")'!k50")</f>
        <v>0</v>
      </c>
      <c r="L50" s="24">
        <f ca="1">INDIRECT("'("&amp;$A$4&amp;")'!l50")</f>
        <v>0</v>
      </c>
      <c r="M50" s="24">
        <f ca="1">INDIRECT("'("&amp;$A$4&amp;")'!m50")</f>
        <v>0</v>
      </c>
      <c r="N50" s="24">
        <f ca="1">INDIRECT("'("&amp;$A$4&amp;")'!n50")</f>
        <v>0</v>
      </c>
      <c r="O50" s="24">
        <f ca="1">INDIRECT("'("&amp;$A$4&amp;")'!o50")</f>
        <v>0</v>
      </c>
      <c r="P50" s="24">
        <f ca="1">INDIRECT("'("&amp;$A$4&amp;")'!p50")</f>
        <v>0</v>
      </c>
      <c r="Q50" s="46" t="str">
        <f t="shared" ca="1" si="26"/>
        <v>-</v>
      </c>
      <c r="R50" s="46" t="str">
        <f t="shared" ca="1" si="27"/>
        <v>-</v>
      </c>
      <c r="S50" s="24"/>
      <c r="T50" s="22">
        <f t="shared" ca="1" si="28"/>
        <v>52</v>
      </c>
      <c r="U50" s="22">
        <f t="shared" ca="1" si="29"/>
        <v>4</v>
      </c>
      <c r="V50" s="22">
        <f t="shared" ca="1" si="30"/>
        <v>2</v>
      </c>
      <c r="W50" s="22">
        <f t="shared" ca="1" si="31"/>
        <v>0</v>
      </c>
      <c r="X50" s="22">
        <f t="shared" ca="1" si="32"/>
        <v>0</v>
      </c>
      <c r="Y50" s="22">
        <f t="shared" ca="1" si="33"/>
        <v>67</v>
      </c>
      <c r="Z50" s="46">
        <f t="shared" ca="1" si="34"/>
        <v>0.10344827586206896</v>
      </c>
      <c r="AA50" s="46">
        <f t="shared" ca="1" si="35"/>
        <v>0.53600000000000003</v>
      </c>
      <c r="AB50" s="24"/>
      <c r="AC50" s="24">
        <f ca="1">INDIRECT("'("&amp;$A$4&amp;")'!ac50")</f>
        <v>0</v>
      </c>
      <c r="AD50" s="24">
        <f ca="1">INDIRECT("'("&amp;$A$4&amp;")'!ad50")</f>
        <v>0</v>
      </c>
      <c r="AE50" s="24">
        <f ca="1">INDIRECT("'("&amp;$A$4&amp;")'!ae50")</f>
        <v>0</v>
      </c>
      <c r="AF50" s="24">
        <f ca="1">INDIRECT("'("&amp;$A$4&amp;")'!af50")</f>
        <v>0</v>
      </c>
      <c r="AG50" s="24">
        <f ca="1">INDIRECT("'("&amp;$A$4&amp;")'!ag50")</f>
        <v>0</v>
      </c>
      <c r="AH50" s="24">
        <f ca="1">INDIRECT("'("&amp;$A$4&amp;")'!ah50")</f>
        <v>0</v>
      </c>
      <c r="AI50" s="46" t="str">
        <f t="shared" ca="1" si="41"/>
        <v>-</v>
      </c>
      <c r="AJ50" s="46" t="str">
        <f t="shared" ca="1" si="42"/>
        <v>-</v>
      </c>
      <c r="AK50" s="24"/>
      <c r="AL50" s="24">
        <f ca="1">INDIRECT("'("&amp;$A$4&amp;")'!al50")</f>
        <v>41</v>
      </c>
      <c r="AM50" s="24">
        <f ca="1">INDIRECT("'("&amp;$A$4&amp;")'!am50")</f>
        <v>0</v>
      </c>
      <c r="AN50" s="24">
        <f ca="1">INDIRECT("'("&amp;$A$4&amp;")'!an50")</f>
        <v>1</v>
      </c>
      <c r="AO50" s="24">
        <f ca="1">INDIRECT("'("&amp;$A$4&amp;")'!ao50")</f>
        <v>0</v>
      </c>
      <c r="AP50" s="24">
        <f ca="1">INDIRECT("'("&amp;$A$4&amp;")'!ap50")</f>
        <v>1</v>
      </c>
      <c r="AQ50" s="24">
        <f ca="1">INDIRECT("'("&amp;$A$4&amp;")'!aq50")</f>
        <v>16</v>
      </c>
      <c r="AR50" s="46">
        <f t="shared" ca="1" si="48"/>
        <v>4.6511627906976744E-2</v>
      </c>
      <c r="AS50" s="46">
        <f t="shared" ca="1" si="49"/>
        <v>0.2711864406779661</v>
      </c>
      <c r="AT50" s="24"/>
      <c r="AU50" s="22">
        <f t="shared" ca="1" si="50"/>
        <v>93</v>
      </c>
      <c r="AV50" s="22">
        <f t="shared" ca="1" si="51"/>
        <v>4</v>
      </c>
      <c r="AW50" s="22">
        <f t="shared" ca="1" si="52"/>
        <v>3</v>
      </c>
      <c r="AX50" s="22">
        <f t="shared" ca="1" si="53"/>
        <v>0</v>
      </c>
      <c r="AY50" s="22">
        <f t="shared" ca="1" si="54"/>
        <v>1</v>
      </c>
      <c r="AZ50" s="22">
        <f t="shared" ca="1" si="55"/>
        <v>83</v>
      </c>
      <c r="BA50" s="46">
        <f t="shared" ca="1" si="56"/>
        <v>7.9207920792079209E-2</v>
      </c>
      <c r="BB50" s="46">
        <f t="shared" ca="1" si="57"/>
        <v>0.45108695652173914</v>
      </c>
      <c r="BC50" s="19"/>
      <c r="BD50" s="19"/>
      <c r="BE50" s="19"/>
      <c r="BF50" s="19"/>
      <c r="BG50" s="19"/>
      <c r="BH50" s="19"/>
      <c r="BI50" s="19"/>
      <c r="BJ50" s="19"/>
      <c r="BK50" s="19"/>
    </row>
    <row r="51" spans="1:63" s="8" customFormat="1" ht="15" customHeight="1" x14ac:dyDescent="0.35">
      <c r="A51" s="2" t="s">
        <v>58</v>
      </c>
      <c r="B51" s="24">
        <f ca="1">INDIRECT("'("&amp;$A$4&amp;")'!b51")</f>
        <v>45</v>
      </c>
      <c r="C51" s="24">
        <f ca="1">INDIRECT("'("&amp;$A$4&amp;")'!c51")</f>
        <v>3</v>
      </c>
      <c r="D51" s="24">
        <f ca="1">INDIRECT("'("&amp;$A$4&amp;")'!d51")</f>
        <v>0</v>
      </c>
      <c r="E51" s="24">
        <f ca="1">INDIRECT("'("&amp;$A$4&amp;")'!e51")</f>
        <v>0</v>
      </c>
      <c r="F51" s="24">
        <f ca="1">INDIRECT("'("&amp;$A$4&amp;")'!f51")</f>
        <v>1</v>
      </c>
      <c r="G51" s="24">
        <f ca="1">INDIRECT("'("&amp;$A$4&amp;")'!g51")</f>
        <v>2</v>
      </c>
      <c r="H51" s="46">
        <f t="shared" ca="1" si="19"/>
        <v>8.1632653061224483E-2</v>
      </c>
      <c r="I51" s="46">
        <f t="shared" ca="1" si="20"/>
        <v>3.9215686274509803E-2</v>
      </c>
      <c r="J51" s="24"/>
      <c r="K51" s="24">
        <f ca="1">INDIRECT("'("&amp;$A$4&amp;")'!k51")</f>
        <v>21</v>
      </c>
      <c r="L51" s="24">
        <f ca="1">INDIRECT("'("&amp;$A$4&amp;")'!l51")</f>
        <v>2</v>
      </c>
      <c r="M51" s="24">
        <f ca="1">INDIRECT("'("&amp;$A$4&amp;")'!m51")</f>
        <v>0</v>
      </c>
      <c r="N51" s="24">
        <f ca="1">INDIRECT("'("&amp;$A$4&amp;")'!n51")</f>
        <v>0</v>
      </c>
      <c r="O51" s="24">
        <f ca="1">INDIRECT("'("&amp;$A$4&amp;")'!o51")</f>
        <v>1</v>
      </c>
      <c r="P51" s="24">
        <f ca="1">INDIRECT("'("&amp;$A$4&amp;")'!p51")</f>
        <v>1</v>
      </c>
      <c r="Q51" s="46">
        <f t="shared" ca="1" si="26"/>
        <v>0.125</v>
      </c>
      <c r="R51" s="46">
        <f t="shared" ca="1" si="27"/>
        <v>0.04</v>
      </c>
      <c r="S51" s="24"/>
      <c r="T51" s="22">
        <f t="shared" ca="1" si="28"/>
        <v>66</v>
      </c>
      <c r="U51" s="22">
        <f t="shared" ca="1" si="29"/>
        <v>5</v>
      </c>
      <c r="V51" s="22">
        <f t="shared" ca="1" si="30"/>
        <v>0</v>
      </c>
      <c r="W51" s="22">
        <f t="shared" ca="1" si="31"/>
        <v>0</v>
      </c>
      <c r="X51" s="22">
        <f t="shared" ca="1" si="32"/>
        <v>2</v>
      </c>
      <c r="Y51" s="22">
        <f t="shared" ca="1" si="33"/>
        <v>3</v>
      </c>
      <c r="Z51" s="46">
        <f t="shared" ca="1" si="34"/>
        <v>9.5890410958904104E-2</v>
      </c>
      <c r="AA51" s="46">
        <f t="shared" ca="1" si="35"/>
        <v>3.9473684210526314E-2</v>
      </c>
      <c r="AB51" s="24"/>
      <c r="AC51" s="24">
        <f ca="1">INDIRECT("'("&amp;$A$4&amp;")'!ac51")</f>
        <v>7</v>
      </c>
      <c r="AD51" s="24">
        <f ca="1">INDIRECT("'("&amp;$A$4&amp;")'!ad51")</f>
        <v>0</v>
      </c>
      <c r="AE51" s="24">
        <f ca="1">INDIRECT("'("&amp;$A$4&amp;")'!ae51")</f>
        <v>0</v>
      </c>
      <c r="AF51" s="24">
        <f ca="1">INDIRECT("'("&amp;$A$4&amp;")'!af51")</f>
        <v>0</v>
      </c>
      <c r="AG51" s="24">
        <f ca="1">INDIRECT("'("&amp;$A$4&amp;")'!ag51")</f>
        <v>0</v>
      </c>
      <c r="AH51" s="24">
        <f ca="1">INDIRECT("'("&amp;$A$4&amp;")'!ah51")</f>
        <v>0</v>
      </c>
      <c r="AI51" s="46">
        <f t="shared" ca="1" si="41"/>
        <v>0</v>
      </c>
      <c r="AJ51" s="46">
        <f t="shared" ca="1" si="42"/>
        <v>0</v>
      </c>
      <c r="AK51" s="24"/>
      <c r="AL51" s="24">
        <f ca="1">INDIRECT("'("&amp;$A$4&amp;")'!al51")</f>
        <v>49</v>
      </c>
      <c r="AM51" s="24">
        <f ca="1">INDIRECT("'("&amp;$A$4&amp;")'!am51")</f>
        <v>0</v>
      </c>
      <c r="AN51" s="24">
        <f ca="1">INDIRECT("'("&amp;$A$4&amp;")'!an51")</f>
        <v>0</v>
      </c>
      <c r="AO51" s="24">
        <f ca="1">INDIRECT("'("&amp;$A$4&amp;")'!ao51")</f>
        <v>1</v>
      </c>
      <c r="AP51" s="24">
        <f ca="1">INDIRECT("'("&amp;$A$4&amp;")'!ap51")</f>
        <v>0</v>
      </c>
      <c r="AQ51" s="24">
        <f ca="1">INDIRECT("'("&amp;$A$4&amp;")'!aq51")</f>
        <v>5</v>
      </c>
      <c r="AR51" s="46">
        <f t="shared" ca="1" si="48"/>
        <v>0.02</v>
      </c>
      <c r="AS51" s="46">
        <f t="shared" ca="1" si="49"/>
        <v>9.0909090909090912E-2</v>
      </c>
      <c r="AT51" s="24"/>
      <c r="AU51" s="22">
        <f t="shared" ca="1" si="50"/>
        <v>122</v>
      </c>
      <c r="AV51" s="22">
        <f t="shared" ca="1" si="51"/>
        <v>5</v>
      </c>
      <c r="AW51" s="22">
        <f t="shared" ca="1" si="52"/>
        <v>0</v>
      </c>
      <c r="AX51" s="22">
        <f t="shared" ca="1" si="53"/>
        <v>1</v>
      </c>
      <c r="AY51" s="22">
        <f t="shared" ca="1" si="54"/>
        <v>2</v>
      </c>
      <c r="AZ51" s="22">
        <f t="shared" ca="1" si="55"/>
        <v>8</v>
      </c>
      <c r="BA51" s="46">
        <f t="shared" ca="1" si="56"/>
        <v>6.1538461538461542E-2</v>
      </c>
      <c r="BB51" s="46">
        <f t="shared" ca="1" si="57"/>
        <v>5.7971014492753624E-2</v>
      </c>
      <c r="BC51" s="19"/>
      <c r="BD51" s="19"/>
      <c r="BE51" s="19"/>
      <c r="BF51" s="19"/>
      <c r="BG51" s="19"/>
      <c r="BH51" s="19"/>
      <c r="BI51" s="19"/>
      <c r="BJ51" s="19"/>
      <c r="BK51" s="19"/>
    </row>
    <row r="52" spans="1:63" s="8" customFormat="1" ht="15" customHeight="1" x14ac:dyDescent="0.35">
      <c r="A52" s="2" t="s">
        <v>59</v>
      </c>
      <c r="B52" s="24">
        <f ca="1">INDIRECT("'("&amp;$A$4&amp;")'!b52")</f>
        <v>17</v>
      </c>
      <c r="C52" s="24">
        <f ca="1">INDIRECT("'("&amp;$A$4&amp;")'!c52")</f>
        <v>3</v>
      </c>
      <c r="D52" s="24">
        <f ca="1">INDIRECT("'("&amp;$A$4&amp;")'!d52")</f>
        <v>0</v>
      </c>
      <c r="E52" s="24">
        <f ca="1">INDIRECT("'("&amp;$A$4&amp;")'!e52")</f>
        <v>2</v>
      </c>
      <c r="F52" s="24">
        <f ca="1">INDIRECT("'("&amp;$A$4&amp;")'!f52")</f>
        <v>1</v>
      </c>
      <c r="G52" s="24">
        <f ca="1">INDIRECT("'("&amp;$A$4&amp;")'!g52")</f>
        <v>0</v>
      </c>
      <c r="H52" s="46">
        <f t="shared" ca="1" si="19"/>
        <v>0.2608695652173913</v>
      </c>
      <c r="I52" s="46">
        <f t="shared" ca="1" si="20"/>
        <v>0</v>
      </c>
      <c r="J52" s="24"/>
      <c r="K52" s="24">
        <f ca="1">INDIRECT("'("&amp;$A$4&amp;")'!k52")</f>
        <v>1</v>
      </c>
      <c r="L52" s="24">
        <f ca="1">INDIRECT("'("&amp;$A$4&amp;")'!l52")</f>
        <v>0</v>
      </c>
      <c r="M52" s="24">
        <f ca="1">INDIRECT("'("&amp;$A$4&amp;")'!m52")</f>
        <v>0</v>
      </c>
      <c r="N52" s="24">
        <f ca="1">INDIRECT("'("&amp;$A$4&amp;")'!n52")</f>
        <v>0</v>
      </c>
      <c r="O52" s="24">
        <f ca="1">INDIRECT("'("&amp;$A$4&amp;")'!o52")</f>
        <v>0</v>
      </c>
      <c r="P52" s="24">
        <f ca="1">INDIRECT("'("&amp;$A$4&amp;")'!p52")</f>
        <v>0</v>
      </c>
      <c r="Q52" s="46">
        <f t="shared" ca="1" si="26"/>
        <v>0</v>
      </c>
      <c r="R52" s="46">
        <f t="shared" ca="1" si="27"/>
        <v>0</v>
      </c>
      <c r="S52" s="24"/>
      <c r="T52" s="22">
        <f t="shared" ca="1" si="28"/>
        <v>18</v>
      </c>
      <c r="U52" s="22">
        <f t="shared" ca="1" si="29"/>
        <v>3</v>
      </c>
      <c r="V52" s="22">
        <f t="shared" ca="1" si="30"/>
        <v>0</v>
      </c>
      <c r="W52" s="22">
        <f t="shared" ca="1" si="31"/>
        <v>2</v>
      </c>
      <c r="X52" s="22">
        <f t="shared" ca="1" si="32"/>
        <v>1</v>
      </c>
      <c r="Y52" s="22">
        <f t="shared" ca="1" si="33"/>
        <v>0</v>
      </c>
      <c r="Z52" s="46">
        <f t="shared" ca="1" si="34"/>
        <v>0.25</v>
      </c>
      <c r="AA52" s="46">
        <f t="shared" ca="1" si="35"/>
        <v>0</v>
      </c>
      <c r="AB52" s="24"/>
      <c r="AC52" s="24">
        <f ca="1">INDIRECT("'("&amp;$A$4&amp;")'!ac52")</f>
        <v>0</v>
      </c>
      <c r="AD52" s="24">
        <f ca="1">INDIRECT("'("&amp;$A$4&amp;")'!ad52")</f>
        <v>0</v>
      </c>
      <c r="AE52" s="24">
        <f ca="1">INDIRECT("'("&amp;$A$4&amp;")'!ae52")</f>
        <v>0</v>
      </c>
      <c r="AF52" s="24">
        <f ca="1">INDIRECT("'("&amp;$A$4&amp;")'!af52")</f>
        <v>0</v>
      </c>
      <c r="AG52" s="24">
        <f ca="1">INDIRECT("'("&amp;$A$4&amp;")'!ag52")</f>
        <v>0</v>
      </c>
      <c r="AH52" s="24">
        <f ca="1">INDIRECT("'("&amp;$A$4&amp;")'!ah52")</f>
        <v>0</v>
      </c>
      <c r="AI52" s="46" t="str">
        <f t="shared" ca="1" si="41"/>
        <v>-</v>
      </c>
      <c r="AJ52" s="46" t="str">
        <f t="shared" ca="1" si="42"/>
        <v>-</v>
      </c>
      <c r="AK52" s="24"/>
      <c r="AL52" s="24">
        <f ca="1">INDIRECT("'("&amp;$A$4&amp;")'!al52")</f>
        <v>16</v>
      </c>
      <c r="AM52" s="24">
        <f ca="1">INDIRECT("'("&amp;$A$4&amp;")'!am52")</f>
        <v>0</v>
      </c>
      <c r="AN52" s="24">
        <f ca="1">INDIRECT("'("&amp;$A$4&amp;")'!an52")</f>
        <v>0</v>
      </c>
      <c r="AO52" s="24">
        <f ca="1">INDIRECT("'("&amp;$A$4&amp;")'!ao52")</f>
        <v>1</v>
      </c>
      <c r="AP52" s="24">
        <f ca="1">INDIRECT("'("&amp;$A$4&amp;")'!ap52")</f>
        <v>0</v>
      </c>
      <c r="AQ52" s="24">
        <f ca="1">INDIRECT("'("&amp;$A$4&amp;")'!aq52")</f>
        <v>0</v>
      </c>
      <c r="AR52" s="46">
        <f t="shared" ca="1" si="48"/>
        <v>5.8823529411764705E-2</v>
      </c>
      <c r="AS52" s="46">
        <f t="shared" ca="1" si="49"/>
        <v>0</v>
      </c>
      <c r="AT52" s="24"/>
      <c r="AU52" s="22">
        <f t="shared" ca="1" si="50"/>
        <v>34</v>
      </c>
      <c r="AV52" s="22">
        <f t="shared" ca="1" si="51"/>
        <v>3</v>
      </c>
      <c r="AW52" s="22">
        <f t="shared" ca="1" si="52"/>
        <v>0</v>
      </c>
      <c r="AX52" s="22">
        <f t="shared" ca="1" si="53"/>
        <v>3</v>
      </c>
      <c r="AY52" s="22">
        <f t="shared" ca="1" si="54"/>
        <v>1</v>
      </c>
      <c r="AZ52" s="22">
        <f t="shared" ca="1" si="55"/>
        <v>0</v>
      </c>
      <c r="BA52" s="46">
        <f t="shared" ca="1" si="56"/>
        <v>0.17073170731707318</v>
      </c>
      <c r="BB52" s="46">
        <f t="shared" ca="1" si="57"/>
        <v>0</v>
      </c>
      <c r="BC52" s="19"/>
      <c r="BD52" s="19"/>
      <c r="BE52" s="19"/>
      <c r="BF52" s="19"/>
      <c r="BG52" s="19"/>
      <c r="BH52" s="19"/>
      <c r="BI52" s="19"/>
      <c r="BJ52" s="19"/>
      <c r="BK52" s="19"/>
    </row>
    <row r="53" spans="1:63" s="8" customFormat="1" ht="15" customHeight="1" x14ac:dyDescent="0.35">
      <c r="A53" s="2" t="s">
        <v>60</v>
      </c>
      <c r="B53" s="24">
        <f ca="1">INDIRECT("'("&amp;$A$4&amp;")'!b53")</f>
        <v>25</v>
      </c>
      <c r="C53" s="24">
        <f ca="1">INDIRECT("'("&amp;$A$4&amp;")'!c53")</f>
        <v>0</v>
      </c>
      <c r="D53" s="24">
        <f ca="1">INDIRECT("'("&amp;$A$4&amp;")'!d53")</f>
        <v>1</v>
      </c>
      <c r="E53" s="24">
        <f ca="1">INDIRECT("'("&amp;$A$4&amp;")'!e53")</f>
        <v>0</v>
      </c>
      <c r="F53" s="24">
        <f ca="1">INDIRECT("'("&amp;$A$4&amp;")'!f53")</f>
        <v>0</v>
      </c>
      <c r="G53" s="24">
        <f ca="1">INDIRECT("'("&amp;$A$4&amp;")'!g53")</f>
        <v>0</v>
      </c>
      <c r="H53" s="46">
        <f t="shared" ca="1" si="19"/>
        <v>3.8461538461538464E-2</v>
      </c>
      <c r="I53" s="46">
        <f t="shared" ca="1" si="20"/>
        <v>0</v>
      </c>
      <c r="J53" s="24"/>
      <c r="K53" s="24">
        <f ca="1">INDIRECT("'("&amp;$A$4&amp;")'!k53")</f>
        <v>0</v>
      </c>
      <c r="L53" s="24">
        <f ca="1">INDIRECT("'("&amp;$A$4&amp;")'!l53")</f>
        <v>0</v>
      </c>
      <c r="M53" s="24">
        <f ca="1">INDIRECT("'("&amp;$A$4&amp;")'!m53")</f>
        <v>0</v>
      </c>
      <c r="N53" s="24">
        <f ca="1">INDIRECT("'("&amp;$A$4&amp;")'!n53")</f>
        <v>0</v>
      </c>
      <c r="O53" s="24">
        <f ca="1">INDIRECT("'("&amp;$A$4&amp;")'!o53")</f>
        <v>0</v>
      </c>
      <c r="P53" s="24">
        <f ca="1">INDIRECT("'("&amp;$A$4&amp;")'!p53")</f>
        <v>0</v>
      </c>
      <c r="Q53" s="46" t="str">
        <f t="shared" ca="1" si="26"/>
        <v>-</v>
      </c>
      <c r="R53" s="46" t="str">
        <f t="shared" ca="1" si="27"/>
        <v>-</v>
      </c>
      <c r="S53" s="24"/>
      <c r="T53" s="22">
        <f t="shared" ca="1" si="28"/>
        <v>25</v>
      </c>
      <c r="U53" s="22">
        <f t="shared" ca="1" si="29"/>
        <v>0</v>
      </c>
      <c r="V53" s="22">
        <f t="shared" ca="1" si="30"/>
        <v>1</v>
      </c>
      <c r="W53" s="22">
        <f t="shared" ca="1" si="31"/>
        <v>0</v>
      </c>
      <c r="X53" s="22">
        <f t="shared" ca="1" si="32"/>
        <v>0</v>
      </c>
      <c r="Y53" s="22">
        <f t="shared" ca="1" si="33"/>
        <v>0</v>
      </c>
      <c r="Z53" s="46">
        <f t="shared" ca="1" si="34"/>
        <v>3.8461538461538464E-2</v>
      </c>
      <c r="AA53" s="46">
        <f t="shared" ca="1" si="35"/>
        <v>0</v>
      </c>
      <c r="AB53" s="24"/>
      <c r="AC53" s="24">
        <f ca="1">INDIRECT("'("&amp;$A$4&amp;")'!ac53")</f>
        <v>5</v>
      </c>
      <c r="AD53" s="24">
        <f ca="1">INDIRECT("'("&amp;$A$4&amp;")'!ad53")</f>
        <v>0</v>
      </c>
      <c r="AE53" s="24">
        <f ca="1">INDIRECT("'("&amp;$A$4&amp;")'!ae53")</f>
        <v>0</v>
      </c>
      <c r="AF53" s="24">
        <f ca="1">INDIRECT("'("&amp;$A$4&amp;")'!af53")</f>
        <v>0</v>
      </c>
      <c r="AG53" s="24">
        <f ca="1">INDIRECT("'("&amp;$A$4&amp;")'!ag53")</f>
        <v>0</v>
      </c>
      <c r="AH53" s="24">
        <f ca="1">INDIRECT("'("&amp;$A$4&amp;")'!ah53")</f>
        <v>0</v>
      </c>
      <c r="AI53" s="46">
        <f t="shared" ca="1" si="41"/>
        <v>0</v>
      </c>
      <c r="AJ53" s="46">
        <f t="shared" ca="1" si="42"/>
        <v>0</v>
      </c>
      <c r="AK53" s="24"/>
      <c r="AL53" s="24">
        <f ca="1">INDIRECT("'("&amp;$A$4&amp;")'!al53")</f>
        <v>30</v>
      </c>
      <c r="AM53" s="24">
        <f ca="1">INDIRECT("'("&amp;$A$4&amp;")'!am53")</f>
        <v>0</v>
      </c>
      <c r="AN53" s="24">
        <f ca="1">INDIRECT("'("&amp;$A$4&amp;")'!an53")</f>
        <v>0</v>
      </c>
      <c r="AO53" s="24">
        <f ca="1">INDIRECT("'("&amp;$A$4&amp;")'!ao53")</f>
        <v>1</v>
      </c>
      <c r="AP53" s="24">
        <f ca="1">INDIRECT("'("&amp;$A$4&amp;")'!ap53")</f>
        <v>0</v>
      </c>
      <c r="AQ53" s="24">
        <f ca="1">INDIRECT("'("&amp;$A$4&amp;")'!aq53")</f>
        <v>0</v>
      </c>
      <c r="AR53" s="46">
        <f t="shared" ca="1" si="48"/>
        <v>3.2258064516129031E-2</v>
      </c>
      <c r="AS53" s="46">
        <f t="shared" ca="1" si="49"/>
        <v>0</v>
      </c>
      <c r="AT53" s="24"/>
      <c r="AU53" s="22">
        <f t="shared" ca="1" si="50"/>
        <v>60</v>
      </c>
      <c r="AV53" s="22">
        <f t="shared" ca="1" si="51"/>
        <v>0</v>
      </c>
      <c r="AW53" s="22">
        <f t="shared" ca="1" si="52"/>
        <v>1</v>
      </c>
      <c r="AX53" s="22">
        <f t="shared" ca="1" si="53"/>
        <v>1</v>
      </c>
      <c r="AY53" s="22">
        <f t="shared" ca="1" si="54"/>
        <v>0</v>
      </c>
      <c r="AZ53" s="22">
        <f t="shared" ca="1" si="55"/>
        <v>0</v>
      </c>
      <c r="BA53" s="46">
        <f t="shared" ca="1" si="56"/>
        <v>3.2258064516129031E-2</v>
      </c>
      <c r="BB53" s="46">
        <f t="shared" ca="1" si="57"/>
        <v>0</v>
      </c>
      <c r="BC53" s="19"/>
      <c r="BD53" s="19"/>
      <c r="BE53" s="19"/>
      <c r="BF53" s="19"/>
      <c r="BG53" s="19"/>
      <c r="BH53" s="19"/>
      <c r="BI53" s="19"/>
      <c r="BJ53" s="19"/>
      <c r="BK53" s="19"/>
    </row>
    <row r="54" spans="1:63" s="8" customFormat="1" ht="15" customHeight="1" x14ac:dyDescent="0.35">
      <c r="A54" s="2" t="s">
        <v>61</v>
      </c>
      <c r="B54" s="24">
        <f ca="1">INDIRECT("'("&amp;$A$4&amp;")'!b54")</f>
        <v>66</v>
      </c>
      <c r="C54" s="24">
        <f ca="1">INDIRECT("'("&amp;$A$4&amp;")'!c54")</f>
        <v>8</v>
      </c>
      <c r="D54" s="24">
        <f ca="1">INDIRECT("'("&amp;$A$4&amp;")'!d54")</f>
        <v>5</v>
      </c>
      <c r="E54" s="24">
        <f ca="1">INDIRECT("'("&amp;$A$4&amp;")'!e54")</f>
        <v>8</v>
      </c>
      <c r="F54" s="24">
        <f ca="1">INDIRECT("'("&amp;$A$4&amp;")'!f54")</f>
        <v>0</v>
      </c>
      <c r="G54" s="24">
        <f ca="1">INDIRECT("'("&amp;$A$4&amp;")'!g54")</f>
        <v>3</v>
      </c>
      <c r="H54" s="46">
        <f t="shared" ca="1" si="19"/>
        <v>0.2413793103448276</v>
      </c>
      <c r="I54" s="46">
        <f t="shared" ca="1" si="20"/>
        <v>3.3333333333333333E-2</v>
      </c>
      <c r="J54" s="24"/>
      <c r="K54" s="24">
        <f ca="1">INDIRECT("'("&amp;$A$4&amp;")'!k54")</f>
        <v>0</v>
      </c>
      <c r="L54" s="24">
        <f ca="1">INDIRECT("'("&amp;$A$4&amp;")'!l54")</f>
        <v>0</v>
      </c>
      <c r="M54" s="24">
        <f ca="1">INDIRECT("'("&amp;$A$4&amp;")'!m54")</f>
        <v>0</v>
      </c>
      <c r="N54" s="24">
        <f ca="1">INDIRECT("'("&amp;$A$4&amp;")'!n54")</f>
        <v>0</v>
      </c>
      <c r="O54" s="24">
        <f ca="1">INDIRECT("'("&amp;$A$4&amp;")'!o54")</f>
        <v>0</v>
      </c>
      <c r="P54" s="24">
        <f ca="1">INDIRECT("'("&amp;$A$4&amp;")'!p54")</f>
        <v>0</v>
      </c>
      <c r="Q54" s="46" t="str">
        <f t="shared" ca="1" si="26"/>
        <v>-</v>
      </c>
      <c r="R54" s="46" t="str">
        <f t="shared" ca="1" si="27"/>
        <v>-</v>
      </c>
      <c r="S54" s="24"/>
      <c r="T54" s="22">
        <f t="shared" ca="1" si="28"/>
        <v>66</v>
      </c>
      <c r="U54" s="22">
        <f t="shared" ca="1" si="29"/>
        <v>8</v>
      </c>
      <c r="V54" s="22">
        <f t="shared" ca="1" si="30"/>
        <v>5</v>
      </c>
      <c r="W54" s="22">
        <f t="shared" ca="1" si="31"/>
        <v>8</v>
      </c>
      <c r="X54" s="22">
        <f t="shared" ca="1" si="32"/>
        <v>0</v>
      </c>
      <c r="Y54" s="22">
        <f t="shared" ca="1" si="33"/>
        <v>3</v>
      </c>
      <c r="Z54" s="46">
        <f t="shared" ca="1" si="34"/>
        <v>0.2413793103448276</v>
      </c>
      <c r="AA54" s="46">
        <f t="shared" ca="1" si="35"/>
        <v>3.3333333333333333E-2</v>
      </c>
      <c r="AB54" s="24"/>
      <c r="AC54" s="24">
        <f ca="1">INDIRECT("'("&amp;$A$4&amp;")'!ac54")</f>
        <v>0</v>
      </c>
      <c r="AD54" s="24">
        <f ca="1">INDIRECT("'("&amp;$A$4&amp;")'!ad54")</f>
        <v>0</v>
      </c>
      <c r="AE54" s="24">
        <f ca="1">INDIRECT("'("&amp;$A$4&amp;")'!ae54")</f>
        <v>0</v>
      </c>
      <c r="AF54" s="24">
        <f ca="1">INDIRECT("'("&amp;$A$4&amp;")'!af54")</f>
        <v>0</v>
      </c>
      <c r="AG54" s="24">
        <f ca="1">INDIRECT("'("&amp;$A$4&amp;")'!ag54")</f>
        <v>0</v>
      </c>
      <c r="AH54" s="24">
        <f ca="1">INDIRECT("'("&amp;$A$4&amp;")'!ah54")</f>
        <v>0</v>
      </c>
      <c r="AI54" s="46" t="str">
        <f t="shared" ca="1" si="41"/>
        <v>-</v>
      </c>
      <c r="AJ54" s="46" t="str">
        <f t="shared" ca="1" si="42"/>
        <v>-</v>
      </c>
      <c r="AK54" s="24"/>
      <c r="AL54" s="24">
        <f ca="1">INDIRECT("'("&amp;$A$4&amp;")'!al54")</f>
        <v>12</v>
      </c>
      <c r="AM54" s="24">
        <f ca="1">INDIRECT("'("&amp;$A$4&amp;")'!am54")</f>
        <v>2</v>
      </c>
      <c r="AN54" s="24">
        <f ca="1">INDIRECT("'("&amp;$A$4&amp;")'!an54")</f>
        <v>3</v>
      </c>
      <c r="AO54" s="24">
        <f ca="1">INDIRECT("'("&amp;$A$4&amp;")'!ao54")</f>
        <v>1</v>
      </c>
      <c r="AP54" s="24">
        <f ca="1">INDIRECT("'("&amp;$A$4&amp;")'!ap54")</f>
        <v>0</v>
      </c>
      <c r="AQ54" s="24">
        <f ca="1">INDIRECT("'("&amp;$A$4&amp;")'!aq54")</f>
        <v>2</v>
      </c>
      <c r="AR54" s="46">
        <f t="shared" ca="1" si="48"/>
        <v>0.33333333333333331</v>
      </c>
      <c r="AS54" s="46">
        <f t="shared" ca="1" si="49"/>
        <v>0.1</v>
      </c>
      <c r="AT54" s="24"/>
      <c r="AU54" s="22">
        <f t="shared" ca="1" si="50"/>
        <v>78</v>
      </c>
      <c r="AV54" s="22">
        <f t="shared" ca="1" si="51"/>
        <v>10</v>
      </c>
      <c r="AW54" s="22">
        <f t="shared" ca="1" si="52"/>
        <v>8</v>
      </c>
      <c r="AX54" s="22">
        <f t="shared" ca="1" si="53"/>
        <v>9</v>
      </c>
      <c r="AY54" s="22">
        <f t="shared" ca="1" si="54"/>
        <v>0</v>
      </c>
      <c r="AZ54" s="22">
        <f t="shared" ca="1" si="55"/>
        <v>5</v>
      </c>
      <c r="BA54" s="46">
        <f t="shared" ca="1" si="56"/>
        <v>0.25714285714285712</v>
      </c>
      <c r="BB54" s="46">
        <f t="shared" ca="1" si="57"/>
        <v>4.5454545454545456E-2</v>
      </c>
      <c r="BC54" s="19"/>
      <c r="BD54" s="19"/>
      <c r="BE54" s="19"/>
      <c r="BF54" s="19"/>
      <c r="BG54" s="19"/>
      <c r="BH54" s="19"/>
      <c r="BI54" s="19"/>
      <c r="BJ54" s="19"/>
      <c r="BK54" s="19"/>
    </row>
    <row r="55" spans="1:63" s="8" customFormat="1" ht="15" customHeight="1" x14ac:dyDescent="0.35">
      <c r="A55" s="2" t="s">
        <v>62</v>
      </c>
      <c r="B55" s="24">
        <f ca="1">INDIRECT("'("&amp;$A$4&amp;")'!b55")</f>
        <v>62</v>
      </c>
      <c r="C55" s="24">
        <f ca="1">INDIRECT("'("&amp;$A$4&amp;")'!c55")</f>
        <v>2</v>
      </c>
      <c r="D55" s="24">
        <f ca="1">INDIRECT("'("&amp;$A$4&amp;")'!d55")</f>
        <v>1</v>
      </c>
      <c r="E55" s="24">
        <f ca="1">INDIRECT("'("&amp;$A$4&amp;")'!e55")</f>
        <v>1</v>
      </c>
      <c r="F55" s="24">
        <f ca="1">INDIRECT("'("&amp;$A$4&amp;")'!f55")</f>
        <v>0</v>
      </c>
      <c r="G55" s="24">
        <f ca="1">INDIRECT("'("&amp;$A$4&amp;")'!g55")</f>
        <v>0</v>
      </c>
      <c r="H55" s="46">
        <f t="shared" ca="1" si="19"/>
        <v>6.0606060606060608E-2</v>
      </c>
      <c r="I55" s="46">
        <f t="shared" ca="1" si="20"/>
        <v>0</v>
      </c>
      <c r="J55" s="24"/>
      <c r="K55" s="24">
        <f ca="1">INDIRECT("'("&amp;$A$4&amp;")'!k55")</f>
        <v>20</v>
      </c>
      <c r="L55" s="24">
        <f ca="1">INDIRECT("'("&amp;$A$4&amp;")'!l55")</f>
        <v>0</v>
      </c>
      <c r="M55" s="24">
        <f ca="1">INDIRECT("'("&amp;$A$4&amp;")'!m55")</f>
        <v>0</v>
      </c>
      <c r="N55" s="24">
        <f ca="1">INDIRECT("'("&amp;$A$4&amp;")'!n55")</f>
        <v>2</v>
      </c>
      <c r="O55" s="24">
        <f ca="1">INDIRECT("'("&amp;$A$4&amp;")'!o55")</f>
        <v>0</v>
      </c>
      <c r="P55" s="24">
        <f ca="1">INDIRECT("'("&amp;$A$4&amp;")'!p55")</f>
        <v>0</v>
      </c>
      <c r="Q55" s="46">
        <f t="shared" ca="1" si="26"/>
        <v>9.0909090909090912E-2</v>
      </c>
      <c r="R55" s="46">
        <f t="shared" ca="1" si="27"/>
        <v>0</v>
      </c>
      <c r="S55" s="24"/>
      <c r="T55" s="22">
        <f t="shared" ca="1" si="28"/>
        <v>82</v>
      </c>
      <c r="U55" s="22">
        <f t="shared" ca="1" si="29"/>
        <v>2</v>
      </c>
      <c r="V55" s="22">
        <f t="shared" ca="1" si="30"/>
        <v>1</v>
      </c>
      <c r="W55" s="22">
        <f t="shared" ca="1" si="31"/>
        <v>3</v>
      </c>
      <c r="X55" s="22">
        <f t="shared" ca="1" si="32"/>
        <v>0</v>
      </c>
      <c r="Y55" s="22">
        <f t="shared" ca="1" si="33"/>
        <v>0</v>
      </c>
      <c r="Z55" s="46">
        <f t="shared" ca="1" si="34"/>
        <v>6.8181818181818177E-2</v>
      </c>
      <c r="AA55" s="46">
        <f t="shared" ca="1" si="35"/>
        <v>0</v>
      </c>
      <c r="AB55" s="24"/>
      <c r="AC55" s="24">
        <f ca="1">INDIRECT("'("&amp;$A$4&amp;")'!ac55")</f>
        <v>4</v>
      </c>
      <c r="AD55" s="24">
        <f ca="1">INDIRECT("'("&amp;$A$4&amp;")'!ad55")</f>
        <v>1</v>
      </c>
      <c r="AE55" s="24">
        <f ca="1">INDIRECT("'("&amp;$A$4&amp;")'!ae55")</f>
        <v>0</v>
      </c>
      <c r="AF55" s="24">
        <f ca="1">INDIRECT("'("&amp;$A$4&amp;")'!af55")</f>
        <v>0</v>
      </c>
      <c r="AG55" s="24">
        <f ca="1">INDIRECT("'("&amp;$A$4&amp;")'!ag55")</f>
        <v>0</v>
      </c>
      <c r="AH55" s="24">
        <f ca="1">INDIRECT("'("&amp;$A$4&amp;")'!ah55")</f>
        <v>0</v>
      </c>
      <c r="AI55" s="46">
        <f t="shared" ca="1" si="41"/>
        <v>0.2</v>
      </c>
      <c r="AJ55" s="46">
        <f t="shared" ca="1" si="42"/>
        <v>0</v>
      </c>
      <c r="AK55" s="24"/>
      <c r="AL55" s="24">
        <f ca="1">INDIRECT("'("&amp;$A$4&amp;")'!al55")</f>
        <v>33</v>
      </c>
      <c r="AM55" s="24">
        <f ca="1">INDIRECT("'("&amp;$A$4&amp;")'!am55")</f>
        <v>0</v>
      </c>
      <c r="AN55" s="24">
        <f ca="1">INDIRECT("'("&amp;$A$4&amp;")'!an55")</f>
        <v>6</v>
      </c>
      <c r="AO55" s="24">
        <f ca="1">INDIRECT("'("&amp;$A$4&amp;")'!ao55")</f>
        <v>1</v>
      </c>
      <c r="AP55" s="24">
        <f ca="1">INDIRECT("'("&amp;$A$4&amp;")'!ap55")</f>
        <v>0</v>
      </c>
      <c r="AQ55" s="24">
        <f ca="1">INDIRECT("'("&amp;$A$4&amp;")'!aq55")</f>
        <v>4</v>
      </c>
      <c r="AR55" s="46">
        <f t="shared" ca="1" si="48"/>
        <v>0.17499999999999999</v>
      </c>
      <c r="AS55" s="46">
        <f t="shared" ca="1" si="49"/>
        <v>9.0909090909090912E-2</v>
      </c>
      <c r="AT55" s="24"/>
      <c r="AU55" s="22">
        <f t="shared" ca="1" si="50"/>
        <v>119</v>
      </c>
      <c r="AV55" s="22">
        <f t="shared" ca="1" si="51"/>
        <v>3</v>
      </c>
      <c r="AW55" s="22">
        <f t="shared" ca="1" si="52"/>
        <v>7</v>
      </c>
      <c r="AX55" s="22">
        <f t="shared" ca="1" si="53"/>
        <v>4</v>
      </c>
      <c r="AY55" s="22">
        <f t="shared" ca="1" si="54"/>
        <v>0</v>
      </c>
      <c r="AZ55" s="22">
        <f t="shared" ca="1" si="55"/>
        <v>4</v>
      </c>
      <c r="BA55" s="46">
        <f t="shared" ca="1" si="56"/>
        <v>0.10526315789473684</v>
      </c>
      <c r="BB55" s="46">
        <f t="shared" ca="1" si="57"/>
        <v>2.9197080291970802E-2</v>
      </c>
      <c r="BC55" s="19"/>
      <c r="BD55" s="19"/>
      <c r="BE55" s="19"/>
      <c r="BF55" s="19"/>
      <c r="BG55" s="19"/>
      <c r="BH55" s="19"/>
      <c r="BI55" s="19"/>
      <c r="BJ55" s="19"/>
      <c r="BK55" s="19"/>
    </row>
    <row r="56" spans="1:63" s="8" customFormat="1" ht="15" customHeight="1" thickBot="1" x14ac:dyDescent="0.4">
      <c r="A56" s="27" t="s">
        <v>63</v>
      </c>
      <c r="B56" s="24">
        <f ca="1">INDIRECT("'("&amp;$A$4&amp;")'!b56")</f>
        <v>377</v>
      </c>
      <c r="C56" s="24">
        <f ca="1">INDIRECT("'("&amp;$A$4&amp;")'!c56")</f>
        <v>18</v>
      </c>
      <c r="D56" s="24">
        <f ca="1">INDIRECT("'("&amp;$A$4&amp;")'!d56")</f>
        <v>2</v>
      </c>
      <c r="E56" s="24">
        <f ca="1">INDIRECT("'("&amp;$A$4&amp;")'!e56")</f>
        <v>11</v>
      </c>
      <c r="F56" s="24">
        <f ca="1">INDIRECT("'("&amp;$A$4&amp;")'!f56")</f>
        <v>8</v>
      </c>
      <c r="G56" s="24">
        <f ca="1">INDIRECT("'("&amp;$A$4&amp;")'!g56")</f>
        <v>12</v>
      </c>
      <c r="H56" s="46">
        <f t="shared" ca="1" si="19"/>
        <v>9.375E-2</v>
      </c>
      <c r="I56" s="46">
        <f t="shared" ca="1" si="20"/>
        <v>2.8037383177570093E-2</v>
      </c>
      <c r="J56" s="28"/>
      <c r="K56" s="24">
        <f ca="1">INDIRECT("'("&amp;$A$4&amp;")'!k56")</f>
        <v>0</v>
      </c>
      <c r="L56" s="24">
        <f ca="1">INDIRECT("'("&amp;$A$4&amp;")'!l56")</f>
        <v>0</v>
      </c>
      <c r="M56" s="24">
        <f ca="1">INDIRECT("'("&amp;$A$4&amp;")'!m56")</f>
        <v>0</v>
      </c>
      <c r="N56" s="24">
        <f ca="1">INDIRECT("'("&amp;$A$4&amp;")'!n56")</f>
        <v>0</v>
      </c>
      <c r="O56" s="24">
        <f ca="1">INDIRECT("'("&amp;$A$4&amp;")'!o56")</f>
        <v>0</v>
      </c>
      <c r="P56" s="24">
        <f ca="1">INDIRECT("'("&amp;$A$4&amp;")'!p56")</f>
        <v>0</v>
      </c>
      <c r="Q56" s="46" t="str">
        <f t="shared" ca="1" si="26"/>
        <v>-</v>
      </c>
      <c r="R56" s="46" t="str">
        <f t="shared" ca="1" si="27"/>
        <v>-</v>
      </c>
      <c r="S56" s="28"/>
      <c r="T56" s="22">
        <f t="shared" ca="1" si="28"/>
        <v>377</v>
      </c>
      <c r="U56" s="22">
        <f t="shared" ca="1" si="29"/>
        <v>18</v>
      </c>
      <c r="V56" s="22">
        <f t="shared" ca="1" si="30"/>
        <v>2</v>
      </c>
      <c r="W56" s="22">
        <f t="shared" ca="1" si="31"/>
        <v>11</v>
      </c>
      <c r="X56" s="22">
        <f t="shared" ca="1" si="32"/>
        <v>8</v>
      </c>
      <c r="Y56" s="22">
        <f t="shared" ca="1" si="33"/>
        <v>12</v>
      </c>
      <c r="Z56" s="46">
        <f t="shared" ca="1" si="34"/>
        <v>9.375E-2</v>
      </c>
      <c r="AA56" s="46">
        <f t="shared" ca="1" si="35"/>
        <v>2.8037383177570093E-2</v>
      </c>
      <c r="AB56" s="28"/>
      <c r="AC56" s="24">
        <f ca="1">INDIRECT("'("&amp;$A$4&amp;")'!ac56")</f>
        <v>5</v>
      </c>
      <c r="AD56" s="24">
        <f ca="1">INDIRECT("'("&amp;$A$4&amp;")'!ad56")</f>
        <v>0</v>
      </c>
      <c r="AE56" s="24">
        <f ca="1">INDIRECT("'("&amp;$A$4&amp;")'!ae56")</f>
        <v>0</v>
      </c>
      <c r="AF56" s="24">
        <f ca="1">INDIRECT("'("&amp;$A$4&amp;")'!af56")</f>
        <v>0</v>
      </c>
      <c r="AG56" s="24">
        <f ca="1">INDIRECT("'("&amp;$A$4&amp;")'!ag56")</f>
        <v>0</v>
      </c>
      <c r="AH56" s="24">
        <f ca="1">INDIRECT("'("&amp;$A$4&amp;")'!ah56")</f>
        <v>0</v>
      </c>
      <c r="AI56" s="46">
        <f t="shared" ca="1" si="41"/>
        <v>0</v>
      </c>
      <c r="AJ56" s="46">
        <f t="shared" ca="1" si="42"/>
        <v>0</v>
      </c>
      <c r="AK56" s="28"/>
      <c r="AL56" s="24">
        <f ca="1">INDIRECT("'("&amp;$A$4&amp;")'!al56")</f>
        <v>70</v>
      </c>
      <c r="AM56" s="24">
        <f ca="1">INDIRECT("'("&amp;$A$4&amp;")'!am56")</f>
        <v>4</v>
      </c>
      <c r="AN56" s="24">
        <f ca="1">INDIRECT("'("&amp;$A$4&amp;")'!an56")</f>
        <v>7</v>
      </c>
      <c r="AO56" s="24">
        <f ca="1">INDIRECT("'("&amp;$A$4&amp;")'!ao56")</f>
        <v>14</v>
      </c>
      <c r="AP56" s="24">
        <f ca="1">INDIRECT("'("&amp;$A$4&amp;")'!ap56")</f>
        <v>10</v>
      </c>
      <c r="AQ56" s="24">
        <f ca="1">INDIRECT("'("&amp;$A$4&amp;")'!aq56")</f>
        <v>3</v>
      </c>
      <c r="AR56" s="46">
        <f t="shared" ca="1" si="48"/>
        <v>0.33333333333333331</v>
      </c>
      <c r="AS56" s="46">
        <f t="shared" ca="1" si="49"/>
        <v>2.7777777777777776E-2</v>
      </c>
      <c r="AT56" s="28"/>
      <c r="AU56" s="30">
        <f t="shared" ca="1" si="50"/>
        <v>452</v>
      </c>
      <c r="AV56" s="30">
        <f t="shared" ca="1" si="51"/>
        <v>22</v>
      </c>
      <c r="AW56" s="30">
        <f t="shared" ca="1" si="52"/>
        <v>9</v>
      </c>
      <c r="AX56" s="30">
        <f t="shared" ca="1" si="53"/>
        <v>25</v>
      </c>
      <c r="AY56" s="30">
        <f t="shared" ca="1" si="54"/>
        <v>18</v>
      </c>
      <c r="AZ56" s="30">
        <f t="shared" ca="1" si="55"/>
        <v>15</v>
      </c>
      <c r="BA56" s="46">
        <f t="shared" ca="1" si="56"/>
        <v>0.14068441064638784</v>
      </c>
      <c r="BB56" s="46">
        <f t="shared" ca="1" si="57"/>
        <v>2.7726432532347505E-2</v>
      </c>
      <c r="BC56" s="19"/>
      <c r="BD56" s="19"/>
      <c r="BE56" s="19"/>
      <c r="BF56" s="19"/>
      <c r="BG56" s="19"/>
      <c r="BH56" s="19"/>
      <c r="BI56" s="19"/>
      <c r="BJ56" s="19"/>
      <c r="BK56" s="19"/>
    </row>
    <row r="57" spans="1:63" s="8" customFormat="1" ht="15" customHeight="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19"/>
      <c r="BD57" s="19"/>
      <c r="BE57" s="19"/>
      <c r="BF57" s="19"/>
      <c r="BG57" s="19"/>
      <c r="BH57" s="19"/>
      <c r="BI57" s="19"/>
      <c r="BJ57" s="19"/>
      <c r="BK57" s="19"/>
    </row>
    <row r="58" spans="1:63" x14ac:dyDescent="0.35">
      <c r="A58" s="106" t="s">
        <v>64</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row>
    <row r="59" spans="1:63" x14ac:dyDescent="0.35">
      <c r="A59" s="38" t="s">
        <v>76</v>
      </c>
      <c r="B59" s="38"/>
      <c r="C59" s="38"/>
      <c r="D59" s="38"/>
      <c r="E59" s="38"/>
      <c r="F59" s="38"/>
      <c r="G59" s="38"/>
      <c r="H59" s="38"/>
      <c r="I59" s="38"/>
      <c r="J59" s="38"/>
      <c r="K59" s="38"/>
      <c r="L59" s="38"/>
      <c r="M59" s="38"/>
      <c r="N59" s="38"/>
      <c r="O59" s="38"/>
      <c r="P59" s="38"/>
      <c r="Q59" s="38"/>
      <c r="R59" s="38"/>
      <c r="S59" s="38"/>
      <c r="T59" s="38"/>
      <c r="U59" s="38"/>
      <c r="V59" s="38"/>
      <c r="W59" s="38"/>
      <c r="X59" s="38"/>
    </row>
    <row r="60" spans="1:63" x14ac:dyDescent="0.35">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row>
    <row r="61" spans="1:63" x14ac:dyDescent="0.35">
      <c r="A61" s="33" t="s">
        <v>65</v>
      </c>
    </row>
    <row r="62" spans="1:63" x14ac:dyDescent="0.35">
      <c r="A62" s="108" t="s">
        <v>66</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4" spans="1:63" x14ac:dyDescent="0.35">
      <c r="A64" s="4" t="s">
        <v>67</v>
      </c>
      <c r="B64" s="34"/>
      <c r="C64" s="34"/>
      <c r="D64" s="34"/>
      <c r="E64" s="34"/>
      <c r="F64" s="34"/>
      <c r="G64" s="34"/>
      <c r="H64" s="34"/>
      <c r="I64" s="34"/>
      <c r="J64" s="34"/>
      <c r="K64" s="34"/>
      <c r="L64" s="34"/>
      <c r="M64" s="34"/>
      <c r="N64" s="34"/>
      <c r="O64" s="34"/>
      <c r="P64" s="34"/>
      <c r="Q64" s="34"/>
      <c r="R64" s="34"/>
      <c r="S64" s="34"/>
      <c r="T64" s="34"/>
      <c r="U64" s="34"/>
      <c r="V64" s="34"/>
      <c r="W64" s="34"/>
      <c r="X64" s="34"/>
    </row>
    <row r="65" spans="1:54" x14ac:dyDescent="0.35">
      <c r="A65" s="35" t="s">
        <v>68</v>
      </c>
      <c r="B65" s="34"/>
      <c r="C65" s="34"/>
      <c r="D65" s="34"/>
      <c r="E65" s="34"/>
      <c r="F65" s="34"/>
      <c r="G65" s="34"/>
      <c r="H65" s="34"/>
      <c r="I65" s="34"/>
      <c r="J65" s="34"/>
      <c r="K65" s="34"/>
      <c r="L65" s="34"/>
      <c r="M65" s="34"/>
      <c r="N65" s="34"/>
      <c r="O65" s="34"/>
      <c r="P65" s="34"/>
      <c r="Q65" s="34"/>
      <c r="R65" s="34"/>
      <c r="S65" s="34"/>
      <c r="T65" s="34"/>
      <c r="U65" s="34"/>
      <c r="V65" s="34"/>
      <c r="W65" s="34"/>
      <c r="X65" s="34"/>
    </row>
    <row r="67" spans="1:54" x14ac:dyDescent="0.35">
      <c r="A67" s="106" t="s">
        <v>69</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row>
    <row r="68" spans="1:54" x14ac:dyDescent="0.35">
      <c r="A68" s="35"/>
      <c r="BB68" s="8"/>
    </row>
    <row r="69" spans="1:54" x14ac:dyDescent="0.35">
      <c r="A69" s="4" t="s">
        <v>70</v>
      </c>
      <c r="X69" s="36"/>
      <c r="BB69" s="37" t="s">
        <v>71</v>
      </c>
    </row>
    <row r="70" spans="1:54" x14ac:dyDescent="0.35">
      <c r="A70" s="35" t="s">
        <v>72</v>
      </c>
      <c r="X70" s="36"/>
      <c r="BB70" s="36" t="s">
        <v>73</v>
      </c>
    </row>
  </sheetData>
  <mergeCells count="13">
    <mergeCell ref="A58:X58"/>
    <mergeCell ref="A60:X60"/>
    <mergeCell ref="A62:X62"/>
    <mergeCell ref="A67:X67"/>
    <mergeCell ref="A4:L4"/>
    <mergeCell ref="A1:BB1"/>
    <mergeCell ref="B5:BB5"/>
    <mergeCell ref="B6:H6"/>
    <mergeCell ref="K6:R6"/>
    <mergeCell ref="T6:Z6"/>
    <mergeCell ref="AC6:AI6"/>
    <mergeCell ref="AL6:AR6"/>
    <mergeCell ref="AU6:BB6"/>
  </mergeCells>
  <hyperlinks>
    <hyperlink ref="A65" r:id="rId1" xr:uid="{00000000-0004-0000-0300-000000000000}"/>
    <hyperlink ref="A70" r:id="rId2" xr:uid="{00000000-0004-0000-0300-000001000000}"/>
    <hyperlink ref="BB69" r:id="rId3" xr:uid="{00000000-0004-0000-0300-000002000000}"/>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55D27-38F6-4827-8707-A167B9F45A17}">
  <sheetPr codeName="Sheet7"/>
  <dimension ref="A1:G1473"/>
  <sheetViews>
    <sheetView workbookViewId="0">
      <selection activeCell="A4" sqref="A4:L4"/>
    </sheetView>
  </sheetViews>
  <sheetFormatPr defaultRowHeight="14.5" x14ac:dyDescent="0.35"/>
  <sheetData>
    <row r="1" spans="1:7" x14ac:dyDescent="0.35">
      <c r="A1" t="s">
        <v>100</v>
      </c>
      <c r="B1" t="s">
        <v>173</v>
      </c>
      <c r="C1" t="s">
        <v>174</v>
      </c>
      <c r="D1" t="s">
        <v>175</v>
      </c>
      <c r="E1" t="s">
        <v>176</v>
      </c>
      <c r="F1" t="s">
        <v>177</v>
      </c>
      <c r="G1" t="s">
        <v>178</v>
      </c>
    </row>
    <row r="2" spans="1:7" x14ac:dyDescent="0.35">
      <c r="A2">
        <v>2019</v>
      </c>
      <c r="B2" t="s">
        <v>17</v>
      </c>
      <c r="C2" t="s">
        <v>174</v>
      </c>
      <c r="D2" t="s">
        <v>175</v>
      </c>
      <c r="E2" t="s">
        <v>112</v>
      </c>
      <c r="F2" t="s">
        <v>7</v>
      </c>
      <c r="G2">
        <v>3</v>
      </c>
    </row>
    <row r="3" spans="1:7" x14ac:dyDescent="0.35">
      <c r="A3">
        <v>2019</v>
      </c>
      <c r="B3" t="s">
        <v>17</v>
      </c>
      <c r="C3" t="s">
        <v>174</v>
      </c>
      <c r="D3" t="s">
        <v>175</v>
      </c>
      <c r="E3" t="s">
        <v>91</v>
      </c>
      <c r="F3" t="s">
        <v>7</v>
      </c>
      <c r="G3">
        <v>11</v>
      </c>
    </row>
    <row r="4" spans="1:7" x14ac:dyDescent="0.35">
      <c r="A4">
        <v>2019</v>
      </c>
      <c r="B4" t="s">
        <v>17</v>
      </c>
      <c r="C4" t="s">
        <v>174</v>
      </c>
      <c r="D4" t="s">
        <v>175</v>
      </c>
      <c r="E4" t="s">
        <v>113</v>
      </c>
      <c r="F4" t="s">
        <v>7</v>
      </c>
      <c r="G4">
        <v>14</v>
      </c>
    </row>
    <row r="5" spans="1:7" x14ac:dyDescent="0.35">
      <c r="A5">
        <v>2019</v>
      </c>
      <c r="B5" t="s">
        <v>17</v>
      </c>
      <c r="C5" t="s">
        <v>174</v>
      </c>
      <c r="D5" t="s">
        <v>175</v>
      </c>
      <c r="E5" t="s">
        <v>114</v>
      </c>
      <c r="F5" t="s">
        <v>7</v>
      </c>
      <c r="G5">
        <v>3</v>
      </c>
    </row>
    <row r="6" spans="1:7" x14ac:dyDescent="0.35">
      <c r="A6">
        <v>2019</v>
      </c>
      <c r="B6" t="s">
        <v>18</v>
      </c>
      <c r="C6" t="s">
        <v>174</v>
      </c>
      <c r="D6" t="s">
        <v>175</v>
      </c>
      <c r="E6" t="s">
        <v>112</v>
      </c>
      <c r="F6" t="s">
        <v>7</v>
      </c>
      <c r="G6">
        <v>24</v>
      </c>
    </row>
    <row r="7" spans="1:7" x14ac:dyDescent="0.35">
      <c r="A7">
        <v>2019</v>
      </c>
      <c r="B7" t="s">
        <v>18</v>
      </c>
      <c r="C7" t="s">
        <v>174</v>
      </c>
      <c r="D7" t="s">
        <v>175</v>
      </c>
      <c r="E7" t="s">
        <v>91</v>
      </c>
      <c r="F7" t="s">
        <v>7</v>
      </c>
      <c r="G7">
        <v>17</v>
      </c>
    </row>
    <row r="8" spans="1:7" x14ac:dyDescent="0.35">
      <c r="A8">
        <v>2019</v>
      </c>
      <c r="B8" t="s">
        <v>18</v>
      </c>
      <c r="C8" t="s">
        <v>174</v>
      </c>
      <c r="D8" t="s">
        <v>175</v>
      </c>
      <c r="E8" t="s">
        <v>113</v>
      </c>
      <c r="F8" t="s">
        <v>7</v>
      </c>
      <c r="G8">
        <v>15</v>
      </c>
    </row>
    <row r="9" spans="1:7" x14ac:dyDescent="0.35">
      <c r="A9">
        <v>2019</v>
      </c>
      <c r="B9" t="s">
        <v>18</v>
      </c>
      <c r="C9" t="s">
        <v>174</v>
      </c>
      <c r="D9" t="s">
        <v>175</v>
      </c>
      <c r="E9" t="s">
        <v>114</v>
      </c>
      <c r="F9" t="s">
        <v>7</v>
      </c>
      <c r="G9">
        <v>1</v>
      </c>
    </row>
    <row r="10" spans="1:7" x14ac:dyDescent="0.35">
      <c r="A10">
        <v>2019</v>
      </c>
      <c r="B10" t="s">
        <v>19</v>
      </c>
      <c r="C10" t="s">
        <v>174</v>
      </c>
      <c r="D10" t="s">
        <v>175</v>
      </c>
      <c r="E10" t="s">
        <v>112</v>
      </c>
      <c r="F10" t="s">
        <v>7</v>
      </c>
      <c r="G10">
        <v>21</v>
      </c>
    </row>
    <row r="11" spans="1:7" x14ac:dyDescent="0.35">
      <c r="A11">
        <v>2019</v>
      </c>
      <c r="B11" t="s">
        <v>19</v>
      </c>
      <c r="C11" t="s">
        <v>174</v>
      </c>
      <c r="D11" t="s">
        <v>175</v>
      </c>
      <c r="E11" t="s">
        <v>91</v>
      </c>
      <c r="F11" t="s">
        <v>7</v>
      </c>
      <c r="G11">
        <v>12</v>
      </c>
    </row>
    <row r="12" spans="1:7" x14ac:dyDescent="0.35">
      <c r="A12">
        <v>2019</v>
      </c>
      <c r="B12" t="s">
        <v>19</v>
      </c>
      <c r="C12" t="s">
        <v>174</v>
      </c>
      <c r="D12" t="s">
        <v>175</v>
      </c>
      <c r="E12" t="s">
        <v>113</v>
      </c>
      <c r="F12" t="s">
        <v>7</v>
      </c>
      <c r="G12">
        <v>21</v>
      </c>
    </row>
    <row r="13" spans="1:7" x14ac:dyDescent="0.35">
      <c r="A13">
        <v>2019</v>
      </c>
      <c r="B13" t="s">
        <v>19</v>
      </c>
      <c r="C13" t="s">
        <v>174</v>
      </c>
      <c r="D13" t="s">
        <v>175</v>
      </c>
      <c r="E13" t="s">
        <v>114</v>
      </c>
      <c r="F13" t="s">
        <v>7</v>
      </c>
      <c r="G13">
        <v>5</v>
      </c>
    </row>
    <row r="14" spans="1:7" x14ac:dyDescent="0.35">
      <c r="A14">
        <v>2019</v>
      </c>
      <c r="B14" t="s">
        <v>20</v>
      </c>
      <c r="C14" t="s">
        <v>174</v>
      </c>
      <c r="D14" t="s">
        <v>175</v>
      </c>
      <c r="E14" t="s">
        <v>112</v>
      </c>
      <c r="F14" t="s">
        <v>7</v>
      </c>
      <c r="G14">
        <v>18</v>
      </c>
    </row>
    <row r="15" spans="1:7" x14ac:dyDescent="0.35">
      <c r="A15">
        <v>2019</v>
      </c>
      <c r="B15" t="s">
        <v>20</v>
      </c>
      <c r="C15" t="s">
        <v>174</v>
      </c>
      <c r="D15" t="s">
        <v>175</v>
      </c>
      <c r="E15" t="s">
        <v>91</v>
      </c>
      <c r="F15" t="s">
        <v>7</v>
      </c>
      <c r="G15">
        <v>25</v>
      </c>
    </row>
    <row r="16" spans="1:7" x14ac:dyDescent="0.35">
      <c r="A16">
        <v>2019</v>
      </c>
      <c r="B16" t="s">
        <v>20</v>
      </c>
      <c r="C16" t="s">
        <v>174</v>
      </c>
      <c r="D16" t="s">
        <v>175</v>
      </c>
      <c r="E16" t="s">
        <v>113</v>
      </c>
      <c r="F16" t="s">
        <v>7</v>
      </c>
      <c r="G16">
        <v>5</v>
      </c>
    </row>
    <row r="17" spans="1:7" x14ac:dyDescent="0.35">
      <c r="A17">
        <v>2019</v>
      </c>
      <c r="B17" t="s">
        <v>20</v>
      </c>
      <c r="C17" t="s">
        <v>174</v>
      </c>
      <c r="D17" t="s">
        <v>175</v>
      </c>
      <c r="E17" t="s">
        <v>114</v>
      </c>
      <c r="F17" t="s">
        <v>7</v>
      </c>
      <c r="G17">
        <v>0</v>
      </c>
    </row>
    <row r="18" spans="1:7" x14ac:dyDescent="0.35">
      <c r="A18">
        <v>2019</v>
      </c>
      <c r="B18" t="s">
        <v>21</v>
      </c>
      <c r="C18" t="s">
        <v>174</v>
      </c>
      <c r="D18" t="s">
        <v>175</v>
      </c>
      <c r="E18" t="s">
        <v>112</v>
      </c>
      <c r="F18" t="s">
        <v>7</v>
      </c>
      <c r="G18">
        <v>29</v>
      </c>
    </row>
    <row r="19" spans="1:7" x14ac:dyDescent="0.35">
      <c r="A19">
        <v>2019</v>
      </c>
      <c r="B19" t="s">
        <v>21</v>
      </c>
      <c r="C19" t="s">
        <v>174</v>
      </c>
      <c r="D19" t="s">
        <v>175</v>
      </c>
      <c r="E19" t="s">
        <v>91</v>
      </c>
      <c r="F19" t="s">
        <v>7</v>
      </c>
      <c r="G19">
        <v>12</v>
      </c>
    </row>
    <row r="20" spans="1:7" x14ac:dyDescent="0.35">
      <c r="A20">
        <v>2019</v>
      </c>
      <c r="B20" t="s">
        <v>21</v>
      </c>
      <c r="C20" t="s">
        <v>174</v>
      </c>
      <c r="D20" t="s">
        <v>175</v>
      </c>
      <c r="E20" t="s">
        <v>113</v>
      </c>
      <c r="F20" t="s">
        <v>7</v>
      </c>
      <c r="G20">
        <v>12</v>
      </c>
    </row>
    <row r="21" spans="1:7" x14ac:dyDescent="0.35">
      <c r="A21">
        <v>2019</v>
      </c>
      <c r="B21" t="s">
        <v>21</v>
      </c>
      <c r="C21" t="s">
        <v>174</v>
      </c>
      <c r="D21" t="s">
        <v>175</v>
      </c>
      <c r="E21" t="s">
        <v>114</v>
      </c>
      <c r="F21" t="s">
        <v>7</v>
      </c>
      <c r="G21">
        <v>8</v>
      </c>
    </row>
    <row r="22" spans="1:7" x14ac:dyDescent="0.35">
      <c r="A22">
        <v>2019</v>
      </c>
      <c r="B22" t="s">
        <v>22</v>
      </c>
      <c r="C22" t="s">
        <v>174</v>
      </c>
      <c r="D22" t="s">
        <v>175</v>
      </c>
      <c r="E22" t="s">
        <v>112</v>
      </c>
      <c r="F22" t="s">
        <v>7</v>
      </c>
      <c r="G22">
        <v>26</v>
      </c>
    </row>
    <row r="23" spans="1:7" x14ac:dyDescent="0.35">
      <c r="A23">
        <v>2019</v>
      </c>
      <c r="B23" t="s">
        <v>22</v>
      </c>
      <c r="C23" t="s">
        <v>174</v>
      </c>
      <c r="D23" t="s">
        <v>175</v>
      </c>
      <c r="E23" t="s">
        <v>91</v>
      </c>
      <c r="F23" t="s">
        <v>7</v>
      </c>
      <c r="G23">
        <v>49</v>
      </c>
    </row>
    <row r="24" spans="1:7" x14ac:dyDescent="0.35">
      <c r="A24">
        <v>2019</v>
      </c>
      <c r="B24" t="s">
        <v>22</v>
      </c>
      <c r="C24" t="s">
        <v>174</v>
      </c>
      <c r="D24" t="s">
        <v>175</v>
      </c>
      <c r="E24" t="s">
        <v>113</v>
      </c>
      <c r="F24" t="s">
        <v>7</v>
      </c>
      <c r="G24">
        <v>16</v>
      </c>
    </row>
    <row r="25" spans="1:7" x14ac:dyDescent="0.35">
      <c r="A25">
        <v>2019</v>
      </c>
      <c r="B25" t="s">
        <v>22</v>
      </c>
      <c r="C25" t="s">
        <v>174</v>
      </c>
      <c r="D25" t="s">
        <v>175</v>
      </c>
      <c r="E25" t="s">
        <v>114</v>
      </c>
      <c r="F25" t="s">
        <v>7</v>
      </c>
      <c r="G25">
        <v>0</v>
      </c>
    </row>
    <row r="26" spans="1:7" x14ac:dyDescent="0.35">
      <c r="A26">
        <v>2019</v>
      </c>
      <c r="B26" t="s">
        <v>23</v>
      </c>
      <c r="C26" t="s">
        <v>174</v>
      </c>
      <c r="D26" t="s">
        <v>175</v>
      </c>
      <c r="E26" t="s">
        <v>112</v>
      </c>
      <c r="F26" t="s">
        <v>7</v>
      </c>
      <c r="G26">
        <v>13</v>
      </c>
    </row>
    <row r="27" spans="1:7" x14ac:dyDescent="0.35">
      <c r="A27">
        <v>2019</v>
      </c>
      <c r="B27" t="s">
        <v>23</v>
      </c>
      <c r="C27" t="s">
        <v>174</v>
      </c>
      <c r="D27" t="s">
        <v>175</v>
      </c>
      <c r="E27" t="s">
        <v>91</v>
      </c>
      <c r="F27" t="s">
        <v>7</v>
      </c>
      <c r="G27">
        <v>36</v>
      </c>
    </row>
    <row r="28" spans="1:7" x14ac:dyDescent="0.35">
      <c r="A28">
        <v>2019</v>
      </c>
      <c r="B28" t="s">
        <v>23</v>
      </c>
      <c r="C28" t="s">
        <v>174</v>
      </c>
      <c r="D28" t="s">
        <v>175</v>
      </c>
      <c r="E28" t="s">
        <v>113</v>
      </c>
      <c r="F28" t="s">
        <v>7</v>
      </c>
      <c r="G28">
        <v>12</v>
      </c>
    </row>
    <row r="29" spans="1:7" x14ac:dyDescent="0.35">
      <c r="A29">
        <v>2019</v>
      </c>
      <c r="B29" t="s">
        <v>23</v>
      </c>
      <c r="C29" t="s">
        <v>174</v>
      </c>
      <c r="D29" t="s">
        <v>175</v>
      </c>
      <c r="E29" t="s">
        <v>114</v>
      </c>
      <c r="F29" t="s">
        <v>7</v>
      </c>
      <c r="G29">
        <v>2</v>
      </c>
    </row>
    <row r="30" spans="1:7" x14ac:dyDescent="0.35">
      <c r="A30">
        <v>2019</v>
      </c>
      <c r="B30" t="s">
        <v>24</v>
      </c>
      <c r="C30" t="s">
        <v>174</v>
      </c>
      <c r="D30" t="s">
        <v>175</v>
      </c>
      <c r="E30" t="s">
        <v>112</v>
      </c>
      <c r="F30" t="s">
        <v>7</v>
      </c>
      <c r="G30">
        <v>18</v>
      </c>
    </row>
    <row r="31" spans="1:7" x14ac:dyDescent="0.35">
      <c r="A31">
        <v>2019</v>
      </c>
      <c r="B31" t="s">
        <v>24</v>
      </c>
      <c r="C31" t="s">
        <v>174</v>
      </c>
      <c r="D31" t="s">
        <v>175</v>
      </c>
      <c r="E31" t="s">
        <v>91</v>
      </c>
      <c r="F31" t="s">
        <v>7</v>
      </c>
      <c r="G31">
        <v>10</v>
      </c>
    </row>
    <row r="32" spans="1:7" x14ac:dyDescent="0.35">
      <c r="A32">
        <v>2019</v>
      </c>
      <c r="B32" t="s">
        <v>24</v>
      </c>
      <c r="C32" t="s">
        <v>174</v>
      </c>
      <c r="D32" t="s">
        <v>175</v>
      </c>
      <c r="E32" t="s">
        <v>113</v>
      </c>
      <c r="F32" t="s">
        <v>7</v>
      </c>
      <c r="G32">
        <v>2</v>
      </c>
    </row>
    <row r="33" spans="1:7" x14ac:dyDescent="0.35">
      <c r="A33">
        <v>2019</v>
      </c>
      <c r="B33" t="s">
        <v>24</v>
      </c>
      <c r="C33" t="s">
        <v>174</v>
      </c>
      <c r="D33" t="s">
        <v>175</v>
      </c>
      <c r="E33" t="s">
        <v>114</v>
      </c>
      <c r="F33" t="s">
        <v>7</v>
      </c>
      <c r="G33">
        <v>1</v>
      </c>
    </row>
    <row r="34" spans="1:7" x14ac:dyDescent="0.35">
      <c r="A34">
        <v>2019</v>
      </c>
      <c r="B34" t="s">
        <v>25</v>
      </c>
      <c r="C34" t="s">
        <v>174</v>
      </c>
      <c r="D34" t="s">
        <v>175</v>
      </c>
      <c r="E34" t="s">
        <v>112</v>
      </c>
      <c r="F34" t="s">
        <v>7</v>
      </c>
      <c r="G34">
        <v>2</v>
      </c>
    </row>
    <row r="35" spans="1:7" x14ac:dyDescent="0.35">
      <c r="A35">
        <v>2019</v>
      </c>
      <c r="B35" t="s">
        <v>25</v>
      </c>
      <c r="C35" t="s">
        <v>174</v>
      </c>
      <c r="D35" t="s">
        <v>175</v>
      </c>
      <c r="E35" t="s">
        <v>91</v>
      </c>
      <c r="F35" t="s">
        <v>7</v>
      </c>
      <c r="G35">
        <v>2</v>
      </c>
    </row>
    <row r="36" spans="1:7" x14ac:dyDescent="0.35">
      <c r="A36">
        <v>2019</v>
      </c>
      <c r="B36" t="s">
        <v>25</v>
      </c>
      <c r="C36" t="s">
        <v>174</v>
      </c>
      <c r="D36" t="s">
        <v>175</v>
      </c>
      <c r="E36" t="s">
        <v>113</v>
      </c>
      <c r="F36" t="s">
        <v>7</v>
      </c>
      <c r="G36">
        <v>4</v>
      </c>
    </row>
    <row r="37" spans="1:7" x14ac:dyDescent="0.35">
      <c r="A37">
        <v>2019</v>
      </c>
      <c r="B37" t="s">
        <v>25</v>
      </c>
      <c r="C37" t="s">
        <v>174</v>
      </c>
      <c r="D37" t="s">
        <v>175</v>
      </c>
      <c r="E37" t="s">
        <v>114</v>
      </c>
      <c r="F37" t="s">
        <v>7</v>
      </c>
      <c r="G37">
        <v>0</v>
      </c>
    </row>
    <row r="38" spans="1:7" x14ac:dyDescent="0.35">
      <c r="A38">
        <v>2019</v>
      </c>
      <c r="B38" t="s">
        <v>26</v>
      </c>
      <c r="C38" t="s">
        <v>174</v>
      </c>
      <c r="D38" t="s">
        <v>175</v>
      </c>
      <c r="E38" t="s">
        <v>112</v>
      </c>
      <c r="F38" t="s">
        <v>7</v>
      </c>
      <c r="G38">
        <v>28</v>
      </c>
    </row>
    <row r="39" spans="1:7" x14ac:dyDescent="0.35">
      <c r="A39">
        <v>2019</v>
      </c>
      <c r="B39" t="s">
        <v>26</v>
      </c>
      <c r="C39" t="s">
        <v>174</v>
      </c>
      <c r="D39" t="s">
        <v>175</v>
      </c>
      <c r="E39" t="s">
        <v>91</v>
      </c>
      <c r="F39" t="s">
        <v>7</v>
      </c>
      <c r="G39">
        <v>28</v>
      </c>
    </row>
    <row r="40" spans="1:7" x14ac:dyDescent="0.35">
      <c r="A40">
        <v>2019</v>
      </c>
      <c r="B40" t="s">
        <v>26</v>
      </c>
      <c r="C40" t="s">
        <v>174</v>
      </c>
      <c r="D40" t="s">
        <v>175</v>
      </c>
      <c r="E40" t="s">
        <v>113</v>
      </c>
      <c r="F40" t="s">
        <v>7</v>
      </c>
      <c r="G40">
        <v>24</v>
      </c>
    </row>
    <row r="41" spans="1:7" x14ac:dyDescent="0.35">
      <c r="A41">
        <v>2019</v>
      </c>
      <c r="B41" t="s">
        <v>26</v>
      </c>
      <c r="C41" t="s">
        <v>174</v>
      </c>
      <c r="D41" t="s">
        <v>175</v>
      </c>
      <c r="E41" t="s">
        <v>114</v>
      </c>
      <c r="F41" t="s">
        <v>7</v>
      </c>
      <c r="G41">
        <v>0</v>
      </c>
    </row>
    <row r="42" spans="1:7" x14ac:dyDescent="0.35">
      <c r="A42">
        <v>2019</v>
      </c>
      <c r="B42" t="s">
        <v>27</v>
      </c>
      <c r="C42" t="s">
        <v>174</v>
      </c>
      <c r="D42" t="s">
        <v>175</v>
      </c>
      <c r="E42" t="s">
        <v>112</v>
      </c>
      <c r="F42" t="s">
        <v>7</v>
      </c>
      <c r="G42">
        <v>121</v>
      </c>
    </row>
    <row r="43" spans="1:7" x14ac:dyDescent="0.35">
      <c r="A43">
        <v>2019</v>
      </c>
      <c r="B43" t="s">
        <v>27</v>
      </c>
      <c r="C43" t="s">
        <v>174</v>
      </c>
      <c r="D43" t="s">
        <v>175</v>
      </c>
      <c r="E43" t="s">
        <v>91</v>
      </c>
      <c r="F43" t="s">
        <v>7</v>
      </c>
      <c r="G43">
        <v>4</v>
      </c>
    </row>
    <row r="44" spans="1:7" x14ac:dyDescent="0.35">
      <c r="A44">
        <v>2019</v>
      </c>
      <c r="B44" t="s">
        <v>27</v>
      </c>
      <c r="C44" t="s">
        <v>174</v>
      </c>
      <c r="D44" t="s">
        <v>175</v>
      </c>
      <c r="E44" t="s">
        <v>113</v>
      </c>
      <c r="F44" t="s">
        <v>7</v>
      </c>
      <c r="G44">
        <v>24</v>
      </c>
    </row>
    <row r="45" spans="1:7" x14ac:dyDescent="0.35">
      <c r="A45">
        <v>2019</v>
      </c>
      <c r="B45" t="s">
        <v>27</v>
      </c>
      <c r="C45" t="s">
        <v>174</v>
      </c>
      <c r="D45" t="s">
        <v>175</v>
      </c>
      <c r="E45" t="s">
        <v>114</v>
      </c>
      <c r="F45" t="s">
        <v>7</v>
      </c>
      <c r="G45">
        <v>0</v>
      </c>
    </row>
    <row r="46" spans="1:7" x14ac:dyDescent="0.35">
      <c r="A46">
        <v>2019</v>
      </c>
      <c r="B46" t="s">
        <v>29</v>
      </c>
      <c r="C46" t="s">
        <v>174</v>
      </c>
      <c r="D46" t="s">
        <v>175</v>
      </c>
      <c r="E46" t="s">
        <v>112</v>
      </c>
      <c r="F46" t="s">
        <v>7</v>
      </c>
      <c r="G46">
        <v>6</v>
      </c>
    </row>
    <row r="47" spans="1:7" x14ac:dyDescent="0.35">
      <c r="A47">
        <v>2019</v>
      </c>
      <c r="B47" t="s">
        <v>29</v>
      </c>
      <c r="C47" t="s">
        <v>174</v>
      </c>
      <c r="D47" t="s">
        <v>175</v>
      </c>
      <c r="E47" t="s">
        <v>91</v>
      </c>
      <c r="F47" t="s">
        <v>7</v>
      </c>
      <c r="G47">
        <v>0</v>
      </c>
    </row>
    <row r="48" spans="1:7" x14ac:dyDescent="0.35">
      <c r="A48">
        <v>2019</v>
      </c>
      <c r="B48" t="s">
        <v>29</v>
      </c>
      <c r="C48" t="s">
        <v>174</v>
      </c>
      <c r="D48" t="s">
        <v>175</v>
      </c>
      <c r="E48" t="s">
        <v>113</v>
      </c>
      <c r="F48" t="s">
        <v>7</v>
      </c>
      <c r="G48">
        <v>3</v>
      </c>
    </row>
    <row r="49" spans="1:7" x14ac:dyDescent="0.35">
      <c r="A49">
        <v>2019</v>
      </c>
      <c r="B49" t="s">
        <v>29</v>
      </c>
      <c r="C49" t="s">
        <v>174</v>
      </c>
      <c r="D49" t="s">
        <v>175</v>
      </c>
      <c r="E49" t="s">
        <v>114</v>
      </c>
      <c r="F49" t="s">
        <v>7</v>
      </c>
      <c r="G49">
        <v>0</v>
      </c>
    </row>
    <row r="50" spans="1:7" x14ac:dyDescent="0.35">
      <c r="A50">
        <v>2019</v>
      </c>
      <c r="B50" t="s">
        <v>30</v>
      </c>
      <c r="C50" t="s">
        <v>174</v>
      </c>
      <c r="D50" t="s">
        <v>175</v>
      </c>
      <c r="E50" t="s">
        <v>112</v>
      </c>
      <c r="F50" t="s">
        <v>7</v>
      </c>
      <c r="G50">
        <v>25</v>
      </c>
    </row>
    <row r="51" spans="1:7" x14ac:dyDescent="0.35">
      <c r="A51">
        <v>2019</v>
      </c>
      <c r="B51" t="s">
        <v>30</v>
      </c>
      <c r="C51" t="s">
        <v>174</v>
      </c>
      <c r="D51" t="s">
        <v>175</v>
      </c>
      <c r="E51" t="s">
        <v>91</v>
      </c>
      <c r="F51" t="s">
        <v>7</v>
      </c>
      <c r="G51">
        <v>2</v>
      </c>
    </row>
    <row r="52" spans="1:7" x14ac:dyDescent="0.35">
      <c r="A52">
        <v>2019</v>
      </c>
      <c r="B52" t="s">
        <v>30</v>
      </c>
      <c r="C52" t="s">
        <v>174</v>
      </c>
      <c r="D52" t="s">
        <v>175</v>
      </c>
      <c r="E52" t="s">
        <v>113</v>
      </c>
      <c r="F52" t="s">
        <v>7</v>
      </c>
      <c r="G52">
        <v>23</v>
      </c>
    </row>
    <row r="53" spans="1:7" x14ac:dyDescent="0.35">
      <c r="A53">
        <v>2019</v>
      </c>
      <c r="B53" t="s">
        <v>30</v>
      </c>
      <c r="C53" t="s">
        <v>174</v>
      </c>
      <c r="D53" t="s">
        <v>175</v>
      </c>
      <c r="E53" t="s">
        <v>114</v>
      </c>
      <c r="F53" t="s">
        <v>7</v>
      </c>
      <c r="G53">
        <v>2</v>
      </c>
    </row>
    <row r="54" spans="1:7" x14ac:dyDescent="0.35">
      <c r="A54">
        <v>2019</v>
      </c>
      <c r="B54" t="s">
        <v>31</v>
      </c>
      <c r="C54" t="s">
        <v>174</v>
      </c>
      <c r="D54" t="s">
        <v>175</v>
      </c>
      <c r="E54" t="s">
        <v>112</v>
      </c>
      <c r="F54" t="s">
        <v>7</v>
      </c>
      <c r="G54">
        <v>30</v>
      </c>
    </row>
    <row r="55" spans="1:7" x14ac:dyDescent="0.35">
      <c r="A55">
        <v>2019</v>
      </c>
      <c r="B55" t="s">
        <v>31</v>
      </c>
      <c r="C55" t="s">
        <v>174</v>
      </c>
      <c r="D55" t="s">
        <v>175</v>
      </c>
      <c r="E55" t="s">
        <v>91</v>
      </c>
      <c r="F55" t="s">
        <v>7</v>
      </c>
      <c r="G55">
        <v>33</v>
      </c>
    </row>
    <row r="56" spans="1:7" x14ac:dyDescent="0.35">
      <c r="A56">
        <v>2019</v>
      </c>
      <c r="B56" t="s">
        <v>31</v>
      </c>
      <c r="C56" t="s">
        <v>174</v>
      </c>
      <c r="D56" t="s">
        <v>175</v>
      </c>
      <c r="E56" t="s">
        <v>113</v>
      </c>
      <c r="F56" t="s">
        <v>7</v>
      </c>
      <c r="G56">
        <v>15</v>
      </c>
    </row>
    <row r="57" spans="1:7" x14ac:dyDescent="0.35">
      <c r="A57">
        <v>2019</v>
      </c>
      <c r="B57" t="s">
        <v>31</v>
      </c>
      <c r="C57" t="s">
        <v>174</v>
      </c>
      <c r="D57" t="s">
        <v>175</v>
      </c>
      <c r="E57" t="s">
        <v>114</v>
      </c>
      <c r="F57" t="s">
        <v>7</v>
      </c>
      <c r="G57">
        <v>1</v>
      </c>
    </row>
    <row r="58" spans="1:7" x14ac:dyDescent="0.35">
      <c r="A58">
        <v>2019</v>
      </c>
      <c r="B58" t="s">
        <v>32</v>
      </c>
      <c r="C58" t="s">
        <v>174</v>
      </c>
      <c r="D58" t="s">
        <v>175</v>
      </c>
      <c r="E58" t="s">
        <v>112</v>
      </c>
      <c r="F58" t="s">
        <v>7</v>
      </c>
      <c r="G58">
        <v>27</v>
      </c>
    </row>
    <row r="59" spans="1:7" x14ac:dyDescent="0.35">
      <c r="A59">
        <v>2019</v>
      </c>
      <c r="B59" t="s">
        <v>32</v>
      </c>
      <c r="C59" t="s">
        <v>174</v>
      </c>
      <c r="D59" t="s">
        <v>175</v>
      </c>
      <c r="E59" t="s">
        <v>91</v>
      </c>
      <c r="F59" t="s">
        <v>7</v>
      </c>
      <c r="G59">
        <v>6</v>
      </c>
    </row>
    <row r="60" spans="1:7" x14ac:dyDescent="0.35">
      <c r="A60">
        <v>2019</v>
      </c>
      <c r="B60" t="s">
        <v>32</v>
      </c>
      <c r="C60" t="s">
        <v>174</v>
      </c>
      <c r="D60" t="s">
        <v>175</v>
      </c>
      <c r="E60" t="s">
        <v>113</v>
      </c>
      <c r="F60" t="s">
        <v>7</v>
      </c>
      <c r="G60">
        <v>5</v>
      </c>
    </row>
    <row r="61" spans="1:7" x14ac:dyDescent="0.35">
      <c r="A61">
        <v>2019</v>
      </c>
      <c r="B61" t="s">
        <v>32</v>
      </c>
      <c r="C61" t="s">
        <v>174</v>
      </c>
      <c r="D61" t="s">
        <v>175</v>
      </c>
      <c r="E61" t="s">
        <v>114</v>
      </c>
      <c r="F61" t="s">
        <v>7</v>
      </c>
      <c r="G61">
        <v>0</v>
      </c>
    </row>
    <row r="62" spans="1:7" x14ac:dyDescent="0.35">
      <c r="A62">
        <v>2019</v>
      </c>
      <c r="B62" t="s">
        <v>63</v>
      </c>
      <c r="C62" t="s">
        <v>174</v>
      </c>
      <c r="D62" t="s">
        <v>175</v>
      </c>
      <c r="E62" t="s">
        <v>112</v>
      </c>
      <c r="F62" t="s">
        <v>7</v>
      </c>
      <c r="G62">
        <v>0</v>
      </c>
    </row>
    <row r="63" spans="1:7" x14ac:dyDescent="0.35">
      <c r="A63">
        <v>2019</v>
      </c>
      <c r="B63" t="s">
        <v>63</v>
      </c>
      <c r="C63" t="s">
        <v>174</v>
      </c>
      <c r="D63" t="s">
        <v>175</v>
      </c>
      <c r="E63" t="s">
        <v>91</v>
      </c>
      <c r="F63" t="s">
        <v>7</v>
      </c>
      <c r="G63">
        <v>358</v>
      </c>
    </row>
    <row r="64" spans="1:7" x14ac:dyDescent="0.35">
      <c r="A64">
        <v>2019</v>
      </c>
      <c r="B64" t="s">
        <v>63</v>
      </c>
      <c r="C64" t="s">
        <v>174</v>
      </c>
      <c r="D64" t="s">
        <v>175</v>
      </c>
      <c r="E64" t="s">
        <v>113</v>
      </c>
      <c r="F64" t="s">
        <v>7</v>
      </c>
      <c r="G64">
        <v>67</v>
      </c>
    </row>
    <row r="65" spans="1:7" x14ac:dyDescent="0.35">
      <c r="A65">
        <v>2019</v>
      </c>
      <c r="B65" t="s">
        <v>63</v>
      </c>
      <c r="C65" t="s">
        <v>174</v>
      </c>
      <c r="D65" t="s">
        <v>175</v>
      </c>
      <c r="E65" t="s">
        <v>114</v>
      </c>
      <c r="F65" t="s">
        <v>7</v>
      </c>
      <c r="G65">
        <v>5</v>
      </c>
    </row>
    <row r="66" spans="1:7" x14ac:dyDescent="0.35">
      <c r="A66">
        <v>2019</v>
      </c>
      <c r="B66" t="s">
        <v>57</v>
      </c>
      <c r="C66" t="s">
        <v>174</v>
      </c>
      <c r="D66" t="s">
        <v>175</v>
      </c>
      <c r="E66" t="s">
        <v>112</v>
      </c>
      <c r="F66" t="s">
        <v>7</v>
      </c>
      <c r="G66">
        <v>0</v>
      </c>
    </row>
    <row r="67" spans="1:7" x14ac:dyDescent="0.35">
      <c r="A67">
        <v>2019</v>
      </c>
      <c r="B67" t="s">
        <v>57</v>
      </c>
      <c r="C67" t="s">
        <v>174</v>
      </c>
      <c r="D67" t="s">
        <v>175</v>
      </c>
      <c r="E67" t="s">
        <v>91</v>
      </c>
      <c r="F67" t="s">
        <v>7</v>
      </c>
      <c r="G67">
        <v>50</v>
      </c>
    </row>
    <row r="68" spans="1:7" x14ac:dyDescent="0.35">
      <c r="A68">
        <v>2019</v>
      </c>
      <c r="B68" t="s">
        <v>57</v>
      </c>
      <c r="C68" t="s">
        <v>174</v>
      </c>
      <c r="D68" t="s">
        <v>175</v>
      </c>
      <c r="E68" t="s">
        <v>113</v>
      </c>
      <c r="F68" t="s">
        <v>7</v>
      </c>
      <c r="G68">
        <v>41</v>
      </c>
    </row>
    <row r="69" spans="1:7" x14ac:dyDescent="0.35">
      <c r="A69">
        <v>2019</v>
      </c>
      <c r="B69" t="s">
        <v>57</v>
      </c>
      <c r="C69" t="s">
        <v>174</v>
      </c>
      <c r="D69" t="s">
        <v>175</v>
      </c>
      <c r="E69" t="s">
        <v>114</v>
      </c>
      <c r="F69" t="s">
        <v>7</v>
      </c>
      <c r="G69">
        <v>0</v>
      </c>
    </row>
    <row r="70" spans="1:7" x14ac:dyDescent="0.35">
      <c r="A70">
        <v>2019</v>
      </c>
      <c r="B70" t="s">
        <v>33</v>
      </c>
      <c r="C70" t="s">
        <v>174</v>
      </c>
      <c r="D70" t="s">
        <v>175</v>
      </c>
      <c r="E70" t="s">
        <v>112</v>
      </c>
      <c r="F70" t="s">
        <v>7</v>
      </c>
      <c r="G70">
        <v>100</v>
      </c>
    </row>
    <row r="71" spans="1:7" x14ac:dyDescent="0.35">
      <c r="A71">
        <v>2019</v>
      </c>
      <c r="B71" t="s">
        <v>33</v>
      </c>
      <c r="C71" t="s">
        <v>174</v>
      </c>
      <c r="D71" t="s">
        <v>175</v>
      </c>
      <c r="E71" t="s">
        <v>91</v>
      </c>
      <c r="F71" t="s">
        <v>7</v>
      </c>
      <c r="G71">
        <v>37</v>
      </c>
    </row>
    <row r="72" spans="1:7" x14ac:dyDescent="0.35">
      <c r="A72">
        <v>2019</v>
      </c>
      <c r="B72" t="s">
        <v>33</v>
      </c>
      <c r="C72" t="s">
        <v>174</v>
      </c>
      <c r="D72" t="s">
        <v>175</v>
      </c>
      <c r="E72" t="s">
        <v>113</v>
      </c>
      <c r="F72" t="s">
        <v>7</v>
      </c>
      <c r="G72">
        <v>26</v>
      </c>
    </row>
    <row r="73" spans="1:7" x14ac:dyDescent="0.35">
      <c r="A73">
        <v>2019</v>
      </c>
      <c r="B73" t="s">
        <v>33</v>
      </c>
      <c r="C73" t="s">
        <v>174</v>
      </c>
      <c r="D73" t="s">
        <v>175</v>
      </c>
      <c r="E73" t="s">
        <v>114</v>
      </c>
      <c r="F73" t="s">
        <v>7</v>
      </c>
      <c r="G73">
        <v>3</v>
      </c>
    </row>
    <row r="74" spans="1:7" x14ac:dyDescent="0.35">
      <c r="A74">
        <v>2019</v>
      </c>
      <c r="B74" t="s">
        <v>34</v>
      </c>
      <c r="C74" t="s">
        <v>174</v>
      </c>
      <c r="D74" t="s">
        <v>175</v>
      </c>
      <c r="E74" t="s">
        <v>112</v>
      </c>
      <c r="F74" t="s">
        <v>7</v>
      </c>
      <c r="G74">
        <v>52</v>
      </c>
    </row>
    <row r="75" spans="1:7" x14ac:dyDescent="0.35">
      <c r="A75">
        <v>2019</v>
      </c>
      <c r="B75" t="s">
        <v>34</v>
      </c>
      <c r="C75" t="s">
        <v>174</v>
      </c>
      <c r="D75" t="s">
        <v>175</v>
      </c>
      <c r="E75" t="s">
        <v>91</v>
      </c>
      <c r="F75" t="s">
        <v>7</v>
      </c>
      <c r="G75">
        <v>23</v>
      </c>
    </row>
    <row r="76" spans="1:7" x14ac:dyDescent="0.35">
      <c r="A76">
        <v>2019</v>
      </c>
      <c r="B76" t="s">
        <v>34</v>
      </c>
      <c r="C76" t="s">
        <v>174</v>
      </c>
      <c r="D76" t="s">
        <v>175</v>
      </c>
      <c r="E76" t="s">
        <v>113</v>
      </c>
      <c r="F76" t="s">
        <v>7</v>
      </c>
      <c r="G76">
        <v>19</v>
      </c>
    </row>
    <row r="77" spans="1:7" x14ac:dyDescent="0.35">
      <c r="A77">
        <v>2019</v>
      </c>
      <c r="B77" t="s">
        <v>34</v>
      </c>
      <c r="C77" t="s">
        <v>174</v>
      </c>
      <c r="D77" t="s">
        <v>175</v>
      </c>
      <c r="E77" t="s">
        <v>114</v>
      </c>
      <c r="F77" t="s">
        <v>7</v>
      </c>
      <c r="G77">
        <v>2</v>
      </c>
    </row>
    <row r="78" spans="1:7" x14ac:dyDescent="0.35">
      <c r="A78">
        <v>2019</v>
      </c>
      <c r="B78" t="s">
        <v>35</v>
      </c>
      <c r="C78" t="s">
        <v>174</v>
      </c>
      <c r="D78" t="s">
        <v>175</v>
      </c>
      <c r="E78" t="s">
        <v>112</v>
      </c>
      <c r="F78" t="s">
        <v>7</v>
      </c>
      <c r="G78">
        <v>21</v>
      </c>
    </row>
    <row r="79" spans="1:7" x14ac:dyDescent="0.35">
      <c r="A79">
        <v>2019</v>
      </c>
      <c r="B79" t="s">
        <v>35</v>
      </c>
      <c r="C79" t="s">
        <v>174</v>
      </c>
      <c r="D79" t="s">
        <v>175</v>
      </c>
      <c r="E79" t="s">
        <v>91</v>
      </c>
      <c r="F79" t="s">
        <v>7</v>
      </c>
      <c r="G79">
        <v>24</v>
      </c>
    </row>
    <row r="80" spans="1:7" x14ac:dyDescent="0.35">
      <c r="A80">
        <v>2019</v>
      </c>
      <c r="B80" t="s">
        <v>35</v>
      </c>
      <c r="C80" t="s">
        <v>174</v>
      </c>
      <c r="D80" t="s">
        <v>175</v>
      </c>
      <c r="E80" t="s">
        <v>113</v>
      </c>
      <c r="F80" t="s">
        <v>7</v>
      </c>
      <c r="G80">
        <v>10</v>
      </c>
    </row>
    <row r="81" spans="1:7" x14ac:dyDescent="0.35">
      <c r="A81">
        <v>2019</v>
      </c>
      <c r="B81" t="s">
        <v>35</v>
      </c>
      <c r="C81" t="s">
        <v>174</v>
      </c>
      <c r="D81" t="s">
        <v>175</v>
      </c>
      <c r="E81" t="s">
        <v>114</v>
      </c>
      <c r="F81" t="s">
        <v>7</v>
      </c>
      <c r="G81">
        <v>0</v>
      </c>
    </row>
    <row r="82" spans="1:7" x14ac:dyDescent="0.35">
      <c r="A82">
        <v>2019</v>
      </c>
      <c r="B82" t="s">
        <v>36</v>
      </c>
      <c r="C82" t="s">
        <v>174</v>
      </c>
      <c r="D82" t="s">
        <v>175</v>
      </c>
      <c r="E82" t="s">
        <v>112</v>
      </c>
      <c r="F82" t="s">
        <v>7</v>
      </c>
      <c r="G82">
        <v>29</v>
      </c>
    </row>
    <row r="83" spans="1:7" x14ac:dyDescent="0.35">
      <c r="A83">
        <v>2019</v>
      </c>
      <c r="B83" t="s">
        <v>36</v>
      </c>
      <c r="C83" t="s">
        <v>174</v>
      </c>
      <c r="D83" t="s">
        <v>175</v>
      </c>
      <c r="E83" t="s">
        <v>91</v>
      </c>
      <c r="F83" t="s">
        <v>7</v>
      </c>
      <c r="G83">
        <v>21</v>
      </c>
    </row>
    <row r="84" spans="1:7" x14ac:dyDescent="0.35">
      <c r="A84">
        <v>2019</v>
      </c>
      <c r="B84" t="s">
        <v>36</v>
      </c>
      <c r="C84" t="s">
        <v>174</v>
      </c>
      <c r="D84" t="s">
        <v>175</v>
      </c>
      <c r="E84" t="s">
        <v>113</v>
      </c>
      <c r="F84" t="s">
        <v>7</v>
      </c>
      <c r="G84">
        <v>17</v>
      </c>
    </row>
    <row r="85" spans="1:7" x14ac:dyDescent="0.35">
      <c r="A85">
        <v>2019</v>
      </c>
      <c r="B85" t="s">
        <v>36</v>
      </c>
      <c r="C85" t="s">
        <v>174</v>
      </c>
      <c r="D85" t="s">
        <v>175</v>
      </c>
      <c r="E85" t="s">
        <v>114</v>
      </c>
      <c r="F85" t="s">
        <v>7</v>
      </c>
      <c r="G85">
        <v>4</v>
      </c>
    </row>
    <row r="86" spans="1:7" x14ac:dyDescent="0.35">
      <c r="A86">
        <v>2019</v>
      </c>
      <c r="B86" t="s">
        <v>37</v>
      </c>
      <c r="C86" t="s">
        <v>174</v>
      </c>
      <c r="D86" t="s">
        <v>175</v>
      </c>
      <c r="E86" t="s">
        <v>112</v>
      </c>
      <c r="F86" t="s">
        <v>7</v>
      </c>
      <c r="G86">
        <v>9</v>
      </c>
    </row>
    <row r="87" spans="1:7" x14ac:dyDescent="0.35">
      <c r="A87">
        <v>2019</v>
      </c>
      <c r="B87" t="s">
        <v>37</v>
      </c>
      <c r="C87" t="s">
        <v>174</v>
      </c>
      <c r="D87" t="s">
        <v>175</v>
      </c>
      <c r="E87" t="s">
        <v>91</v>
      </c>
      <c r="F87" t="s">
        <v>7</v>
      </c>
      <c r="G87">
        <v>0</v>
      </c>
    </row>
    <row r="88" spans="1:7" x14ac:dyDescent="0.35">
      <c r="A88">
        <v>2019</v>
      </c>
      <c r="B88" t="s">
        <v>37</v>
      </c>
      <c r="C88" t="s">
        <v>174</v>
      </c>
      <c r="D88" t="s">
        <v>175</v>
      </c>
      <c r="E88" t="s">
        <v>113</v>
      </c>
      <c r="F88" t="s">
        <v>7</v>
      </c>
      <c r="G88">
        <v>2</v>
      </c>
    </row>
    <row r="89" spans="1:7" x14ac:dyDescent="0.35">
      <c r="A89">
        <v>2019</v>
      </c>
      <c r="B89" t="s">
        <v>37</v>
      </c>
      <c r="C89" t="s">
        <v>174</v>
      </c>
      <c r="D89" t="s">
        <v>175</v>
      </c>
      <c r="E89" t="s">
        <v>114</v>
      </c>
      <c r="F89" t="s">
        <v>7</v>
      </c>
      <c r="G89">
        <v>0</v>
      </c>
    </row>
    <row r="90" spans="1:7" x14ac:dyDescent="0.35">
      <c r="A90">
        <v>2019</v>
      </c>
      <c r="B90" t="s">
        <v>55</v>
      </c>
      <c r="C90" t="s">
        <v>174</v>
      </c>
      <c r="D90" t="s">
        <v>175</v>
      </c>
      <c r="E90" t="s">
        <v>112</v>
      </c>
      <c r="F90" t="s">
        <v>7</v>
      </c>
      <c r="G90">
        <v>2</v>
      </c>
    </row>
    <row r="91" spans="1:7" x14ac:dyDescent="0.35">
      <c r="A91">
        <v>2019</v>
      </c>
      <c r="B91" t="s">
        <v>55</v>
      </c>
      <c r="C91" t="s">
        <v>174</v>
      </c>
      <c r="D91" t="s">
        <v>175</v>
      </c>
      <c r="E91" t="s">
        <v>91</v>
      </c>
      <c r="F91" t="s">
        <v>7</v>
      </c>
      <c r="G91">
        <v>0</v>
      </c>
    </row>
    <row r="92" spans="1:7" x14ac:dyDescent="0.35">
      <c r="A92">
        <v>2019</v>
      </c>
      <c r="B92" t="s">
        <v>55</v>
      </c>
      <c r="C92" t="s">
        <v>174</v>
      </c>
      <c r="D92" t="s">
        <v>175</v>
      </c>
      <c r="E92" t="s">
        <v>113</v>
      </c>
      <c r="F92" t="s">
        <v>7</v>
      </c>
      <c r="G92">
        <v>1</v>
      </c>
    </row>
    <row r="93" spans="1:7" x14ac:dyDescent="0.35">
      <c r="A93">
        <v>2019</v>
      </c>
      <c r="B93" t="s">
        <v>55</v>
      </c>
      <c r="C93" t="s">
        <v>174</v>
      </c>
      <c r="D93" t="s">
        <v>175</v>
      </c>
      <c r="E93" t="s">
        <v>114</v>
      </c>
      <c r="F93" t="s">
        <v>7</v>
      </c>
      <c r="G93">
        <v>0</v>
      </c>
    </row>
    <row r="94" spans="1:7" x14ac:dyDescent="0.35">
      <c r="A94">
        <v>2019</v>
      </c>
      <c r="B94" t="s">
        <v>38</v>
      </c>
      <c r="C94" t="s">
        <v>174</v>
      </c>
      <c r="D94" t="s">
        <v>175</v>
      </c>
      <c r="E94" t="s">
        <v>112</v>
      </c>
      <c r="F94" t="s">
        <v>7</v>
      </c>
      <c r="G94">
        <v>15</v>
      </c>
    </row>
    <row r="95" spans="1:7" x14ac:dyDescent="0.35">
      <c r="A95">
        <v>2019</v>
      </c>
      <c r="B95" t="s">
        <v>38</v>
      </c>
      <c r="C95" t="s">
        <v>174</v>
      </c>
      <c r="D95" t="s">
        <v>175</v>
      </c>
      <c r="E95" t="s">
        <v>91</v>
      </c>
      <c r="F95" t="s">
        <v>7</v>
      </c>
      <c r="G95">
        <v>13</v>
      </c>
    </row>
    <row r="96" spans="1:7" x14ac:dyDescent="0.35">
      <c r="A96">
        <v>2019</v>
      </c>
      <c r="B96" t="s">
        <v>38</v>
      </c>
      <c r="C96" t="s">
        <v>174</v>
      </c>
      <c r="D96" t="s">
        <v>175</v>
      </c>
      <c r="E96" t="s">
        <v>113</v>
      </c>
      <c r="F96" t="s">
        <v>7</v>
      </c>
      <c r="G96">
        <v>11</v>
      </c>
    </row>
    <row r="97" spans="1:7" x14ac:dyDescent="0.35">
      <c r="A97">
        <v>2019</v>
      </c>
      <c r="B97" t="s">
        <v>38</v>
      </c>
      <c r="C97" t="s">
        <v>174</v>
      </c>
      <c r="D97" t="s">
        <v>175</v>
      </c>
      <c r="E97" t="s">
        <v>114</v>
      </c>
      <c r="F97" t="s">
        <v>7</v>
      </c>
      <c r="G97">
        <v>0</v>
      </c>
    </row>
    <row r="98" spans="1:7" x14ac:dyDescent="0.35">
      <c r="A98">
        <v>2019</v>
      </c>
      <c r="B98" t="s">
        <v>39</v>
      </c>
      <c r="C98" t="s">
        <v>174</v>
      </c>
      <c r="D98" t="s">
        <v>175</v>
      </c>
      <c r="E98" t="s">
        <v>112</v>
      </c>
      <c r="F98" t="s">
        <v>7</v>
      </c>
      <c r="G98">
        <v>63</v>
      </c>
    </row>
    <row r="99" spans="1:7" x14ac:dyDescent="0.35">
      <c r="A99">
        <v>2019</v>
      </c>
      <c r="B99" t="s">
        <v>39</v>
      </c>
      <c r="C99" t="s">
        <v>174</v>
      </c>
      <c r="D99" t="s">
        <v>175</v>
      </c>
      <c r="E99" t="s">
        <v>91</v>
      </c>
      <c r="F99" t="s">
        <v>7</v>
      </c>
      <c r="G99">
        <v>50</v>
      </c>
    </row>
    <row r="100" spans="1:7" x14ac:dyDescent="0.35">
      <c r="A100">
        <v>2019</v>
      </c>
      <c r="B100" t="s">
        <v>39</v>
      </c>
      <c r="C100" t="s">
        <v>174</v>
      </c>
      <c r="D100" t="s">
        <v>175</v>
      </c>
      <c r="E100" t="s">
        <v>113</v>
      </c>
      <c r="F100" t="s">
        <v>7</v>
      </c>
      <c r="G100">
        <v>19</v>
      </c>
    </row>
    <row r="101" spans="1:7" x14ac:dyDescent="0.35">
      <c r="A101">
        <v>2019</v>
      </c>
      <c r="B101" t="s">
        <v>39</v>
      </c>
      <c r="C101" t="s">
        <v>174</v>
      </c>
      <c r="D101" t="s">
        <v>175</v>
      </c>
      <c r="E101" t="s">
        <v>114</v>
      </c>
      <c r="F101" t="s">
        <v>7</v>
      </c>
      <c r="G101">
        <v>0</v>
      </c>
    </row>
    <row r="102" spans="1:7" x14ac:dyDescent="0.35">
      <c r="A102">
        <v>2019</v>
      </c>
      <c r="B102" t="s">
        <v>40</v>
      </c>
      <c r="C102" t="s">
        <v>174</v>
      </c>
      <c r="D102" t="s">
        <v>175</v>
      </c>
      <c r="E102" t="s">
        <v>112</v>
      </c>
      <c r="F102" t="s">
        <v>7</v>
      </c>
      <c r="G102">
        <v>20</v>
      </c>
    </row>
    <row r="103" spans="1:7" x14ac:dyDescent="0.35">
      <c r="A103">
        <v>2019</v>
      </c>
      <c r="B103" t="s">
        <v>40</v>
      </c>
      <c r="C103" t="s">
        <v>174</v>
      </c>
      <c r="D103" t="s">
        <v>175</v>
      </c>
      <c r="E103" t="s">
        <v>91</v>
      </c>
      <c r="F103" t="s">
        <v>7</v>
      </c>
      <c r="G103">
        <v>6</v>
      </c>
    </row>
    <row r="104" spans="1:7" x14ac:dyDescent="0.35">
      <c r="A104">
        <v>2019</v>
      </c>
      <c r="B104" t="s">
        <v>40</v>
      </c>
      <c r="C104" t="s">
        <v>174</v>
      </c>
      <c r="D104" t="s">
        <v>175</v>
      </c>
      <c r="E104" t="s">
        <v>113</v>
      </c>
      <c r="F104" t="s">
        <v>7</v>
      </c>
      <c r="G104">
        <v>9</v>
      </c>
    </row>
    <row r="105" spans="1:7" x14ac:dyDescent="0.35">
      <c r="A105">
        <v>2019</v>
      </c>
      <c r="B105" t="s">
        <v>40</v>
      </c>
      <c r="C105" t="s">
        <v>174</v>
      </c>
      <c r="D105" t="s">
        <v>175</v>
      </c>
      <c r="E105" t="s">
        <v>114</v>
      </c>
      <c r="F105" t="s">
        <v>7</v>
      </c>
      <c r="G105">
        <v>0</v>
      </c>
    </row>
    <row r="106" spans="1:7" x14ac:dyDescent="0.35">
      <c r="A106">
        <v>2019</v>
      </c>
      <c r="B106" t="s">
        <v>41</v>
      </c>
      <c r="C106" t="s">
        <v>174</v>
      </c>
      <c r="D106" t="s">
        <v>175</v>
      </c>
      <c r="E106" t="s">
        <v>112</v>
      </c>
      <c r="F106" t="s">
        <v>7</v>
      </c>
      <c r="G106">
        <v>49</v>
      </c>
    </row>
    <row r="107" spans="1:7" x14ac:dyDescent="0.35">
      <c r="A107">
        <v>2019</v>
      </c>
      <c r="B107" t="s">
        <v>41</v>
      </c>
      <c r="C107" t="s">
        <v>174</v>
      </c>
      <c r="D107" t="s">
        <v>175</v>
      </c>
      <c r="E107" t="s">
        <v>91</v>
      </c>
      <c r="F107" t="s">
        <v>7</v>
      </c>
      <c r="G107">
        <v>12</v>
      </c>
    </row>
    <row r="108" spans="1:7" x14ac:dyDescent="0.35">
      <c r="A108">
        <v>2019</v>
      </c>
      <c r="B108" t="s">
        <v>41</v>
      </c>
      <c r="C108" t="s">
        <v>174</v>
      </c>
      <c r="D108" t="s">
        <v>175</v>
      </c>
      <c r="E108" t="s">
        <v>113</v>
      </c>
      <c r="F108" t="s">
        <v>7</v>
      </c>
      <c r="G108">
        <v>8</v>
      </c>
    </row>
    <row r="109" spans="1:7" x14ac:dyDescent="0.35">
      <c r="A109">
        <v>2019</v>
      </c>
      <c r="B109" t="s">
        <v>41</v>
      </c>
      <c r="C109" t="s">
        <v>174</v>
      </c>
      <c r="D109" t="s">
        <v>175</v>
      </c>
      <c r="E109" t="s">
        <v>114</v>
      </c>
      <c r="F109" t="s">
        <v>7</v>
      </c>
      <c r="G109">
        <v>4</v>
      </c>
    </row>
    <row r="110" spans="1:7" x14ac:dyDescent="0.35">
      <c r="A110">
        <v>2019</v>
      </c>
      <c r="B110" t="s">
        <v>58</v>
      </c>
      <c r="C110" t="s">
        <v>174</v>
      </c>
      <c r="D110" t="s">
        <v>175</v>
      </c>
      <c r="E110" t="s">
        <v>112</v>
      </c>
      <c r="F110" t="s">
        <v>7</v>
      </c>
      <c r="G110">
        <v>21</v>
      </c>
    </row>
    <row r="111" spans="1:7" x14ac:dyDescent="0.35">
      <c r="A111">
        <v>2019</v>
      </c>
      <c r="B111" t="s">
        <v>58</v>
      </c>
      <c r="C111" t="s">
        <v>174</v>
      </c>
      <c r="D111" t="s">
        <v>175</v>
      </c>
      <c r="E111" t="s">
        <v>91</v>
      </c>
      <c r="F111" t="s">
        <v>7</v>
      </c>
      <c r="G111">
        <v>45</v>
      </c>
    </row>
    <row r="112" spans="1:7" x14ac:dyDescent="0.35">
      <c r="A112">
        <v>2019</v>
      </c>
      <c r="B112" t="s">
        <v>58</v>
      </c>
      <c r="C112" t="s">
        <v>174</v>
      </c>
      <c r="D112" t="s">
        <v>175</v>
      </c>
      <c r="E112" t="s">
        <v>113</v>
      </c>
      <c r="F112" t="s">
        <v>7</v>
      </c>
      <c r="G112">
        <v>48</v>
      </c>
    </row>
    <row r="113" spans="1:7" x14ac:dyDescent="0.35">
      <c r="A113">
        <v>2019</v>
      </c>
      <c r="B113" t="s">
        <v>58</v>
      </c>
      <c r="C113" t="s">
        <v>174</v>
      </c>
      <c r="D113" t="s">
        <v>175</v>
      </c>
      <c r="E113" t="s">
        <v>114</v>
      </c>
      <c r="F113" t="s">
        <v>7</v>
      </c>
      <c r="G113">
        <v>7</v>
      </c>
    </row>
    <row r="114" spans="1:7" x14ac:dyDescent="0.35">
      <c r="A114">
        <v>2019</v>
      </c>
      <c r="B114" t="s">
        <v>42</v>
      </c>
      <c r="C114" t="s">
        <v>174</v>
      </c>
      <c r="D114" t="s">
        <v>175</v>
      </c>
      <c r="E114" t="s">
        <v>112</v>
      </c>
      <c r="F114" t="s">
        <v>7</v>
      </c>
      <c r="G114">
        <v>31</v>
      </c>
    </row>
    <row r="115" spans="1:7" x14ac:dyDescent="0.35">
      <c r="A115">
        <v>2019</v>
      </c>
      <c r="B115" t="s">
        <v>42</v>
      </c>
      <c r="C115" t="s">
        <v>174</v>
      </c>
      <c r="D115" t="s">
        <v>175</v>
      </c>
      <c r="E115" t="s">
        <v>91</v>
      </c>
      <c r="F115" t="s">
        <v>7</v>
      </c>
      <c r="G115">
        <v>22</v>
      </c>
    </row>
    <row r="116" spans="1:7" x14ac:dyDescent="0.35">
      <c r="A116">
        <v>2019</v>
      </c>
      <c r="B116" t="s">
        <v>42</v>
      </c>
      <c r="C116" t="s">
        <v>174</v>
      </c>
      <c r="D116" t="s">
        <v>175</v>
      </c>
      <c r="E116" t="s">
        <v>113</v>
      </c>
      <c r="F116" t="s">
        <v>7</v>
      </c>
      <c r="G116">
        <v>6</v>
      </c>
    </row>
    <row r="117" spans="1:7" x14ac:dyDescent="0.35">
      <c r="A117">
        <v>2019</v>
      </c>
      <c r="B117" t="s">
        <v>42</v>
      </c>
      <c r="C117" t="s">
        <v>174</v>
      </c>
      <c r="D117" t="s">
        <v>175</v>
      </c>
      <c r="E117" t="s">
        <v>114</v>
      </c>
      <c r="F117" t="s">
        <v>7</v>
      </c>
      <c r="G117">
        <v>2</v>
      </c>
    </row>
    <row r="118" spans="1:7" x14ac:dyDescent="0.35">
      <c r="A118">
        <v>2019</v>
      </c>
      <c r="B118" t="s">
        <v>44</v>
      </c>
      <c r="C118" t="s">
        <v>174</v>
      </c>
      <c r="D118" t="s">
        <v>175</v>
      </c>
      <c r="E118" t="s">
        <v>112</v>
      </c>
      <c r="F118" t="s">
        <v>7</v>
      </c>
      <c r="G118">
        <v>41</v>
      </c>
    </row>
    <row r="119" spans="1:7" x14ac:dyDescent="0.35">
      <c r="A119">
        <v>2019</v>
      </c>
      <c r="B119" t="s">
        <v>44</v>
      </c>
      <c r="C119" t="s">
        <v>174</v>
      </c>
      <c r="D119" t="s">
        <v>175</v>
      </c>
      <c r="E119" t="s">
        <v>91</v>
      </c>
      <c r="F119" t="s">
        <v>7</v>
      </c>
      <c r="G119">
        <v>24</v>
      </c>
    </row>
    <row r="120" spans="1:7" x14ac:dyDescent="0.35">
      <c r="A120">
        <v>2019</v>
      </c>
      <c r="B120" t="s">
        <v>44</v>
      </c>
      <c r="C120" t="s">
        <v>174</v>
      </c>
      <c r="D120" t="s">
        <v>175</v>
      </c>
      <c r="E120" t="s">
        <v>113</v>
      </c>
      <c r="F120" t="s">
        <v>7</v>
      </c>
      <c r="G120">
        <v>18</v>
      </c>
    </row>
    <row r="121" spans="1:7" x14ac:dyDescent="0.35">
      <c r="A121">
        <v>2019</v>
      </c>
      <c r="B121" t="s">
        <v>44</v>
      </c>
      <c r="C121" t="s">
        <v>174</v>
      </c>
      <c r="D121" t="s">
        <v>175</v>
      </c>
      <c r="E121" t="s">
        <v>114</v>
      </c>
      <c r="F121" t="s">
        <v>7</v>
      </c>
      <c r="G121">
        <v>4</v>
      </c>
    </row>
    <row r="122" spans="1:7" x14ac:dyDescent="0.35">
      <c r="A122">
        <v>2019</v>
      </c>
      <c r="B122" t="s">
        <v>45</v>
      </c>
      <c r="C122" t="s">
        <v>174</v>
      </c>
      <c r="D122" t="s">
        <v>175</v>
      </c>
      <c r="E122" t="s">
        <v>112</v>
      </c>
      <c r="F122" t="s">
        <v>7</v>
      </c>
      <c r="G122">
        <v>0</v>
      </c>
    </row>
    <row r="123" spans="1:7" x14ac:dyDescent="0.35">
      <c r="A123">
        <v>2019</v>
      </c>
      <c r="B123" t="s">
        <v>45</v>
      </c>
      <c r="C123" t="s">
        <v>174</v>
      </c>
      <c r="D123" t="s">
        <v>175</v>
      </c>
      <c r="E123" t="s">
        <v>91</v>
      </c>
      <c r="F123" t="s">
        <v>7</v>
      </c>
      <c r="G123">
        <v>1</v>
      </c>
    </row>
    <row r="124" spans="1:7" x14ac:dyDescent="0.35">
      <c r="A124">
        <v>2019</v>
      </c>
      <c r="B124" t="s">
        <v>45</v>
      </c>
      <c r="C124" t="s">
        <v>174</v>
      </c>
      <c r="D124" t="s">
        <v>175</v>
      </c>
      <c r="E124" t="s">
        <v>113</v>
      </c>
      <c r="F124" t="s">
        <v>7</v>
      </c>
      <c r="G124">
        <v>3</v>
      </c>
    </row>
    <row r="125" spans="1:7" x14ac:dyDescent="0.35">
      <c r="A125">
        <v>2019</v>
      </c>
      <c r="B125" t="s">
        <v>45</v>
      </c>
      <c r="C125" t="s">
        <v>174</v>
      </c>
      <c r="D125" t="s">
        <v>175</v>
      </c>
      <c r="E125" t="s">
        <v>114</v>
      </c>
      <c r="F125" t="s">
        <v>7</v>
      </c>
      <c r="G125">
        <v>3</v>
      </c>
    </row>
    <row r="126" spans="1:7" x14ac:dyDescent="0.35">
      <c r="A126">
        <v>2019</v>
      </c>
      <c r="B126" t="s">
        <v>46</v>
      </c>
      <c r="C126" t="s">
        <v>174</v>
      </c>
      <c r="D126" t="s">
        <v>175</v>
      </c>
      <c r="E126" t="s">
        <v>112</v>
      </c>
      <c r="F126" t="s">
        <v>7</v>
      </c>
      <c r="G126">
        <v>16</v>
      </c>
    </row>
    <row r="127" spans="1:7" x14ac:dyDescent="0.35">
      <c r="A127">
        <v>2019</v>
      </c>
      <c r="B127" t="s">
        <v>46</v>
      </c>
      <c r="C127" t="s">
        <v>174</v>
      </c>
      <c r="D127" t="s">
        <v>175</v>
      </c>
      <c r="E127" t="s">
        <v>91</v>
      </c>
      <c r="F127" t="s">
        <v>7</v>
      </c>
      <c r="G127">
        <v>9</v>
      </c>
    </row>
    <row r="128" spans="1:7" x14ac:dyDescent="0.35">
      <c r="A128">
        <v>2019</v>
      </c>
      <c r="B128" t="s">
        <v>46</v>
      </c>
      <c r="C128" t="s">
        <v>174</v>
      </c>
      <c r="D128" t="s">
        <v>175</v>
      </c>
      <c r="E128" t="s">
        <v>113</v>
      </c>
      <c r="F128" t="s">
        <v>7</v>
      </c>
      <c r="G128">
        <v>1</v>
      </c>
    </row>
    <row r="129" spans="1:7" x14ac:dyDescent="0.35">
      <c r="A129">
        <v>2019</v>
      </c>
      <c r="B129" t="s">
        <v>46</v>
      </c>
      <c r="C129" t="s">
        <v>174</v>
      </c>
      <c r="D129" t="s">
        <v>175</v>
      </c>
      <c r="E129" t="s">
        <v>114</v>
      </c>
      <c r="F129" t="s">
        <v>7</v>
      </c>
      <c r="G129">
        <v>0</v>
      </c>
    </row>
    <row r="130" spans="1:7" x14ac:dyDescent="0.35">
      <c r="A130">
        <v>2019</v>
      </c>
      <c r="B130" t="s">
        <v>47</v>
      </c>
      <c r="C130" t="s">
        <v>174</v>
      </c>
      <c r="D130" t="s">
        <v>175</v>
      </c>
      <c r="E130" t="s">
        <v>112</v>
      </c>
      <c r="F130" t="s">
        <v>7</v>
      </c>
      <c r="G130">
        <v>25</v>
      </c>
    </row>
    <row r="131" spans="1:7" x14ac:dyDescent="0.35">
      <c r="A131">
        <v>2019</v>
      </c>
      <c r="B131" t="s">
        <v>47</v>
      </c>
      <c r="C131" t="s">
        <v>174</v>
      </c>
      <c r="D131" t="s">
        <v>175</v>
      </c>
      <c r="E131" t="s">
        <v>91</v>
      </c>
      <c r="F131" t="s">
        <v>7</v>
      </c>
      <c r="G131">
        <v>24</v>
      </c>
    </row>
    <row r="132" spans="1:7" x14ac:dyDescent="0.35">
      <c r="A132">
        <v>2019</v>
      </c>
      <c r="B132" t="s">
        <v>47</v>
      </c>
      <c r="C132" t="s">
        <v>174</v>
      </c>
      <c r="D132" t="s">
        <v>175</v>
      </c>
      <c r="E132" t="s">
        <v>113</v>
      </c>
      <c r="F132" t="s">
        <v>7</v>
      </c>
      <c r="G132">
        <v>3</v>
      </c>
    </row>
    <row r="133" spans="1:7" x14ac:dyDescent="0.35">
      <c r="A133">
        <v>2019</v>
      </c>
      <c r="B133" t="s">
        <v>47</v>
      </c>
      <c r="C133" t="s">
        <v>174</v>
      </c>
      <c r="D133" t="s">
        <v>175</v>
      </c>
      <c r="E133" t="s">
        <v>114</v>
      </c>
      <c r="F133" t="s">
        <v>7</v>
      </c>
      <c r="G133">
        <v>0</v>
      </c>
    </row>
    <row r="134" spans="1:7" x14ac:dyDescent="0.35">
      <c r="A134">
        <v>2019</v>
      </c>
      <c r="B134" t="s">
        <v>48</v>
      </c>
      <c r="C134" t="s">
        <v>174</v>
      </c>
      <c r="D134" t="s">
        <v>175</v>
      </c>
      <c r="E134" t="s">
        <v>112</v>
      </c>
      <c r="F134" t="s">
        <v>7</v>
      </c>
      <c r="G134">
        <v>31</v>
      </c>
    </row>
    <row r="135" spans="1:7" x14ac:dyDescent="0.35">
      <c r="A135">
        <v>2019</v>
      </c>
      <c r="B135" t="s">
        <v>48</v>
      </c>
      <c r="C135" t="s">
        <v>174</v>
      </c>
      <c r="D135" t="s">
        <v>175</v>
      </c>
      <c r="E135" t="s">
        <v>91</v>
      </c>
      <c r="F135" t="s">
        <v>7</v>
      </c>
      <c r="G135">
        <v>2</v>
      </c>
    </row>
    <row r="136" spans="1:7" x14ac:dyDescent="0.35">
      <c r="A136">
        <v>2019</v>
      </c>
      <c r="B136" t="s">
        <v>48</v>
      </c>
      <c r="C136" t="s">
        <v>174</v>
      </c>
      <c r="D136" t="s">
        <v>175</v>
      </c>
      <c r="E136" t="s">
        <v>113</v>
      </c>
      <c r="F136" t="s">
        <v>7</v>
      </c>
      <c r="G136">
        <v>6</v>
      </c>
    </row>
    <row r="137" spans="1:7" x14ac:dyDescent="0.35">
      <c r="A137">
        <v>2019</v>
      </c>
      <c r="B137" t="s">
        <v>48</v>
      </c>
      <c r="C137" t="s">
        <v>174</v>
      </c>
      <c r="D137" t="s">
        <v>175</v>
      </c>
      <c r="E137" t="s">
        <v>114</v>
      </c>
      <c r="F137" t="s">
        <v>7</v>
      </c>
      <c r="G137">
        <v>0</v>
      </c>
    </row>
    <row r="138" spans="1:7" x14ac:dyDescent="0.35">
      <c r="A138">
        <v>2019</v>
      </c>
      <c r="B138" t="s">
        <v>49</v>
      </c>
      <c r="C138" t="s">
        <v>174</v>
      </c>
      <c r="D138" t="s">
        <v>175</v>
      </c>
      <c r="E138" t="s">
        <v>112</v>
      </c>
      <c r="F138" t="s">
        <v>7</v>
      </c>
      <c r="G138">
        <v>21</v>
      </c>
    </row>
    <row r="139" spans="1:7" x14ac:dyDescent="0.35">
      <c r="A139">
        <v>2019</v>
      </c>
      <c r="B139" t="s">
        <v>49</v>
      </c>
      <c r="C139" t="s">
        <v>174</v>
      </c>
      <c r="D139" t="s">
        <v>175</v>
      </c>
      <c r="E139" t="s">
        <v>91</v>
      </c>
      <c r="F139" t="s">
        <v>7</v>
      </c>
      <c r="G139">
        <v>11</v>
      </c>
    </row>
    <row r="140" spans="1:7" x14ac:dyDescent="0.35">
      <c r="A140">
        <v>2019</v>
      </c>
      <c r="B140" t="s">
        <v>49</v>
      </c>
      <c r="C140" t="s">
        <v>174</v>
      </c>
      <c r="D140" t="s">
        <v>175</v>
      </c>
      <c r="E140" t="s">
        <v>113</v>
      </c>
      <c r="F140" t="s">
        <v>7</v>
      </c>
      <c r="G140">
        <v>6</v>
      </c>
    </row>
    <row r="141" spans="1:7" x14ac:dyDescent="0.35">
      <c r="A141">
        <v>2019</v>
      </c>
      <c r="B141" t="s">
        <v>49</v>
      </c>
      <c r="C141" t="s">
        <v>174</v>
      </c>
      <c r="D141" t="s">
        <v>175</v>
      </c>
      <c r="E141" t="s">
        <v>114</v>
      </c>
      <c r="F141" t="s">
        <v>7</v>
      </c>
      <c r="G141">
        <v>1</v>
      </c>
    </row>
    <row r="142" spans="1:7" x14ac:dyDescent="0.35">
      <c r="A142">
        <v>2019</v>
      </c>
      <c r="B142" t="s">
        <v>59</v>
      </c>
      <c r="C142" t="s">
        <v>174</v>
      </c>
      <c r="D142" t="s">
        <v>175</v>
      </c>
      <c r="E142" t="s">
        <v>112</v>
      </c>
      <c r="F142" t="s">
        <v>7</v>
      </c>
      <c r="G142">
        <v>1</v>
      </c>
    </row>
    <row r="143" spans="1:7" x14ac:dyDescent="0.35">
      <c r="A143">
        <v>2019</v>
      </c>
      <c r="B143" t="s">
        <v>59</v>
      </c>
      <c r="C143" t="s">
        <v>174</v>
      </c>
      <c r="D143" t="s">
        <v>175</v>
      </c>
      <c r="E143" t="s">
        <v>91</v>
      </c>
      <c r="F143" t="s">
        <v>7</v>
      </c>
      <c r="G143">
        <v>17</v>
      </c>
    </row>
    <row r="144" spans="1:7" x14ac:dyDescent="0.35">
      <c r="A144">
        <v>2019</v>
      </c>
      <c r="B144" t="s">
        <v>59</v>
      </c>
      <c r="C144" t="s">
        <v>174</v>
      </c>
      <c r="D144" t="s">
        <v>175</v>
      </c>
      <c r="E144" t="s">
        <v>113</v>
      </c>
      <c r="F144" t="s">
        <v>7</v>
      </c>
      <c r="G144">
        <v>16</v>
      </c>
    </row>
    <row r="145" spans="1:7" x14ac:dyDescent="0.35">
      <c r="A145">
        <v>2019</v>
      </c>
      <c r="B145" t="s">
        <v>59</v>
      </c>
      <c r="C145" t="s">
        <v>174</v>
      </c>
      <c r="D145" t="s">
        <v>175</v>
      </c>
      <c r="E145" t="s">
        <v>114</v>
      </c>
      <c r="F145" t="s">
        <v>7</v>
      </c>
      <c r="G145">
        <v>0</v>
      </c>
    </row>
    <row r="146" spans="1:7" x14ac:dyDescent="0.35">
      <c r="A146">
        <v>2019</v>
      </c>
      <c r="B146" t="s">
        <v>50</v>
      </c>
      <c r="C146" t="s">
        <v>174</v>
      </c>
      <c r="D146" t="s">
        <v>175</v>
      </c>
      <c r="E146" t="s">
        <v>112</v>
      </c>
      <c r="F146" t="s">
        <v>7</v>
      </c>
      <c r="G146">
        <v>42</v>
      </c>
    </row>
    <row r="147" spans="1:7" x14ac:dyDescent="0.35">
      <c r="A147">
        <v>2019</v>
      </c>
      <c r="B147" t="s">
        <v>50</v>
      </c>
      <c r="C147" t="s">
        <v>174</v>
      </c>
      <c r="D147" t="s">
        <v>175</v>
      </c>
      <c r="E147" t="s">
        <v>91</v>
      </c>
      <c r="F147" t="s">
        <v>7</v>
      </c>
      <c r="G147">
        <v>12</v>
      </c>
    </row>
    <row r="148" spans="1:7" x14ac:dyDescent="0.35">
      <c r="A148">
        <v>2019</v>
      </c>
      <c r="B148" t="s">
        <v>50</v>
      </c>
      <c r="C148" t="s">
        <v>174</v>
      </c>
      <c r="D148" t="s">
        <v>175</v>
      </c>
      <c r="E148" t="s">
        <v>113</v>
      </c>
      <c r="F148" t="s">
        <v>7</v>
      </c>
      <c r="G148">
        <v>24</v>
      </c>
    </row>
    <row r="149" spans="1:7" x14ac:dyDescent="0.35">
      <c r="A149">
        <v>2019</v>
      </c>
      <c r="B149" t="s">
        <v>50</v>
      </c>
      <c r="C149" t="s">
        <v>174</v>
      </c>
      <c r="D149" t="s">
        <v>175</v>
      </c>
      <c r="E149" t="s">
        <v>114</v>
      </c>
      <c r="F149" t="s">
        <v>7</v>
      </c>
      <c r="G149">
        <v>0</v>
      </c>
    </row>
    <row r="150" spans="1:7" x14ac:dyDescent="0.35">
      <c r="A150">
        <v>2019</v>
      </c>
      <c r="B150" t="s">
        <v>51</v>
      </c>
      <c r="C150" t="s">
        <v>174</v>
      </c>
      <c r="D150" t="s">
        <v>175</v>
      </c>
      <c r="E150" t="s">
        <v>112</v>
      </c>
      <c r="F150" t="s">
        <v>7</v>
      </c>
      <c r="G150">
        <v>15</v>
      </c>
    </row>
    <row r="151" spans="1:7" x14ac:dyDescent="0.35">
      <c r="A151">
        <v>2019</v>
      </c>
      <c r="B151" t="s">
        <v>51</v>
      </c>
      <c r="C151" t="s">
        <v>174</v>
      </c>
      <c r="D151" t="s">
        <v>175</v>
      </c>
      <c r="E151" t="s">
        <v>91</v>
      </c>
      <c r="F151" t="s">
        <v>7</v>
      </c>
      <c r="G151">
        <v>2</v>
      </c>
    </row>
    <row r="152" spans="1:7" x14ac:dyDescent="0.35">
      <c r="A152">
        <v>2019</v>
      </c>
      <c r="B152" t="s">
        <v>51</v>
      </c>
      <c r="C152" t="s">
        <v>174</v>
      </c>
      <c r="D152" t="s">
        <v>175</v>
      </c>
      <c r="E152" t="s">
        <v>113</v>
      </c>
      <c r="F152" t="s">
        <v>7</v>
      </c>
      <c r="G152">
        <v>4</v>
      </c>
    </row>
    <row r="153" spans="1:7" x14ac:dyDescent="0.35">
      <c r="A153">
        <v>2019</v>
      </c>
      <c r="B153" t="s">
        <v>51</v>
      </c>
      <c r="C153" t="s">
        <v>174</v>
      </c>
      <c r="D153" t="s">
        <v>175</v>
      </c>
      <c r="E153" t="s">
        <v>114</v>
      </c>
      <c r="F153" t="s">
        <v>7</v>
      </c>
      <c r="G153">
        <v>0</v>
      </c>
    </row>
    <row r="154" spans="1:7" x14ac:dyDescent="0.35">
      <c r="A154">
        <v>2019</v>
      </c>
      <c r="B154" t="s">
        <v>52</v>
      </c>
      <c r="C154" t="s">
        <v>174</v>
      </c>
      <c r="D154" t="s">
        <v>175</v>
      </c>
      <c r="E154" t="s">
        <v>112</v>
      </c>
      <c r="F154" t="s">
        <v>7</v>
      </c>
      <c r="G154">
        <v>7</v>
      </c>
    </row>
    <row r="155" spans="1:7" x14ac:dyDescent="0.35">
      <c r="A155">
        <v>2019</v>
      </c>
      <c r="B155" t="s">
        <v>52</v>
      </c>
      <c r="C155" t="s">
        <v>174</v>
      </c>
      <c r="D155" t="s">
        <v>175</v>
      </c>
      <c r="E155" t="s">
        <v>91</v>
      </c>
      <c r="F155" t="s">
        <v>7</v>
      </c>
      <c r="G155">
        <v>30</v>
      </c>
    </row>
    <row r="156" spans="1:7" x14ac:dyDescent="0.35">
      <c r="A156">
        <v>2019</v>
      </c>
      <c r="B156" t="s">
        <v>52</v>
      </c>
      <c r="C156" t="s">
        <v>174</v>
      </c>
      <c r="D156" t="s">
        <v>175</v>
      </c>
      <c r="E156" t="s">
        <v>113</v>
      </c>
      <c r="F156" t="s">
        <v>7</v>
      </c>
      <c r="G156">
        <v>16</v>
      </c>
    </row>
    <row r="157" spans="1:7" x14ac:dyDescent="0.35">
      <c r="A157">
        <v>2019</v>
      </c>
      <c r="B157" t="s">
        <v>52</v>
      </c>
      <c r="C157" t="s">
        <v>174</v>
      </c>
      <c r="D157" t="s">
        <v>175</v>
      </c>
      <c r="E157" t="s">
        <v>114</v>
      </c>
      <c r="F157" t="s">
        <v>7</v>
      </c>
      <c r="G157">
        <v>4</v>
      </c>
    </row>
    <row r="158" spans="1:7" x14ac:dyDescent="0.35">
      <c r="A158">
        <v>2019</v>
      </c>
      <c r="B158" t="s">
        <v>60</v>
      </c>
      <c r="C158" t="s">
        <v>174</v>
      </c>
      <c r="D158" t="s">
        <v>175</v>
      </c>
      <c r="E158" t="s">
        <v>112</v>
      </c>
      <c r="F158" t="s">
        <v>7</v>
      </c>
      <c r="G158">
        <v>0</v>
      </c>
    </row>
    <row r="159" spans="1:7" x14ac:dyDescent="0.35">
      <c r="A159">
        <v>2019</v>
      </c>
      <c r="B159" t="s">
        <v>60</v>
      </c>
      <c r="C159" t="s">
        <v>174</v>
      </c>
      <c r="D159" t="s">
        <v>175</v>
      </c>
      <c r="E159" t="s">
        <v>91</v>
      </c>
      <c r="F159" t="s">
        <v>7</v>
      </c>
      <c r="G159">
        <v>25</v>
      </c>
    </row>
    <row r="160" spans="1:7" x14ac:dyDescent="0.35">
      <c r="A160">
        <v>2019</v>
      </c>
      <c r="B160" t="s">
        <v>60</v>
      </c>
      <c r="C160" t="s">
        <v>174</v>
      </c>
      <c r="D160" t="s">
        <v>175</v>
      </c>
      <c r="E160" t="s">
        <v>113</v>
      </c>
      <c r="F160" t="s">
        <v>7</v>
      </c>
      <c r="G160">
        <v>30</v>
      </c>
    </row>
    <row r="161" spans="1:7" x14ac:dyDescent="0.35">
      <c r="A161">
        <v>2019</v>
      </c>
      <c r="B161" t="s">
        <v>60</v>
      </c>
      <c r="C161" t="s">
        <v>174</v>
      </c>
      <c r="D161" t="s">
        <v>175</v>
      </c>
      <c r="E161" t="s">
        <v>114</v>
      </c>
      <c r="F161" t="s">
        <v>7</v>
      </c>
      <c r="G161">
        <v>5</v>
      </c>
    </row>
    <row r="162" spans="1:7" x14ac:dyDescent="0.35">
      <c r="A162">
        <v>2019</v>
      </c>
      <c r="B162" t="s">
        <v>53</v>
      </c>
      <c r="C162" t="s">
        <v>174</v>
      </c>
      <c r="D162" t="s">
        <v>175</v>
      </c>
      <c r="E162" t="s">
        <v>112</v>
      </c>
      <c r="F162" t="s">
        <v>7</v>
      </c>
      <c r="G162">
        <v>15</v>
      </c>
    </row>
    <row r="163" spans="1:7" x14ac:dyDescent="0.35">
      <c r="A163">
        <v>2019</v>
      </c>
      <c r="B163" t="s">
        <v>53</v>
      </c>
      <c r="C163" t="s">
        <v>174</v>
      </c>
      <c r="D163" t="s">
        <v>175</v>
      </c>
      <c r="E163" t="s">
        <v>91</v>
      </c>
      <c r="F163" t="s">
        <v>7</v>
      </c>
      <c r="G163">
        <v>9</v>
      </c>
    </row>
    <row r="164" spans="1:7" x14ac:dyDescent="0.35">
      <c r="A164">
        <v>2019</v>
      </c>
      <c r="B164" t="s">
        <v>53</v>
      </c>
      <c r="C164" t="s">
        <v>174</v>
      </c>
      <c r="D164" t="s">
        <v>175</v>
      </c>
      <c r="E164" t="s">
        <v>113</v>
      </c>
      <c r="F164" t="s">
        <v>7</v>
      </c>
      <c r="G164">
        <v>10</v>
      </c>
    </row>
    <row r="165" spans="1:7" x14ac:dyDescent="0.35">
      <c r="A165">
        <v>2019</v>
      </c>
      <c r="B165" t="s">
        <v>53</v>
      </c>
      <c r="C165" t="s">
        <v>174</v>
      </c>
      <c r="D165" t="s">
        <v>175</v>
      </c>
      <c r="E165" t="s">
        <v>114</v>
      </c>
      <c r="F165" t="s">
        <v>7</v>
      </c>
      <c r="G165">
        <v>1</v>
      </c>
    </row>
    <row r="166" spans="1:7" x14ac:dyDescent="0.35">
      <c r="A166">
        <v>2019</v>
      </c>
      <c r="B166" t="s">
        <v>61</v>
      </c>
      <c r="C166" t="s">
        <v>174</v>
      </c>
      <c r="D166" t="s">
        <v>175</v>
      </c>
      <c r="E166" t="s">
        <v>112</v>
      </c>
      <c r="F166" t="s">
        <v>7</v>
      </c>
      <c r="G166">
        <v>0</v>
      </c>
    </row>
    <row r="167" spans="1:7" x14ac:dyDescent="0.35">
      <c r="A167">
        <v>2019</v>
      </c>
      <c r="B167" t="s">
        <v>61</v>
      </c>
      <c r="C167" t="s">
        <v>174</v>
      </c>
      <c r="D167" t="s">
        <v>175</v>
      </c>
      <c r="E167" t="s">
        <v>91</v>
      </c>
      <c r="F167" t="s">
        <v>7</v>
      </c>
      <c r="G167">
        <v>64</v>
      </c>
    </row>
    <row r="168" spans="1:7" x14ac:dyDescent="0.35">
      <c r="A168">
        <v>2019</v>
      </c>
      <c r="B168" t="s">
        <v>61</v>
      </c>
      <c r="C168" t="s">
        <v>174</v>
      </c>
      <c r="D168" t="s">
        <v>175</v>
      </c>
      <c r="E168" t="s">
        <v>113</v>
      </c>
      <c r="F168" t="s">
        <v>7</v>
      </c>
      <c r="G168">
        <v>12</v>
      </c>
    </row>
    <row r="169" spans="1:7" x14ac:dyDescent="0.35">
      <c r="A169">
        <v>2019</v>
      </c>
      <c r="B169" t="s">
        <v>61</v>
      </c>
      <c r="C169" t="s">
        <v>174</v>
      </c>
      <c r="D169" t="s">
        <v>175</v>
      </c>
      <c r="E169" t="s">
        <v>114</v>
      </c>
      <c r="F169" t="s">
        <v>7</v>
      </c>
      <c r="G169">
        <v>0</v>
      </c>
    </row>
    <row r="170" spans="1:7" x14ac:dyDescent="0.35">
      <c r="A170">
        <v>2019</v>
      </c>
      <c r="B170" t="s">
        <v>54</v>
      </c>
      <c r="C170" t="s">
        <v>174</v>
      </c>
      <c r="D170" t="s">
        <v>175</v>
      </c>
      <c r="E170" t="s">
        <v>112</v>
      </c>
      <c r="F170" t="s">
        <v>7</v>
      </c>
      <c r="G170">
        <v>27</v>
      </c>
    </row>
    <row r="171" spans="1:7" x14ac:dyDescent="0.35">
      <c r="A171">
        <v>2019</v>
      </c>
      <c r="B171" t="s">
        <v>54</v>
      </c>
      <c r="C171" t="s">
        <v>174</v>
      </c>
      <c r="D171" t="s">
        <v>175</v>
      </c>
      <c r="E171" t="s">
        <v>91</v>
      </c>
      <c r="F171" t="s">
        <v>7</v>
      </c>
      <c r="G171">
        <v>13</v>
      </c>
    </row>
    <row r="172" spans="1:7" x14ac:dyDescent="0.35">
      <c r="A172">
        <v>2019</v>
      </c>
      <c r="B172" t="s">
        <v>54</v>
      </c>
      <c r="C172" t="s">
        <v>174</v>
      </c>
      <c r="D172" t="s">
        <v>175</v>
      </c>
      <c r="E172" t="s">
        <v>113</v>
      </c>
      <c r="F172" t="s">
        <v>7</v>
      </c>
      <c r="G172">
        <v>1</v>
      </c>
    </row>
    <row r="173" spans="1:7" x14ac:dyDescent="0.35">
      <c r="A173">
        <v>2019</v>
      </c>
      <c r="B173" t="s">
        <v>54</v>
      </c>
      <c r="C173" t="s">
        <v>174</v>
      </c>
      <c r="D173" t="s">
        <v>175</v>
      </c>
      <c r="E173" t="s">
        <v>114</v>
      </c>
      <c r="F173" t="s">
        <v>7</v>
      </c>
      <c r="G173">
        <v>0</v>
      </c>
    </row>
    <row r="174" spans="1:7" x14ac:dyDescent="0.35">
      <c r="A174">
        <v>2019</v>
      </c>
      <c r="B174" t="s">
        <v>62</v>
      </c>
      <c r="C174" t="s">
        <v>174</v>
      </c>
      <c r="D174" t="s">
        <v>175</v>
      </c>
      <c r="E174" t="s">
        <v>112</v>
      </c>
      <c r="F174" t="s">
        <v>7</v>
      </c>
      <c r="G174">
        <v>19</v>
      </c>
    </row>
    <row r="175" spans="1:7" x14ac:dyDescent="0.35">
      <c r="A175">
        <v>2019</v>
      </c>
      <c r="B175" t="s">
        <v>62</v>
      </c>
      <c r="C175" t="s">
        <v>174</v>
      </c>
      <c r="D175" t="s">
        <v>175</v>
      </c>
      <c r="E175" t="s">
        <v>91</v>
      </c>
      <c r="F175" t="s">
        <v>7</v>
      </c>
      <c r="G175">
        <v>61</v>
      </c>
    </row>
    <row r="176" spans="1:7" x14ac:dyDescent="0.35">
      <c r="A176">
        <v>2019</v>
      </c>
      <c r="B176" t="s">
        <v>62</v>
      </c>
      <c r="C176" t="s">
        <v>174</v>
      </c>
      <c r="D176" t="s">
        <v>175</v>
      </c>
      <c r="E176" t="s">
        <v>113</v>
      </c>
      <c r="F176" t="s">
        <v>7</v>
      </c>
      <c r="G176">
        <v>33</v>
      </c>
    </row>
    <row r="177" spans="1:7" x14ac:dyDescent="0.35">
      <c r="A177">
        <v>2019</v>
      </c>
      <c r="B177" t="s">
        <v>62</v>
      </c>
      <c r="C177" t="s">
        <v>174</v>
      </c>
      <c r="D177" t="s">
        <v>175</v>
      </c>
      <c r="E177" t="s">
        <v>114</v>
      </c>
      <c r="F177" t="s">
        <v>7</v>
      </c>
      <c r="G177">
        <v>4</v>
      </c>
    </row>
    <row r="178" spans="1:7" x14ac:dyDescent="0.35">
      <c r="A178">
        <v>2019</v>
      </c>
      <c r="B178" t="s">
        <v>28</v>
      </c>
      <c r="C178" t="s">
        <v>174</v>
      </c>
      <c r="D178" t="s">
        <v>175</v>
      </c>
      <c r="E178" t="s">
        <v>112</v>
      </c>
      <c r="F178" t="s">
        <v>7</v>
      </c>
      <c r="G178">
        <v>57</v>
      </c>
    </row>
    <row r="179" spans="1:7" x14ac:dyDescent="0.35">
      <c r="A179">
        <v>2019</v>
      </c>
      <c r="B179" t="s">
        <v>28</v>
      </c>
      <c r="C179" t="s">
        <v>174</v>
      </c>
      <c r="D179" t="s">
        <v>175</v>
      </c>
      <c r="E179" t="s">
        <v>91</v>
      </c>
      <c r="F179" t="s">
        <v>7</v>
      </c>
      <c r="G179">
        <v>10</v>
      </c>
    </row>
    <row r="180" spans="1:7" x14ac:dyDescent="0.35">
      <c r="A180">
        <v>2019</v>
      </c>
      <c r="B180" t="s">
        <v>28</v>
      </c>
      <c r="C180" t="s">
        <v>174</v>
      </c>
      <c r="D180" t="s">
        <v>175</v>
      </c>
      <c r="E180" t="s">
        <v>113</v>
      </c>
      <c r="F180" t="s">
        <v>7</v>
      </c>
      <c r="G180">
        <v>51</v>
      </c>
    </row>
    <row r="181" spans="1:7" x14ac:dyDescent="0.35">
      <c r="A181">
        <v>2019</v>
      </c>
      <c r="B181" t="s">
        <v>28</v>
      </c>
      <c r="C181" t="s">
        <v>174</v>
      </c>
      <c r="D181" t="s">
        <v>175</v>
      </c>
      <c r="E181" t="s">
        <v>114</v>
      </c>
      <c r="F181" t="s">
        <v>7</v>
      </c>
      <c r="G181">
        <v>0</v>
      </c>
    </row>
    <row r="182" spans="1:7" x14ac:dyDescent="0.35">
      <c r="A182">
        <v>2019</v>
      </c>
      <c r="B182" t="s">
        <v>43</v>
      </c>
      <c r="C182" t="s">
        <v>174</v>
      </c>
      <c r="D182" t="s">
        <v>175</v>
      </c>
      <c r="E182" t="s">
        <v>112</v>
      </c>
      <c r="F182" t="s">
        <v>7</v>
      </c>
      <c r="G182">
        <v>0</v>
      </c>
    </row>
    <row r="183" spans="1:7" x14ac:dyDescent="0.35">
      <c r="A183">
        <v>2019</v>
      </c>
      <c r="B183" t="s">
        <v>43</v>
      </c>
      <c r="C183" t="s">
        <v>174</v>
      </c>
      <c r="D183" t="s">
        <v>175</v>
      </c>
      <c r="E183" t="s">
        <v>91</v>
      </c>
      <c r="F183" t="s">
        <v>7</v>
      </c>
      <c r="G183">
        <v>0</v>
      </c>
    </row>
    <row r="184" spans="1:7" x14ac:dyDescent="0.35">
      <c r="A184">
        <v>2019</v>
      </c>
      <c r="B184" t="s">
        <v>43</v>
      </c>
      <c r="C184" t="s">
        <v>174</v>
      </c>
      <c r="D184" t="s">
        <v>175</v>
      </c>
      <c r="E184" t="s">
        <v>113</v>
      </c>
      <c r="F184" t="s">
        <v>7</v>
      </c>
      <c r="G184">
        <v>1</v>
      </c>
    </row>
    <row r="185" spans="1:7" x14ac:dyDescent="0.35">
      <c r="A185">
        <v>2019</v>
      </c>
      <c r="B185" t="s">
        <v>43</v>
      </c>
      <c r="C185" t="s">
        <v>174</v>
      </c>
      <c r="D185" t="s">
        <v>175</v>
      </c>
      <c r="E185" t="s">
        <v>114</v>
      </c>
      <c r="F185" t="s">
        <v>7</v>
      </c>
      <c r="G185">
        <v>5</v>
      </c>
    </row>
    <row r="186" spans="1:7" x14ac:dyDescent="0.35">
      <c r="A186">
        <v>2019</v>
      </c>
      <c r="B186" t="s">
        <v>17</v>
      </c>
      <c r="C186" t="s">
        <v>174</v>
      </c>
      <c r="D186" t="s">
        <v>175</v>
      </c>
      <c r="E186" t="s">
        <v>112</v>
      </c>
      <c r="F186" t="s">
        <v>118</v>
      </c>
      <c r="G186">
        <v>0</v>
      </c>
    </row>
    <row r="187" spans="1:7" x14ac:dyDescent="0.35">
      <c r="A187">
        <v>2019</v>
      </c>
      <c r="B187" t="s">
        <v>17</v>
      </c>
      <c r="C187" t="s">
        <v>174</v>
      </c>
      <c r="D187" t="s">
        <v>175</v>
      </c>
      <c r="E187" t="s">
        <v>91</v>
      </c>
      <c r="F187" t="s">
        <v>118</v>
      </c>
      <c r="G187">
        <v>1</v>
      </c>
    </row>
    <row r="188" spans="1:7" x14ac:dyDescent="0.35">
      <c r="A188">
        <v>2019</v>
      </c>
      <c r="B188" t="s">
        <v>17</v>
      </c>
      <c r="C188" t="s">
        <v>174</v>
      </c>
      <c r="D188" t="s">
        <v>175</v>
      </c>
      <c r="E188" t="s">
        <v>113</v>
      </c>
      <c r="F188" t="s">
        <v>118</v>
      </c>
      <c r="G188">
        <v>0</v>
      </c>
    </row>
    <row r="189" spans="1:7" x14ac:dyDescent="0.35">
      <c r="A189">
        <v>2019</v>
      </c>
      <c r="B189" t="s">
        <v>17</v>
      </c>
      <c r="C189" t="s">
        <v>174</v>
      </c>
      <c r="D189" t="s">
        <v>175</v>
      </c>
      <c r="E189" t="s">
        <v>114</v>
      </c>
      <c r="F189" t="s">
        <v>118</v>
      </c>
      <c r="G189">
        <v>0</v>
      </c>
    </row>
    <row r="190" spans="1:7" x14ac:dyDescent="0.35">
      <c r="A190">
        <v>2019</v>
      </c>
      <c r="B190" t="s">
        <v>18</v>
      </c>
      <c r="C190" t="s">
        <v>174</v>
      </c>
      <c r="D190" t="s">
        <v>175</v>
      </c>
      <c r="E190" t="s">
        <v>112</v>
      </c>
      <c r="F190" t="s">
        <v>118</v>
      </c>
      <c r="G190">
        <v>0</v>
      </c>
    </row>
    <row r="191" spans="1:7" x14ac:dyDescent="0.35">
      <c r="A191">
        <v>2019</v>
      </c>
      <c r="B191" t="s">
        <v>18</v>
      </c>
      <c r="C191" t="s">
        <v>174</v>
      </c>
      <c r="D191" t="s">
        <v>175</v>
      </c>
      <c r="E191" t="s">
        <v>91</v>
      </c>
      <c r="F191" t="s">
        <v>118</v>
      </c>
      <c r="G191">
        <v>1</v>
      </c>
    </row>
    <row r="192" spans="1:7" x14ac:dyDescent="0.35">
      <c r="A192">
        <v>2019</v>
      </c>
      <c r="B192" t="s">
        <v>18</v>
      </c>
      <c r="C192" t="s">
        <v>174</v>
      </c>
      <c r="D192" t="s">
        <v>175</v>
      </c>
      <c r="E192" t="s">
        <v>113</v>
      </c>
      <c r="F192" t="s">
        <v>118</v>
      </c>
      <c r="G192">
        <v>0</v>
      </c>
    </row>
    <row r="193" spans="1:7" x14ac:dyDescent="0.35">
      <c r="A193">
        <v>2019</v>
      </c>
      <c r="B193" t="s">
        <v>18</v>
      </c>
      <c r="C193" t="s">
        <v>174</v>
      </c>
      <c r="D193" t="s">
        <v>175</v>
      </c>
      <c r="E193" t="s">
        <v>114</v>
      </c>
      <c r="F193" t="s">
        <v>118</v>
      </c>
      <c r="G193">
        <v>0</v>
      </c>
    </row>
    <row r="194" spans="1:7" x14ac:dyDescent="0.35">
      <c r="A194">
        <v>2019</v>
      </c>
      <c r="B194" t="s">
        <v>19</v>
      </c>
      <c r="C194" t="s">
        <v>174</v>
      </c>
      <c r="D194" t="s">
        <v>175</v>
      </c>
      <c r="E194" t="s">
        <v>112</v>
      </c>
      <c r="F194" t="s">
        <v>118</v>
      </c>
      <c r="G194">
        <v>1</v>
      </c>
    </row>
    <row r="195" spans="1:7" x14ac:dyDescent="0.35">
      <c r="A195">
        <v>2019</v>
      </c>
      <c r="B195" t="s">
        <v>19</v>
      </c>
      <c r="C195" t="s">
        <v>174</v>
      </c>
      <c r="D195" t="s">
        <v>175</v>
      </c>
      <c r="E195" t="s">
        <v>91</v>
      </c>
      <c r="F195" t="s">
        <v>118</v>
      </c>
      <c r="G195">
        <v>1</v>
      </c>
    </row>
    <row r="196" spans="1:7" x14ac:dyDescent="0.35">
      <c r="A196">
        <v>2019</v>
      </c>
      <c r="B196" t="s">
        <v>19</v>
      </c>
      <c r="C196" t="s">
        <v>174</v>
      </c>
      <c r="D196" t="s">
        <v>175</v>
      </c>
      <c r="E196" t="s">
        <v>113</v>
      </c>
      <c r="F196" t="s">
        <v>118</v>
      </c>
      <c r="G196">
        <v>1</v>
      </c>
    </row>
    <row r="197" spans="1:7" x14ac:dyDescent="0.35">
      <c r="A197">
        <v>2019</v>
      </c>
      <c r="B197" t="s">
        <v>19</v>
      </c>
      <c r="C197" t="s">
        <v>174</v>
      </c>
      <c r="D197" t="s">
        <v>175</v>
      </c>
      <c r="E197" t="s">
        <v>114</v>
      </c>
      <c r="F197" t="s">
        <v>118</v>
      </c>
      <c r="G197">
        <v>0</v>
      </c>
    </row>
    <row r="198" spans="1:7" x14ac:dyDescent="0.35">
      <c r="A198">
        <v>2019</v>
      </c>
      <c r="B198" t="s">
        <v>20</v>
      </c>
      <c r="C198" t="s">
        <v>174</v>
      </c>
      <c r="D198" t="s">
        <v>175</v>
      </c>
      <c r="E198" t="s">
        <v>112</v>
      </c>
      <c r="F198" t="s">
        <v>118</v>
      </c>
      <c r="G198">
        <v>0</v>
      </c>
    </row>
    <row r="199" spans="1:7" x14ac:dyDescent="0.35">
      <c r="A199">
        <v>2019</v>
      </c>
      <c r="B199" t="s">
        <v>20</v>
      </c>
      <c r="C199" t="s">
        <v>174</v>
      </c>
      <c r="D199" t="s">
        <v>175</v>
      </c>
      <c r="E199" t="s">
        <v>91</v>
      </c>
      <c r="F199" t="s">
        <v>118</v>
      </c>
      <c r="G199">
        <v>0</v>
      </c>
    </row>
    <row r="200" spans="1:7" x14ac:dyDescent="0.35">
      <c r="A200">
        <v>2019</v>
      </c>
      <c r="B200" t="s">
        <v>20</v>
      </c>
      <c r="C200" t="s">
        <v>174</v>
      </c>
      <c r="D200" t="s">
        <v>175</v>
      </c>
      <c r="E200" t="s">
        <v>113</v>
      </c>
      <c r="F200" t="s">
        <v>118</v>
      </c>
      <c r="G200">
        <v>0</v>
      </c>
    </row>
    <row r="201" spans="1:7" x14ac:dyDescent="0.35">
      <c r="A201">
        <v>2019</v>
      </c>
      <c r="B201" t="s">
        <v>20</v>
      </c>
      <c r="C201" t="s">
        <v>174</v>
      </c>
      <c r="D201" t="s">
        <v>175</v>
      </c>
      <c r="E201" t="s">
        <v>114</v>
      </c>
      <c r="F201" t="s">
        <v>118</v>
      </c>
      <c r="G201">
        <v>0</v>
      </c>
    </row>
    <row r="202" spans="1:7" x14ac:dyDescent="0.35">
      <c r="A202">
        <v>2019</v>
      </c>
      <c r="B202" t="s">
        <v>21</v>
      </c>
      <c r="C202" t="s">
        <v>174</v>
      </c>
      <c r="D202" t="s">
        <v>175</v>
      </c>
      <c r="E202" t="s">
        <v>112</v>
      </c>
      <c r="F202" t="s">
        <v>118</v>
      </c>
      <c r="G202">
        <v>3</v>
      </c>
    </row>
    <row r="203" spans="1:7" x14ac:dyDescent="0.35">
      <c r="A203">
        <v>2019</v>
      </c>
      <c r="B203" t="s">
        <v>21</v>
      </c>
      <c r="C203" t="s">
        <v>174</v>
      </c>
      <c r="D203" t="s">
        <v>175</v>
      </c>
      <c r="E203" t="s">
        <v>91</v>
      </c>
      <c r="F203" t="s">
        <v>118</v>
      </c>
      <c r="G203">
        <v>0</v>
      </c>
    </row>
    <row r="204" spans="1:7" x14ac:dyDescent="0.35">
      <c r="A204">
        <v>2019</v>
      </c>
      <c r="B204" t="s">
        <v>21</v>
      </c>
      <c r="C204" t="s">
        <v>174</v>
      </c>
      <c r="D204" t="s">
        <v>175</v>
      </c>
      <c r="E204" t="s">
        <v>113</v>
      </c>
      <c r="F204" t="s">
        <v>118</v>
      </c>
      <c r="G204">
        <v>0</v>
      </c>
    </row>
    <row r="205" spans="1:7" x14ac:dyDescent="0.35">
      <c r="A205">
        <v>2019</v>
      </c>
      <c r="B205" t="s">
        <v>21</v>
      </c>
      <c r="C205" t="s">
        <v>174</v>
      </c>
      <c r="D205" t="s">
        <v>175</v>
      </c>
      <c r="E205" t="s">
        <v>114</v>
      </c>
      <c r="F205" t="s">
        <v>118</v>
      </c>
      <c r="G205">
        <v>0</v>
      </c>
    </row>
    <row r="206" spans="1:7" x14ac:dyDescent="0.35">
      <c r="A206">
        <v>2019</v>
      </c>
      <c r="B206" t="s">
        <v>22</v>
      </c>
      <c r="C206" t="s">
        <v>174</v>
      </c>
      <c r="D206" t="s">
        <v>175</v>
      </c>
      <c r="E206" t="s">
        <v>112</v>
      </c>
      <c r="F206" t="s">
        <v>118</v>
      </c>
      <c r="G206">
        <v>0</v>
      </c>
    </row>
    <row r="207" spans="1:7" x14ac:dyDescent="0.35">
      <c r="A207">
        <v>2019</v>
      </c>
      <c r="B207" t="s">
        <v>22</v>
      </c>
      <c r="C207" t="s">
        <v>174</v>
      </c>
      <c r="D207" t="s">
        <v>175</v>
      </c>
      <c r="E207" t="s">
        <v>91</v>
      </c>
      <c r="F207" t="s">
        <v>118</v>
      </c>
      <c r="G207">
        <v>0</v>
      </c>
    </row>
    <row r="208" spans="1:7" x14ac:dyDescent="0.35">
      <c r="A208">
        <v>2019</v>
      </c>
      <c r="B208" t="s">
        <v>22</v>
      </c>
      <c r="C208" t="s">
        <v>174</v>
      </c>
      <c r="D208" t="s">
        <v>175</v>
      </c>
      <c r="E208" t="s">
        <v>113</v>
      </c>
      <c r="F208" t="s">
        <v>118</v>
      </c>
      <c r="G208">
        <v>0</v>
      </c>
    </row>
    <row r="209" spans="1:7" x14ac:dyDescent="0.35">
      <c r="A209">
        <v>2019</v>
      </c>
      <c r="B209" t="s">
        <v>22</v>
      </c>
      <c r="C209" t="s">
        <v>174</v>
      </c>
      <c r="D209" t="s">
        <v>175</v>
      </c>
      <c r="E209" t="s">
        <v>114</v>
      </c>
      <c r="F209" t="s">
        <v>118</v>
      </c>
      <c r="G209">
        <v>0</v>
      </c>
    </row>
    <row r="210" spans="1:7" x14ac:dyDescent="0.35">
      <c r="A210">
        <v>2019</v>
      </c>
      <c r="B210" t="s">
        <v>23</v>
      </c>
      <c r="C210" t="s">
        <v>174</v>
      </c>
      <c r="D210" t="s">
        <v>175</v>
      </c>
      <c r="E210" t="s">
        <v>112</v>
      </c>
      <c r="F210" t="s">
        <v>118</v>
      </c>
      <c r="G210">
        <v>0</v>
      </c>
    </row>
    <row r="211" spans="1:7" x14ac:dyDescent="0.35">
      <c r="A211">
        <v>2019</v>
      </c>
      <c r="B211" t="s">
        <v>23</v>
      </c>
      <c r="C211" t="s">
        <v>174</v>
      </c>
      <c r="D211" t="s">
        <v>175</v>
      </c>
      <c r="E211" t="s">
        <v>91</v>
      </c>
      <c r="F211" t="s">
        <v>118</v>
      </c>
      <c r="G211">
        <v>0</v>
      </c>
    </row>
    <row r="212" spans="1:7" x14ac:dyDescent="0.35">
      <c r="A212">
        <v>2019</v>
      </c>
      <c r="B212" t="s">
        <v>23</v>
      </c>
      <c r="C212" t="s">
        <v>174</v>
      </c>
      <c r="D212" t="s">
        <v>175</v>
      </c>
      <c r="E212" t="s">
        <v>113</v>
      </c>
      <c r="F212" t="s">
        <v>118</v>
      </c>
      <c r="G212">
        <v>0</v>
      </c>
    </row>
    <row r="213" spans="1:7" x14ac:dyDescent="0.35">
      <c r="A213">
        <v>2019</v>
      </c>
      <c r="B213" t="s">
        <v>23</v>
      </c>
      <c r="C213" t="s">
        <v>174</v>
      </c>
      <c r="D213" t="s">
        <v>175</v>
      </c>
      <c r="E213" t="s">
        <v>114</v>
      </c>
      <c r="F213" t="s">
        <v>118</v>
      </c>
      <c r="G213">
        <v>0</v>
      </c>
    </row>
    <row r="214" spans="1:7" x14ac:dyDescent="0.35">
      <c r="A214">
        <v>2019</v>
      </c>
      <c r="B214" t="s">
        <v>24</v>
      </c>
      <c r="C214" t="s">
        <v>174</v>
      </c>
      <c r="D214" t="s">
        <v>175</v>
      </c>
      <c r="E214" t="s">
        <v>112</v>
      </c>
      <c r="F214" t="s">
        <v>118</v>
      </c>
      <c r="G214">
        <v>0</v>
      </c>
    </row>
    <row r="215" spans="1:7" x14ac:dyDescent="0.35">
      <c r="A215">
        <v>2019</v>
      </c>
      <c r="B215" t="s">
        <v>24</v>
      </c>
      <c r="C215" t="s">
        <v>174</v>
      </c>
      <c r="D215" t="s">
        <v>175</v>
      </c>
      <c r="E215" t="s">
        <v>91</v>
      </c>
      <c r="F215" t="s">
        <v>118</v>
      </c>
      <c r="G215">
        <v>0</v>
      </c>
    </row>
    <row r="216" spans="1:7" x14ac:dyDescent="0.35">
      <c r="A216">
        <v>2019</v>
      </c>
      <c r="B216" t="s">
        <v>24</v>
      </c>
      <c r="C216" t="s">
        <v>174</v>
      </c>
      <c r="D216" t="s">
        <v>175</v>
      </c>
      <c r="E216" t="s">
        <v>113</v>
      </c>
      <c r="F216" t="s">
        <v>118</v>
      </c>
      <c r="G216">
        <v>0</v>
      </c>
    </row>
    <row r="217" spans="1:7" x14ac:dyDescent="0.35">
      <c r="A217">
        <v>2019</v>
      </c>
      <c r="B217" t="s">
        <v>24</v>
      </c>
      <c r="C217" t="s">
        <v>174</v>
      </c>
      <c r="D217" t="s">
        <v>175</v>
      </c>
      <c r="E217" t="s">
        <v>114</v>
      </c>
      <c r="F217" t="s">
        <v>118</v>
      </c>
      <c r="G217">
        <v>0</v>
      </c>
    </row>
    <row r="218" spans="1:7" x14ac:dyDescent="0.35">
      <c r="A218">
        <v>2019</v>
      </c>
      <c r="B218" t="s">
        <v>25</v>
      </c>
      <c r="C218" t="s">
        <v>174</v>
      </c>
      <c r="D218" t="s">
        <v>175</v>
      </c>
      <c r="E218" t="s">
        <v>112</v>
      </c>
      <c r="F218" t="s">
        <v>118</v>
      </c>
      <c r="G218">
        <v>0</v>
      </c>
    </row>
    <row r="219" spans="1:7" x14ac:dyDescent="0.35">
      <c r="A219">
        <v>2019</v>
      </c>
      <c r="B219" t="s">
        <v>25</v>
      </c>
      <c r="C219" t="s">
        <v>174</v>
      </c>
      <c r="D219" t="s">
        <v>175</v>
      </c>
      <c r="E219" t="s">
        <v>91</v>
      </c>
      <c r="F219" t="s">
        <v>118</v>
      </c>
      <c r="G219">
        <v>0</v>
      </c>
    </row>
    <row r="220" spans="1:7" x14ac:dyDescent="0.35">
      <c r="A220">
        <v>2019</v>
      </c>
      <c r="B220" t="s">
        <v>25</v>
      </c>
      <c r="C220" t="s">
        <v>174</v>
      </c>
      <c r="D220" t="s">
        <v>175</v>
      </c>
      <c r="E220" t="s">
        <v>113</v>
      </c>
      <c r="F220" t="s">
        <v>118</v>
      </c>
      <c r="G220">
        <v>0</v>
      </c>
    </row>
    <row r="221" spans="1:7" x14ac:dyDescent="0.35">
      <c r="A221">
        <v>2019</v>
      </c>
      <c r="B221" t="s">
        <v>25</v>
      </c>
      <c r="C221" t="s">
        <v>174</v>
      </c>
      <c r="D221" t="s">
        <v>175</v>
      </c>
      <c r="E221" t="s">
        <v>114</v>
      </c>
      <c r="F221" t="s">
        <v>118</v>
      </c>
      <c r="G221">
        <v>0</v>
      </c>
    </row>
    <row r="222" spans="1:7" x14ac:dyDescent="0.35">
      <c r="A222">
        <v>2019</v>
      </c>
      <c r="B222" t="s">
        <v>26</v>
      </c>
      <c r="C222" t="s">
        <v>174</v>
      </c>
      <c r="D222" t="s">
        <v>175</v>
      </c>
      <c r="E222" t="s">
        <v>112</v>
      </c>
      <c r="F222" t="s">
        <v>118</v>
      </c>
      <c r="G222">
        <v>2</v>
      </c>
    </row>
    <row r="223" spans="1:7" x14ac:dyDescent="0.35">
      <c r="A223">
        <v>2019</v>
      </c>
      <c r="B223" t="s">
        <v>26</v>
      </c>
      <c r="C223" t="s">
        <v>174</v>
      </c>
      <c r="D223" t="s">
        <v>175</v>
      </c>
      <c r="E223" t="s">
        <v>91</v>
      </c>
      <c r="F223" t="s">
        <v>118</v>
      </c>
      <c r="G223">
        <v>0</v>
      </c>
    </row>
    <row r="224" spans="1:7" x14ac:dyDescent="0.35">
      <c r="A224">
        <v>2019</v>
      </c>
      <c r="B224" t="s">
        <v>26</v>
      </c>
      <c r="C224" t="s">
        <v>174</v>
      </c>
      <c r="D224" t="s">
        <v>175</v>
      </c>
      <c r="E224" t="s">
        <v>113</v>
      </c>
      <c r="F224" t="s">
        <v>118</v>
      </c>
      <c r="G224">
        <v>3</v>
      </c>
    </row>
    <row r="225" spans="1:7" x14ac:dyDescent="0.35">
      <c r="A225">
        <v>2019</v>
      </c>
      <c r="B225" t="s">
        <v>26</v>
      </c>
      <c r="C225" t="s">
        <v>174</v>
      </c>
      <c r="D225" t="s">
        <v>175</v>
      </c>
      <c r="E225" t="s">
        <v>114</v>
      </c>
      <c r="F225" t="s">
        <v>118</v>
      </c>
      <c r="G225">
        <v>0</v>
      </c>
    </row>
    <row r="226" spans="1:7" x14ac:dyDescent="0.35">
      <c r="A226">
        <v>2019</v>
      </c>
      <c r="B226" t="s">
        <v>27</v>
      </c>
      <c r="C226" t="s">
        <v>174</v>
      </c>
      <c r="D226" t="s">
        <v>175</v>
      </c>
      <c r="E226" t="s">
        <v>112</v>
      </c>
      <c r="F226" t="s">
        <v>118</v>
      </c>
      <c r="G226">
        <v>2</v>
      </c>
    </row>
    <row r="227" spans="1:7" x14ac:dyDescent="0.35">
      <c r="A227">
        <v>2019</v>
      </c>
      <c r="B227" t="s">
        <v>27</v>
      </c>
      <c r="C227" t="s">
        <v>174</v>
      </c>
      <c r="D227" t="s">
        <v>175</v>
      </c>
      <c r="E227" t="s">
        <v>91</v>
      </c>
      <c r="F227" t="s">
        <v>118</v>
      </c>
      <c r="G227">
        <v>0</v>
      </c>
    </row>
    <row r="228" spans="1:7" x14ac:dyDescent="0.35">
      <c r="A228">
        <v>2019</v>
      </c>
      <c r="B228" t="s">
        <v>27</v>
      </c>
      <c r="C228" t="s">
        <v>174</v>
      </c>
      <c r="D228" t="s">
        <v>175</v>
      </c>
      <c r="E228" t="s">
        <v>113</v>
      </c>
      <c r="F228" t="s">
        <v>118</v>
      </c>
      <c r="G228">
        <v>1</v>
      </c>
    </row>
    <row r="229" spans="1:7" x14ac:dyDescent="0.35">
      <c r="A229">
        <v>2019</v>
      </c>
      <c r="B229" t="s">
        <v>27</v>
      </c>
      <c r="C229" t="s">
        <v>174</v>
      </c>
      <c r="D229" t="s">
        <v>175</v>
      </c>
      <c r="E229" t="s">
        <v>114</v>
      </c>
      <c r="F229" t="s">
        <v>118</v>
      </c>
      <c r="G229">
        <v>0</v>
      </c>
    </row>
    <row r="230" spans="1:7" x14ac:dyDescent="0.35">
      <c r="A230">
        <v>2019</v>
      </c>
      <c r="B230" t="s">
        <v>29</v>
      </c>
      <c r="C230" t="s">
        <v>174</v>
      </c>
      <c r="D230" t="s">
        <v>175</v>
      </c>
      <c r="E230" t="s">
        <v>112</v>
      </c>
      <c r="F230" t="s">
        <v>118</v>
      </c>
      <c r="G230">
        <v>0</v>
      </c>
    </row>
    <row r="231" spans="1:7" x14ac:dyDescent="0.35">
      <c r="A231">
        <v>2019</v>
      </c>
      <c r="B231" t="s">
        <v>29</v>
      </c>
      <c r="C231" t="s">
        <v>174</v>
      </c>
      <c r="D231" t="s">
        <v>175</v>
      </c>
      <c r="E231" t="s">
        <v>91</v>
      </c>
      <c r="F231" t="s">
        <v>118</v>
      </c>
      <c r="G231">
        <v>0</v>
      </c>
    </row>
    <row r="232" spans="1:7" x14ac:dyDescent="0.35">
      <c r="A232">
        <v>2019</v>
      </c>
      <c r="B232" t="s">
        <v>29</v>
      </c>
      <c r="C232" t="s">
        <v>174</v>
      </c>
      <c r="D232" t="s">
        <v>175</v>
      </c>
      <c r="E232" t="s">
        <v>113</v>
      </c>
      <c r="F232" t="s">
        <v>118</v>
      </c>
      <c r="G232">
        <v>0</v>
      </c>
    </row>
    <row r="233" spans="1:7" x14ac:dyDescent="0.35">
      <c r="A233">
        <v>2019</v>
      </c>
      <c r="B233" t="s">
        <v>29</v>
      </c>
      <c r="C233" t="s">
        <v>174</v>
      </c>
      <c r="D233" t="s">
        <v>175</v>
      </c>
      <c r="E233" t="s">
        <v>114</v>
      </c>
      <c r="F233" t="s">
        <v>118</v>
      </c>
      <c r="G233">
        <v>0</v>
      </c>
    </row>
    <row r="234" spans="1:7" x14ac:dyDescent="0.35">
      <c r="A234">
        <v>2019</v>
      </c>
      <c r="B234" t="s">
        <v>30</v>
      </c>
      <c r="C234" t="s">
        <v>174</v>
      </c>
      <c r="D234" t="s">
        <v>175</v>
      </c>
      <c r="E234" t="s">
        <v>112</v>
      </c>
      <c r="F234" t="s">
        <v>118</v>
      </c>
      <c r="G234">
        <v>1</v>
      </c>
    </row>
    <row r="235" spans="1:7" x14ac:dyDescent="0.35">
      <c r="A235">
        <v>2019</v>
      </c>
      <c r="B235" t="s">
        <v>30</v>
      </c>
      <c r="C235" t="s">
        <v>174</v>
      </c>
      <c r="D235" t="s">
        <v>175</v>
      </c>
      <c r="E235" t="s">
        <v>91</v>
      </c>
      <c r="F235" t="s">
        <v>118</v>
      </c>
      <c r="G235">
        <v>0</v>
      </c>
    </row>
    <row r="236" spans="1:7" x14ac:dyDescent="0.35">
      <c r="A236">
        <v>2019</v>
      </c>
      <c r="B236" t="s">
        <v>30</v>
      </c>
      <c r="C236" t="s">
        <v>174</v>
      </c>
      <c r="D236" t="s">
        <v>175</v>
      </c>
      <c r="E236" t="s">
        <v>113</v>
      </c>
      <c r="F236" t="s">
        <v>118</v>
      </c>
      <c r="G236">
        <v>0</v>
      </c>
    </row>
    <row r="237" spans="1:7" x14ac:dyDescent="0.35">
      <c r="A237">
        <v>2019</v>
      </c>
      <c r="B237" t="s">
        <v>30</v>
      </c>
      <c r="C237" t="s">
        <v>174</v>
      </c>
      <c r="D237" t="s">
        <v>175</v>
      </c>
      <c r="E237" t="s">
        <v>114</v>
      </c>
      <c r="F237" t="s">
        <v>118</v>
      </c>
      <c r="G237">
        <v>0</v>
      </c>
    </row>
    <row r="238" spans="1:7" x14ac:dyDescent="0.35">
      <c r="A238">
        <v>2019</v>
      </c>
      <c r="B238" t="s">
        <v>31</v>
      </c>
      <c r="C238" t="s">
        <v>174</v>
      </c>
      <c r="D238" t="s">
        <v>175</v>
      </c>
      <c r="E238" t="s">
        <v>112</v>
      </c>
      <c r="F238" t="s">
        <v>118</v>
      </c>
      <c r="G238">
        <v>2</v>
      </c>
    </row>
    <row r="239" spans="1:7" x14ac:dyDescent="0.35">
      <c r="A239">
        <v>2019</v>
      </c>
      <c r="B239" t="s">
        <v>31</v>
      </c>
      <c r="C239" t="s">
        <v>174</v>
      </c>
      <c r="D239" t="s">
        <v>175</v>
      </c>
      <c r="E239" t="s">
        <v>91</v>
      </c>
      <c r="F239" t="s">
        <v>118</v>
      </c>
      <c r="G239">
        <v>0</v>
      </c>
    </row>
    <row r="240" spans="1:7" x14ac:dyDescent="0.35">
      <c r="A240">
        <v>2019</v>
      </c>
      <c r="B240" t="s">
        <v>31</v>
      </c>
      <c r="C240" t="s">
        <v>174</v>
      </c>
      <c r="D240" t="s">
        <v>175</v>
      </c>
      <c r="E240" t="s">
        <v>113</v>
      </c>
      <c r="F240" t="s">
        <v>118</v>
      </c>
      <c r="G240">
        <v>0</v>
      </c>
    </row>
    <row r="241" spans="1:7" x14ac:dyDescent="0.35">
      <c r="A241">
        <v>2019</v>
      </c>
      <c r="B241" t="s">
        <v>31</v>
      </c>
      <c r="C241" t="s">
        <v>174</v>
      </c>
      <c r="D241" t="s">
        <v>175</v>
      </c>
      <c r="E241" t="s">
        <v>114</v>
      </c>
      <c r="F241" t="s">
        <v>118</v>
      </c>
      <c r="G241">
        <v>0</v>
      </c>
    </row>
    <row r="242" spans="1:7" x14ac:dyDescent="0.35">
      <c r="A242">
        <v>2019</v>
      </c>
      <c r="B242" t="s">
        <v>32</v>
      </c>
      <c r="C242" t="s">
        <v>174</v>
      </c>
      <c r="D242" t="s">
        <v>175</v>
      </c>
      <c r="E242" t="s">
        <v>112</v>
      </c>
      <c r="F242" t="s">
        <v>118</v>
      </c>
      <c r="G242">
        <v>2</v>
      </c>
    </row>
    <row r="243" spans="1:7" x14ac:dyDescent="0.35">
      <c r="A243">
        <v>2019</v>
      </c>
      <c r="B243" t="s">
        <v>32</v>
      </c>
      <c r="C243" t="s">
        <v>174</v>
      </c>
      <c r="D243" t="s">
        <v>175</v>
      </c>
      <c r="E243" t="s">
        <v>91</v>
      </c>
      <c r="F243" t="s">
        <v>118</v>
      </c>
      <c r="G243">
        <v>1</v>
      </c>
    </row>
    <row r="244" spans="1:7" x14ac:dyDescent="0.35">
      <c r="A244">
        <v>2019</v>
      </c>
      <c r="B244" t="s">
        <v>32</v>
      </c>
      <c r="C244" t="s">
        <v>174</v>
      </c>
      <c r="D244" t="s">
        <v>175</v>
      </c>
      <c r="E244" t="s">
        <v>113</v>
      </c>
      <c r="F244" t="s">
        <v>118</v>
      </c>
      <c r="G244">
        <v>0</v>
      </c>
    </row>
    <row r="245" spans="1:7" x14ac:dyDescent="0.35">
      <c r="A245">
        <v>2019</v>
      </c>
      <c r="B245" t="s">
        <v>32</v>
      </c>
      <c r="C245" t="s">
        <v>174</v>
      </c>
      <c r="D245" t="s">
        <v>175</v>
      </c>
      <c r="E245" t="s">
        <v>114</v>
      </c>
      <c r="F245" t="s">
        <v>118</v>
      </c>
      <c r="G245">
        <v>0</v>
      </c>
    </row>
    <row r="246" spans="1:7" x14ac:dyDescent="0.35">
      <c r="A246">
        <v>2019</v>
      </c>
      <c r="B246" t="s">
        <v>63</v>
      </c>
      <c r="C246" t="s">
        <v>174</v>
      </c>
      <c r="D246" t="s">
        <v>175</v>
      </c>
      <c r="E246" t="s">
        <v>112</v>
      </c>
      <c r="F246" t="s">
        <v>118</v>
      </c>
      <c r="G246">
        <v>0</v>
      </c>
    </row>
    <row r="247" spans="1:7" x14ac:dyDescent="0.35">
      <c r="A247">
        <v>2019</v>
      </c>
      <c r="B247" t="s">
        <v>63</v>
      </c>
      <c r="C247" t="s">
        <v>174</v>
      </c>
      <c r="D247" t="s">
        <v>175</v>
      </c>
      <c r="E247" t="s">
        <v>91</v>
      </c>
      <c r="F247" t="s">
        <v>118</v>
      </c>
      <c r="G247">
        <v>19</v>
      </c>
    </row>
    <row r="248" spans="1:7" x14ac:dyDescent="0.35">
      <c r="A248">
        <v>2019</v>
      </c>
      <c r="B248" t="s">
        <v>63</v>
      </c>
      <c r="C248" t="s">
        <v>174</v>
      </c>
      <c r="D248" t="s">
        <v>175</v>
      </c>
      <c r="E248" t="s">
        <v>113</v>
      </c>
      <c r="F248" t="s">
        <v>118</v>
      </c>
      <c r="G248">
        <v>3</v>
      </c>
    </row>
    <row r="249" spans="1:7" x14ac:dyDescent="0.35">
      <c r="A249">
        <v>2019</v>
      </c>
      <c r="B249" t="s">
        <v>63</v>
      </c>
      <c r="C249" t="s">
        <v>174</v>
      </c>
      <c r="D249" t="s">
        <v>175</v>
      </c>
      <c r="E249" t="s">
        <v>114</v>
      </c>
      <c r="F249" t="s">
        <v>118</v>
      </c>
      <c r="G249">
        <v>0</v>
      </c>
    </row>
    <row r="250" spans="1:7" x14ac:dyDescent="0.35">
      <c r="A250">
        <v>2019</v>
      </c>
      <c r="B250" t="s">
        <v>57</v>
      </c>
      <c r="C250" t="s">
        <v>174</v>
      </c>
      <c r="D250" t="s">
        <v>175</v>
      </c>
      <c r="E250" t="s">
        <v>112</v>
      </c>
      <c r="F250" t="s">
        <v>118</v>
      </c>
      <c r="G250">
        <v>0</v>
      </c>
    </row>
    <row r="251" spans="1:7" x14ac:dyDescent="0.35">
      <c r="A251">
        <v>2019</v>
      </c>
      <c r="B251" t="s">
        <v>57</v>
      </c>
      <c r="C251" t="s">
        <v>174</v>
      </c>
      <c r="D251" t="s">
        <v>175</v>
      </c>
      <c r="E251" t="s">
        <v>91</v>
      </c>
      <c r="F251" t="s">
        <v>118</v>
      </c>
      <c r="G251">
        <v>2</v>
      </c>
    </row>
    <row r="252" spans="1:7" x14ac:dyDescent="0.35">
      <c r="A252">
        <v>2019</v>
      </c>
      <c r="B252" t="s">
        <v>57</v>
      </c>
      <c r="C252" t="s">
        <v>174</v>
      </c>
      <c r="D252" t="s">
        <v>175</v>
      </c>
      <c r="E252" t="s">
        <v>113</v>
      </c>
      <c r="F252" t="s">
        <v>118</v>
      </c>
      <c r="G252">
        <v>0</v>
      </c>
    </row>
    <row r="253" spans="1:7" x14ac:dyDescent="0.35">
      <c r="A253">
        <v>2019</v>
      </c>
      <c r="B253" t="s">
        <v>57</v>
      </c>
      <c r="C253" t="s">
        <v>174</v>
      </c>
      <c r="D253" t="s">
        <v>175</v>
      </c>
      <c r="E253" t="s">
        <v>114</v>
      </c>
      <c r="F253" t="s">
        <v>118</v>
      </c>
      <c r="G253">
        <v>0</v>
      </c>
    </row>
    <row r="254" spans="1:7" x14ac:dyDescent="0.35">
      <c r="A254">
        <v>2019</v>
      </c>
      <c r="B254" t="s">
        <v>33</v>
      </c>
      <c r="C254" t="s">
        <v>174</v>
      </c>
      <c r="D254" t="s">
        <v>175</v>
      </c>
      <c r="E254" t="s">
        <v>112</v>
      </c>
      <c r="F254" t="s">
        <v>118</v>
      </c>
      <c r="G254">
        <v>4</v>
      </c>
    </row>
    <row r="255" spans="1:7" x14ac:dyDescent="0.35">
      <c r="A255">
        <v>2019</v>
      </c>
      <c r="B255" t="s">
        <v>33</v>
      </c>
      <c r="C255" t="s">
        <v>174</v>
      </c>
      <c r="D255" t="s">
        <v>175</v>
      </c>
      <c r="E255" t="s">
        <v>91</v>
      </c>
      <c r="F255" t="s">
        <v>118</v>
      </c>
      <c r="G255">
        <v>0</v>
      </c>
    </row>
    <row r="256" spans="1:7" x14ac:dyDescent="0.35">
      <c r="A256">
        <v>2019</v>
      </c>
      <c r="B256" t="s">
        <v>33</v>
      </c>
      <c r="C256" t="s">
        <v>174</v>
      </c>
      <c r="D256" t="s">
        <v>175</v>
      </c>
      <c r="E256" t="s">
        <v>113</v>
      </c>
      <c r="F256" t="s">
        <v>118</v>
      </c>
      <c r="G256">
        <v>0</v>
      </c>
    </row>
    <row r="257" spans="1:7" x14ac:dyDescent="0.35">
      <c r="A257">
        <v>2019</v>
      </c>
      <c r="B257" t="s">
        <v>33</v>
      </c>
      <c r="C257" t="s">
        <v>174</v>
      </c>
      <c r="D257" t="s">
        <v>175</v>
      </c>
      <c r="E257" t="s">
        <v>114</v>
      </c>
      <c r="F257" t="s">
        <v>118</v>
      </c>
      <c r="G257">
        <v>0</v>
      </c>
    </row>
    <row r="258" spans="1:7" x14ac:dyDescent="0.35">
      <c r="A258">
        <v>2019</v>
      </c>
      <c r="B258" t="s">
        <v>34</v>
      </c>
      <c r="C258" t="s">
        <v>174</v>
      </c>
      <c r="D258" t="s">
        <v>175</v>
      </c>
      <c r="E258" t="s">
        <v>112</v>
      </c>
      <c r="F258" t="s">
        <v>118</v>
      </c>
      <c r="G258">
        <v>2</v>
      </c>
    </row>
    <row r="259" spans="1:7" x14ac:dyDescent="0.35">
      <c r="A259">
        <v>2019</v>
      </c>
      <c r="B259" t="s">
        <v>34</v>
      </c>
      <c r="C259" t="s">
        <v>174</v>
      </c>
      <c r="D259" t="s">
        <v>175</v>
      </c>
      <c r="E259" t="s">
        <v>91</v>
      </c>
      <c r="F259" t="s">
        <v>118</v>
      </c>
      <c r="G259">
        <v>0</v>
      </c>
    </row>
    <row r="260" spans="1:7" x14ac:dyDescent="0.35">
      <c r="A260">
        <v>2019</v>
      </c>
      <c r="B260" t="s">
        <v>34</v>
      </c>
      <c r="C260" t="s">
        <v>174</v>
      </c>
      <c r="D260" t="s">
        <v>175</v>
      </c>
      <c r="E260" t="s">
        <v>113</v>
      </c>
      <c r="F260" t="s">
        <v>118</v>
      </c>
      <c r="G260">
        <v>2</v>
      </c>
    </row>
    <row r="261" spans="1:7" x14ac:dyDescent="0.35">
      <c r="A261">
        <v>2019</v>
      </c>
      <c r="B261" t="s">
        <v>34</v>
      </c>
      <c r="C261" t="s">
        <v>174</v>
      </c>
      <c r="D261" t="s">
        <v>175</v>
      </c>
      <c r="E261" t="s">
        <v>114</v>
      </c>
      <c r="F261" t="s">
        <v>118</v>
      </c>
      <c r="G261">
        <v>0</v>
      </c>
    </row>
    <row r="262" spans="1:7" x14ac:dyDescent="0.35">
      <c r="A262">
        <v>2019</v>
      </c>
      <c r="B262" t="s">
        <v>35</v>
      </c>
      <c r="C262" t="s">
        <v>174</v>
      </c>
      <c r="D262" t="s">
        <v>175</v>
      </c>
      <c r="E262" t="s">
        <v>112</v>
      </c>
      <c r="F262" t="s">
        <v>118</v>
      </c>
      <c r="G262">
        <v>0</v>
      </c>
    </row>
    <row r="263" spans="1:7" x14ac:dyDescent="0.35">
      <c r="A263">
        <v>2019</v>
      </c>
      <c r="B263" t="s">
        <v>35</v>
      </c>
      <c r="C263" t="s">
        <v>174</v>
      </c>
      <c r="D263" t="s">
        <v>175</v>
      </c>
      <c r="E263" t="s">
        <v>91</v>
      </c>
      <c r="F263" t="s">
        <v>118</v>
      </c>
      <c r="G263">
        <v>0</v>
      </c>
    </row>
    <row r="264" spans="1:7" x14ac:dyDescent="0.35">
      <c r="A264">
        <v>2019</v>
      </c>
      <c r="B264" t="s">
        <v>35</v>
      </c>
      <c r="C264" t="s">
        <v>174</v>
      </c>
      <c r="D264" t="s">
        <v>175</v>
      </c>
      <c r="E264" t="s">
        <v>113</v>
      </c>
      <c r="F264" t="s">
        <v>118</v>
      </c>
      <c r="G264">
        <v>0</v>
      </c>
    </row>
    <row r="265" spans="1:7" x14ac:dyDescent="0.35">
      <c r="A265">
        <v>2019</v>
      </c>
      <c r="B265" t="s">
        <v>35</v>
      </c>
      <c r="C265" t="s">
        <v>174</v>
      </c>
      <c r="D265" t="s">
        <v>175</v>
      </c>
      <c r="E265" t="s">
        <v>114</v>
      </c>
      <c r="F265" t="s">
        <v>118</v>
      </c>
      <c r="G265">
        <v>0</v>
      </c>
    </row>
    <row r="266" spans="1:7" x14ac:dyDescent="0.35">
      <c r="A266">
        <v>2019</v>
      </c>
      <c r="B266" t="s">
        <v>36</v>
      </c>
      <c r="C266" t="s">
        <v>174</v>
      </c>
      <c r="D266" t="s">
        <v>175</v>
      </c>
      <c r="E266" t="s">
        <v>112</v>
      </c>
      <c r="F266" t="s">
        <v>118</v>
      </c>
      <c r="G266">
        <v>2</v>
      </c>
    </row>
    <row r="267" spans="1:7" x14ac:dyDescent="0.35">
      <c r="A267">
        <v>2019</v>
      </c>
      <c r="B267" t="s">
        <v>36</v>
      </c>
      <c r="C267" t="s">
        <v>174</v>
      </c>
      <c r="D267" t="s">
        <v>175</v>
      </c>
      <c r="E267" t="s">
        <v>91</v>
      </c>
      <c r="F267" t="s">
        <v>118</v>
      </c>
      <c r="G267">
        <v>0</v>
      </c>
    </row>
    <row r="268" spans="1:7" x14ac:dyDescent="0.35">
      <c r="A268">
        <v>2019</v>
      </c>
      <c r="B268" t="s">
        <v>36</v>
      </c>
      <c r="C268" t="s">
        <v>174</v>
      </c>
      <c r="D268" t="s">
        <v>175</v>
      </c>
      <c r="E268" t="s">
        <v>113</v>
      </c>
      <c r="F268" t="s">
        <v>118</v>
      </c>
      <c r="G268">
        <v>0</v>
      </c>
    </row>
    <row r="269" spans="1:7" x14ac:dyDescent="0.35">
      <c r="A269">
        <v>2019</v>
      </c>
      <c r="B269" t="s">
        <v>36</v>
      </c>
      <c r="C269" t="s">
        <v>174</v>
      </c>
      <c r="D269" t="s">
        <v>175</v>
      </c>
      <c r="E269" t="s">
        <v>114</v>
      </c>
      <c r="F269" t="s">
        <v>118</v>
      </c>
      <c r="G269">
        <v>0</v>
      </c>
    </row>
    <row r="270" spans="1:7" x14ac:dyDescent="0.35">
      <c r="A270">
        <v>2019</v>
      </c>
      <c r="B270" t="s">
        <v>37</v>
      </c>
      <c r="C270" t="s">
        <v>174</v>
      </c>
      <c r="D270" t="s">
        <v>175</v>
      </c>
      <c r="E270" t="s">
        <v>112</v>
      </c>
      <c r="F270" t="s">
        <v>118</v>
      </c>
      <c r="G270">
        <v>0</v>
      </c>
    </row>
    <row r="271" spans="1:7" x14ac:dyDescent="0.35">
      <c r="A271">
        <v>2019</v>
      </c>
      <c r="B271" t="s">
        <v>37</v>
      </c>
      <c r="C271" t="s">
        <v>174</v>
      </c>
      <c r="D271" t="s">
        <v>175</v>
      </c>
      <c r="E271" t="s">
        <v>91</v>
      </c>
      <c r="F271" t="s">
        <v>118</v>
      </c>
      <c r="G271">
        <v>0</v>
      </c>
    </row>
    <row r="272" spans="1:7" x14ac:dyDescent="0.35">
      <c r="A272">
        <v>2019</v>
      </c>
      <c r="B272" t="s">
        <v>37</v>
      </c>
      <c r="C272" t="s">
        <v>174</v>
      </c>
      <c r="D272" t="s">
        <v>175</v>
      </c>
      <c r="E272" t="s">
        <v>113</v>
      </c>
      <c r="F272" t="s">
        <v>118</v>
      </c>
      <c r="G272">
        <v>0</v>
      </c>
    </row>
    <row r="273" spans="1:7" x14ac:dyDescent="0.35">
      <c r="A273">
        <v>2019</v>
      </c>
      <c r="B273" t="s">
        <v>37</v>
      </c>
      <c r="C273" t="s">
        <v>174</v>
      </c>
      <c r="D273" t="s">
        <v>175</v>
      </c>
      <c r="E273" t="s">
        <v>114</v>
      </c>
      <c r="F273" t="s">
        <v>118</v>
      </c>
      <c r="G273">
        <v>0</v>
      </c>
    </row>
    <row r="274" spans="1:7" x14ac:dyDescent="0.35">
      <c r="A274">
        <v>2019</v>
      </c>
      <c r="B274" t="s">
        <v>55</v>
      </c>
      <c r="C274" t="s">
        <v>174</v>
      </c>
      <c r="D274" t="s">
        <v>175</v>
      </c>
      <c r="E274" t="s">
        <v>112</v>
      </c>
      <c r="F274" t="s">
        <v>118</v>
      </c>
      <c r="G274">
        <v>0</v>
      </c>
    </row>
    <row r="275" spans="1:7" x14ac:dyDescent="0.35">
      <c r="A275">
        <v>2019</v>
      </c>
      <c r="B275" t="s">
        <v>55</v>
      </c>
      <c r="C275" t="s">
        <v>174</v>
      </c>
      <c r="D275" t="s">
        <v>175</v>
      </c>
      <c r="E275" t="s">
        <v>91</v>
      </c>
      <c r="F275" t="s">
        <v>118</v>
      </c>
      <c r="G275">
        <v>0</v>
      </c>
    </row>
    <row r="276" spans="1:7" x14ac:dyDescent="0.35">
      <c r="A276">
        <v>2019</v>
      </c>
      <c r="B276" t="s">
        <v>55</v>
      </c>
      <c r="C276" t="s">
        <v>174</v>
      </c>
      <c r="D276" t="s">
        <v>175</v>
      </c>
      <c r="E276" t="s">
        <v>113</v>
      </c>
      <c r="F276" t="s">
        <v>118</v>
      </c>
      <c r="G276">
        <v>0</v>
      </c>
    </row>
    <row r="277" spans="1:7" x14ac:dyDescent="0.35">
      <c r="A277">
        <v>2019</v>
      </c>
      <c r="B277" t="s">
        <v>55</v>
      </c>
      <c r="C277" t="s">
        <v>174</v>
      </c>
      <c r="D277" t="s">
        <v>175</v>
      </c>
      <c r="E277" t="s">
        <v>114</v>
      </c>
      <c r="F277" t="s">
        <v>118</v>
      </c>
      <c r="G277">
        <v>0</v>
      </c>
    </row>
    <row r="278" spans="1:7" x14ac:dyDescent="0.35">
      <c r="A278">
        <v>2019</v>
      </c>
      <c r="B278" t="s">
        <v>38</v>
      </c>
      <c r="C278" t="s">
        <v>174</v>
      </c>
      <c r="D278" t="s">
        <v>175</v>
      </c>
      <c r="E278" t="s">
        <v>112</v>
      </c>
      <c r="F278" t="s">
        <v>118</v>
      </c>
      <c r="G278">
        <v>0</v>
      </c>
    </row>
    <row r="279" spans="1:7" x14ac:dyDescent="0.35">
      <c r="A279">
        <v>2019</v>
      </c>
      <c r="B279" t="s">
        <v>38</v>
      </c>
      <c r="C279" t="s">
        <v>174</v>
      </c>
      <c r="D279" t="s">
        <v>175</v>
      </c>
      <c r="E279" t="s">
        <v>91</v>
      </c>
      <c r="F279" t="s">
        <v>118</v>
      </c>
      <c r="G279">
        <v>0</v>
      </c>
    </row>
    <row r="280" spans="1:7" x14ac:dyDescent="0.35">
      <c r="A280">
        <v>2019</v>
      </c>
      <c r="B280" t="s">
        <v>38</v>
      </c>
      <c r="C280" t="s">
        <v>174</v>
      </c>
      <c r="D280" t="s">
        <v>175</v>
      </c>
      <c r="E280" t="s">
        <v>113</v>
      </c>
      <c r="F280" t="s">
        <v>118</v>
      </c>
      <c r="G280">
        <v>0</v>
      </c>
    </row>
    <row r="281" spans="1:7" x14ac:dyDescent="0.35">
      <c r="A281">
        <v>2019</v>
      </c>
      <c r="B281" t="s">
        <v>38</v>
      </c>
      <c r="C281" t="s">
        <v>174</v>
      </c>
      <c r="D281" t="s">
        <v>175</v>
      </c>
      <c r="E281" t="s">
        <v>114</v>
      </c>
      <c r="F281" t="s">
        <v>118</v>
      </c>
      <c r="G281">
        <v>0</v>
      </c>
    </row>
    <row r="282" spans="1:7" x14ac:dyDescent="0.35">
      <c r="A282">
        <v>2019</v>
      </c>
      <c r="B282" t="s">
        <v>39</v>
      </c>
      <c r="C282" t="s">
        <v>174</v>
      </c>
      <c r="D282" t="s">
        <v>175</v>
      </c>
      <c r="E282" t="s">
        <v>112</v>
      </c>
      <c r="F282" t="s">
        <v>118</v>
      </c>
      <c r="G282">
        <v>0</v>
      </c>
    </row>
    <row r="283" spans="1:7" x14ac:dyDescent="0.35">
      <c r="A283">
        <v>2019</v>
      </c>
      <c r="B283" t="s">
        <v>39</v>
      </c>
      <c r="C283" t="s">
        <v>174</v>
      </c>
      <c r="D283" t="s">
        <v>175</v>
      </c>
      <c r="E283" t="s">
        <v>91</v>
      </c>
      <c r="F283" t="s">
        <v>118</v>
      </c>
      <c r="G283">
        <v>1</v>
      </c>
    </row>
    <row r="284" spans="1:7" x14ac:dyDescent="0.35">
      <c r="A284">
        <v>2019</v>
      </c>
      <c r="B284" t="s">
        <v>39</v>
      </c>
      <c r="C284" t="s">
        <v>174</v>
      </c>
      <c r="D284" t="s">
        <v>175</v>
      </c>
      <c r="E284" t="s">
        <v>113</v>
      </c>
      <c r="F284" t="s">
        <v>118</v>
      </c>
      <c r="G284">
        <v>1</v>
      </c>
    </row>
    <row r="285" spans="1:7" x14ac:dyDescent="0.35">
      <c r="A285">
        <v>2019</v>
      </c>
      <c r="B285" t="s">
        <v>39</v>
      </c>
      <c r="C285" t="s">
        <v>174</v>
      </c>
      <c r="D285" t="s">
        <v>175</v>
      </c>
      <c r="E285" t="s">
        <v>114</v>
      </c>
      <c r="F285" t="s">
        <v>118</v>
      </c>
      <c r="G285">
        <v>0</v>
      </c>
    </row>
    <row r="286" spans="1:7" x14ac:dyDescent="0.35">
      <c r="A286">
        <v>2019</v>
      </c>
      <c r="B286" t="s">
        <v>40</v>
      </c>
      <c r="C286" t="s">
        <v>174</v>
      </c>
      <c r="D286" t="s">
        <v>175</v>
      </c>
      <c r="E286" t="s">
        <v>112</v>
      </c>
      <c r="F286" t="s">
        <v>118</v>
      </c>
      <c r="G286">
        <v>0</v>
      </c>
    </row>
    <row r="287" spans="1:7" x14ac:dyDescent="0.35">
      <c r="A287">
        <v>2019</v>
      </c>
      <c r="B287" t="s">
        <v>40</v>
      </c>
      <c r="C287" t="s">
        <v>174</v>
      </c>
      <c r="D287" t="s">
        <v>175</v>
      </c>
      <c r="E287" t="s">
        <v>91</v>
      </c>
      <c r="F287" t="s">
        <v>118</v>
      </c>
      <c r="G287">
        <v>0</v>
      </c>
    </row>
    <row r="288" spans="1:7" x14ac:dyDescent="0.35">
      <c r="A288">
        <v>2019</v>
      </c>
      <c r="B288" t="s">
        <v>40</v>
      </c>
      <c r="C288" t="s">
        <v>174</v>
      </c>
      <c r="D288" t="s">
        <v>175</v>
      </c>
      <c r="E288" t="s">
        <v>113</v>
      </c>
      <c r="F288" t="s">
        <v>118</v>
      </c>
      <c r="G288">
        <v>0</v>
      </c>
    </row>
    <row r="289" spans="1:7" x14ac:dyDescent="0.35">
      <c r="A289">
        <v>2019</v>
      </c>
      <c r="B289" t="s">
        <v>40</v>
      </c>
      <c r="C289" t="s">
        <v>174</v>
      </c>
      <c r="D289" t="s">
        <v>175</v>
      </c>
      <c r="E289" t="s">
        <v>114</v>
      </c>
      <c r="F289" t="s">
        <v>118</v>
      </c>
      <c r="G289">
        <v>0</v>
      </c>
    </row>
    <row r="290" spans="1:7" x14ac:dyDescent="0.35">
      <c r="A290">
        <v>2019</v>
      </c>
      <c r="B290" t="s">
        <v>41</v>
      </c>
      <c r="C290" t="s">
        <v>174</v>
      </c>
      <c r="D290" t="s">
        <v>175</v>
      </c>
      <c r="E290" t="s">
        <v>112</v>
      </c>
      <c r="F290" t="s">
        <v>118</v>
      </c>
      <c r="G290">
        <v>3</v>
      </c>
    </row>
    <row r="291" spans="1:7" x14ac:dyDescent="0.35">
      <c r="A291">
        <v>2019</v>
      </c>
      <c r="B291" t="s">
        <v>41</v>
      </c>
      <c r="C291" t="s">
        <v>174</v>
      </c>
      <c r="D291" t="s">
        <v>175</v>
      </c>
      <c r="E291" t="s">
        <v>91</v>
      </c>
      <c r="F291" t="s">
        <v>118</v>
      </c>
      <c r="G291">
        <v>0</v>
      </c>
    </row>
    <row r="292" spans="1:7" x14ac:dyDescent="0.35">
      <c r="A292">
        <v>2019</v>
      </c>
      <c r="B292" t="s">
        <v>41</v>
      </c>
      <c r="C292" t="s">
        <v>174</v>
      </c>
      <c r="D292" t="s">
        <v>175</v>
      </c>
      <c r="E292" t="s">
        <v>113</v>
      </c>
      <c r="F292" t="s">
        <v>118</v>
      </c>
      <c r="G292">
        <v>0</v>
      </c>
    </row>
    <row r="293" spans="1:7" x14ac:dyDescent="0.35">
      <c r="A293">
        <v>2019</v>
      </c>
      <c r="B293" t="s">
        <v>41</v>
      </c>
      <c r="C293" t="s">
        <v>174</v>
      </c>
      <c r="D293" t="s">
        <v>175</v>
      </c>
      <c r="E293" t="s">
        <v>114</v>
      </c>
      <c r="F293" t="s">
        <v>118</v>
      </c>
      <c r="G293">
        <v>0</v>
      </c>
    </row>
    <row r="294" spans="1:7" x14ac:dyDescent="0.35">
      <c r="A294">
        <v>2019</v>
      </c>
      <c r="B294" t="s">
        <v>58</v>
      </c>
      <c r="C294" t="s">
        <v>174</v>
      </c>
      <c r="D294" t="s">
        <v>175</v>
      </c>
      <c r="E294" t="s">
        <v>112</v>
      </c>
      <c r="F294" t="s">
        <v>118</v>
      </c>
      <c r="G294">
        <v>0</v>
      </c>
    </row>
    <row r="295" spans="1:7" x14ac:dyDescent="0.35">
      <c r="A295">
        <v>2019</v>
      </c>
      <c r="B295" t="s">
        <v>58</v>
      </c>
      <c r="C295" t="s">
        <v>174</v>
      </c>
      <c r="D295" t="s">
        <v>175</v>
      </c>
      <c r="E295" t="s">
        <v>91</v>
      </c>
      <c r="F295" t="s">
        <v>118</v>
      </c>
      <c r="G295">
        <v>0</v>
      </c>
    </row>
    <row r="296" spans="1:7" x14ac:dyDescent="0.35">
      <c r="A296">
        <v>2019</v>
      </c>
      <c r="B296" t="s">
        <v>58</v>
      </c>
      <c r="C296" t="s">
        <v>174</v>
      </c>
      <c r="D296" t="s">
        <v>175</v>
      </c>
      <c r="E296" t="s">
        <v>113</v>
      </c>
      <c r="F296" t="s">
        <v>118</v>
      </c>
      <c r="G296">
        <v>1</v>
      </c>
    </row>
    <row r="297" spans="1:7" x14ac:dyDescent="0.35">
      <c r="A297">
        <v>2019</v>
      </c>
      <c r="B297" t="s">
        <v>58</v>
      </c>
      <c r="C297" t="s">
        <v>174</v>
      </c>
      <c r="D297" t="s">
        <v>175</v>
      </c>
      <c r="E297" t="s">
        <v>114</v>
      </c>
      <c r="F297" t="s">
        <v>118</v>
      </c>
      <c r="G297">
        <v>0</v>
      </c>
    </row>
    <row r="298" spans="1:7" x14ac:dyDescent="0.35">
      <c r="A298">
        <v>2019</v>
      </c>
      <c r="B298" t="s">
        <v>42</v>
      </c>
      <c r="C298" t="s">
        <v>174</v>
      </c>
      <c r="D298" t="s">
        <v>175</v>
      </c>
      <c r="E298" t="s">
        <v>112</v>
      </c>
      <c r="F298" t="s">
        <v>118</v>
      </c>
      <c r="G298">
        <v>1</v>
      </c>
    </row>
    <row r="299" spans="1:7" x14ac:dyDescent="0.35">
      <c r="A299">
        <v>2019</v>
      </c>
      <c r="B299" t="s">
        <v>42</v>
      </c>
      <c r="C299" t="s">
        <v>174</v>
      </c>
      <c r="D299" t="s">
        <v>175</v>
      </c>
      <c r="E299" t="s">
        <v>91</v>
      </c>
      <c r="F299" t="s">
        <v>118</v>
      </c>
      <c r="G299">
        <v>3</v>
      </c>
    </row>
    <row r="300" spans="1:7" x14ac:dyDescent="0.35">
      <c r="A300">
        <v>2019</v>
      </c>
      <c r="B300" t="s">
        <v>42</v>
      </c>
      <c r="C300" t="s">
        <v>174</v>
      </c>
      <c r="D300" t="s">
        <v>175</v>
      </c>
      <c r="E300" t="s">
        <v>113</v>
      </c>
      <c r="F300" t="s">
        <v>118</v>
      </c>
      <c r="G300">
        <v>0</v>
      </c>
    </row>
    <row r="301" spans="1:7" x14ac:dyDescent="0.35">
      <c r="A301">
        <v>2019</v>
      </c>
      <c r="B301" t="s">
        <v>42</v>
      </c>
      <c r="C301" t="s">
        <v>174</v>
      </c>
      <c r="D301" t="s">
        <v>175</v>
      </c>
      <c r="E301" t="s">
        <v>114</v>
      </c>
      <c r="F301" t="s">
        <v>118</v>
      </c>
      <c r="G301">
        <v>0</v>
      </c>
    </row>
    <row r="302" spans="1:7" x14ac:dyDescent="0.35">
      <c r="A302">
        <v>2019</v>
      </c>
      <c r="B302" t="s">
        <v>44</v>
      </c>
      <c r="C302" t="s">
        <v>174</v>
      </c>
      <c r="D302" t="s">
        <v>175</v>
      </c>
      <c r="E302" t="s">
        <v>112</v>
      </c>
      <c r="F302" t="s">
        <v>118</v>
      </c>
      <c r="G302">
        <v>0</v>
      </c>
    </row>
    <row r="303" spans="1:7" x14ac:dyDescent="0.35">
      <c r="A303">
        <v>2019</v>
      </c>
      <c r="B303" t="s">
        <v>44</v>
      </c>
      <c r="C303" t="s">
        <v>174</v>
      </c>
      <c r="D303" t="s">
        <v>175</v>
      </c>
      <c r="E303" t="s">
        <v>91</v>
      </c>
      <c r="F303" t="s">
        <v>118</v>
      </c>
      <c r="G303">
        <v>1</v>
      </c>
    </row>
    <row r="304" spans="1:7" x14ac:dyDescent="0.35">
      <c r="A304">
        <v>2019</v>
      </c>
      <c r="B304" t="s">
        <v>44</v>
      </c>
      <c r="C304" t="s">
        <v>174</v>
      </c>
      <c r="D304" t="s">
        <v>175</v>
      </c>
      <c r="E304" t="s">
        <v>113</v>
      </c>
      <c r="F304" t="s">
        <v>118</v>
      </c>
      <c r="G304">
        <v>0</v>
      </c>
    </row>
    <row r="305" spans="1:7" x14ac:dyDescent="0.35">
      <c r="A305">
        <v>2019</v>
      </c>
      <c r="B305" t="s">
        <v>44</v>
      </c>
      <c r="C305" t="s">
        <v>174</v>
      </c>
      <c r="D305" t="s">
        <v>175</v>
      </c>
      <c r="E305" t="s">
        <v>114</v>
      </c>
      <c r="F305" t="s">
        <v>118</v>
      </c>
      <c r="G305">
        <v>0</v>
      </c>
    </row>
    <row r="306" spans="1:7" x14ac:dyDescent="0.35">
      <c r="A306">
        <v>2019</v>
      </c>
      <c r="B306" t="s">
        <v>45</v>
      </c>
      <c r="C306" t="s">
        <v>174</v>
      </c>
      <c r="D306" t="s">
        <v>175</v>
      </c>
      <c r="E306" t="s">
        <v>112</v>
      </c>
      <c r="F306" t="s">
        <v>118</v>
      </c>
      <c r="G306">
        <v>0</v>
      </c>
    </row>
    <row r="307" spans="1:7" x14ac:dyDescent="0.35">
      <c r="A307">
        <v>2019</v>
      </c>
      <c r="B307" t="s">
        <v>45</v>
      </c>
      <c r="C307" t="s">
        <v>174</v>
      </c>
      <c r="D307" t="s">
        <v>175</v>
      </c>
      <c r="E307" t="s">
        <v>91</v>
      </c>
      <c r="F307" t="s">
        <v>118</v>
      </c>
      <c r="G307">
        <v>0</v>
      </c>
    </row>
    <row r="308" spans="1:7" x14ac:dyDescent="0.35">
      <c r="A308">
        <v>2019</v>
      </c>
      <c r="B308" t="s">
        <v>45</v>
      </c>
      <c r="C308" t="s">
        <v>174</v>
      </c>
      <c r="D308" t="s">
        <v>175</v>
      </c>
      <c r="E308" t="s">
        <v>113</v>
      </c>
      <c r="F308" t="s">
        <v>118</v>
      </c>
      <c r="G308">
        <v>0</v>
      </c>
    </row>
    <row r="309" spans="1:7" x14ac:dyDescent="0.35">
      <c r="A309">
        <v>2019</v>
      </c>
      <c r="B309" t="s">
        <v>45</v>
      </c>
      <c r="C309" t="s">
        <v>174</v>
      </c>
      <c r="D309" t="s">
        <v>175</v>
      </c>
      <c r="E309" t="s">
        <v>114</v>
      </c>
      <c r="F309" t="s">
        <v>118</v>
      </c>
      <c r="G309">
        <v>0</v>
      </c>
    </row>
    <row r="310" spans="1:7" x14ac:dyDescent="0.35">
      <c r="A310">
        <v>2019</v>
      </c>
      <c r="B310" t="s">
        <v>46</v>
      </c>
      <c r="C310" t="s">
        <v>174</v>
      </c>
      <c r="D310" t="s">
        <v>175</v>
      </c>
      <c r="E310" t="s">
        <v>112</v>
      </c>
      <c r="F310" t="s">
        <v>118</v>
      </c>
      <c r="G310">
        <v>1</v>
      </c>
    </row>
    <row r="311" spans="1:7" x14ac:dyDescent="0.35">
      <c r="A311">
        <v>2019</v>
      </c>
      <c r="B311" t="s">
        <v>46</v>
      </c>
      <c r="C311" t="s">
        <v>174</v>
      </c>
      <c r="D311" t="s">
        <v>175</v>
      </c>
      <c r="E311" t="s">
        <v>91</v>
      </c>
      <c r="F311" t="s">
        <v>118</v>
      </c>
      <c r="G311">
        <v>0</v>
      </c>
    </row>
    <row r="312" spans="1:7" x14ac:dyDescent="0.35">
      <c r="A312">
        <v>2019</v>
      </c>
      <c r="B312" t="s">
        <v>46</v>
      </c>
      <c r="C312" t="s">
        <v>174</v>
      </c>
      <c r="D312" t="s">
        <v>175</v>
      </c>
      <c r="E312" t="s">
        <v>113</v>
      </c>
      <c r="F312" t="s">
        <v>118</v>
      </c>
      <c r="G312">
        <v>0</v>
      </c>
    </row>
    <row r="313" spans="1:7" x14ac:dyDescent="0.35">
      <c r="A313">
        <v>2019</v>
      </c>
      <c r="B313" t="s">
        <v>46</v>
      </c>
      <c r="C313" t="s">
        <v>174</v>
      </c>
      <c r="D313" t="s">
        <v>175</v>
      </c>
      <c r="E313" t="s">
        <v>114</v>
      </c>
      <c r="F313" t="s">
        <v>118</v>
      </c>
      <c r="G313">
        <v>0</v>
      </c>
    </row>
    <row r="314" spans="1:7" x14ac:dyDescent="0.35">
      <c r="A314">
        <v>2019</v>
      </c>
      <c r="B314" t="s">
        <v>47</v>
      </c>
      <c r="C314" t="s">
        <v>174</v>
      </c>
      <c r="D314" t="s">
        <v>175</v>
      </c>
      <c r="E314" t="s">
        <v>112</v>
      </c>
      <c r="F314" t="s">
        <v>118</v>
      </c>
      <c r="G314">
        <v>0</v>
      </c>
    </row>
    <row r="315" spans="1:7" x14ac:dyDescent="0.35">
      <c r="A315">
        <v>2019</v>
      </c>
      <c r="B315" t="s">
        <v>47</v>
      </c>
      <c r="C315" t="s">
        <v>174</v>
      </c>
      <c r="D315" t="s">
        <v>175</v>
      </c>
      <c r="E315" t="s">
        <v>91</v>
      </c>
      <c r="F315" t="s">
        <v>118</v>
      </c>
      <c r="G315">
        <v>0</v>
      </c>
    </row>
    <row r="316" spans="1:7" x14ac:dyDescent="0.35">
      <c r="A316">
        <v>2019</v>
      </c>
      <c r="B316" t="s">
        <v>47</v>
      </c>
      <c r="C316" t="s">
        <v>174</v>
      </c>
      <c r="D316" t="s">
        <v>175</v>
      </c>
      <c r="E316" t="s">
        <v>113</v>
      </c>
      <c r="F316" t="s">
        <v>118</v>
      </c>
      <c r="G316">
        <v>0</v>
      </c>
    </row>
    <row r="317" spans="1:7" x14ac:dyDescent="0.35">
      <c r="A317">
        <v>2019</v>
      </c>
      <c r="B317" t="s">
        <v>47</v>
      </c>
      <c r="C317" t="s">
        <v>174</v>
      </c>
      <c r="D317" t="s">
        <v>175</v>
      </c>
      <c r="E317" t="s">
        <v>114</v>
      </c>
      <c r="F317" t="s">
        <v>118</v>
      </c>
      <c r="G317">
        <v>0</v>
      </c>
    </row>
    <row r="318" spans="1:7" x14ac:dyDescent="0.35">
      <c r="A318">
        <v>2019</v>
      </c>
      <c r="B318" t="s">
        <v>48</v>
      </c>
      <c r="C318" t="s">
        <v>174</v>
      </c>
      <c r="D318" t="s">
        <v>175</v>
      </c>
      <c r="E318" t="s">
        <v>112</v>
      </c>
      <c r="F318" t="s">
        <v>118</v>
      </c>
      <c r="G318">
        <v>4</v>
      </c>
    </row>
    <row r="319" spans="1:7" x14ac:dyDescent="0.35">
      <c r="A319">
        <v>2019</v>
      </c>
      <c r="B319" t="s">
        <v>48</v>
      </c>
      <c r="C319" t="s">
        <v>174</v>
      </c>
      <c r="D319" t="s">
        <v>175</v>
      </c>
      <c r="E319" t="s">
        <v>91</v>
      </c>
      <c r="F319" t="s">
        <v>118</v>
      </c>
      <c r="G319">
        <v>0</v>
      </c>
    </row>
    <row r="320" spans="1:7" x14ac:dyDescent="0.35">
      <c r="A320">
        <v>2019</v>
      </c>
      <c r="B320" t="s">
        <v>48</v>
      </c>
      <c r="C320" t="s">
        <v>174</v>
      </c>
      <c r="D320" t="s">
        <v>175</v>
      </c>
      <c r="E320" t="s">
        <v>113</v>
      </c>
      <c r="F320" t="s">
        <v>118</v>
      </c>
      <c r="G320">
        <v>2</v>
      </c>
    </row>
    <row r="321" spans="1:7" x14ac:dyDescent="0.35">
      <c r="A321">
        <v>2019</v>
      </c>
      <c r="B321" t="s">
        <v>48</v>
      </c>
      <c r="C321" t="s">
        <v>174</v>
      </c>
      <c r="D321" t="s">
        <v>175</v>
      </c>
      <c r="E321" t="s">
        <v>114</v>
      </c>
      <c r="F321" t="s">
        <v>118</v>
      </c>
      <c r="G321">
        <v>0</v>
      </c>
    </row>
    <row r="322" spans="1:7" x14ac:dyDescent="0.35">
      <c r="A322">
        <v>2019</v>
      </c>
      <c r="B322" t="s">
        <v>49</v>
      </c>
      <c r="C322" t="s">
        <v>174</v>
      </c>
      <c r="D322" t="s">
        <v>175</v>
      </c>
      <c r="E322" t="s">
        <v>112</v>
      </c>
      <c r="F322" t="s">
        <v>118</v>
      </c>
      <c r="G322">
        <v>0</v>
      </c>
    </row>
    <row r="323" spans="1:7" x14ac:dyDescent="0.35">
      <c r="A323">
        <v>2019</v>
      </c>
      <c r="B323" t="s">
        <v>49</v>
      </c>
      <c r="C323" t="s">
        <v>174</v>
      </c>
      <c r="D323" t="s">
        <v>175</v>
      </c>
      <c r="E323" t="s">
        <v>91</v>
      </c>
      <c r="F323" t="s">
        <v>118</v>
      </c>
      <c r="G323">
        <v>0</v>
      </c>
    </row>
    <row r="324" spans="1:7" x14ac:dyDescent="0.35">
      <c r="A324">
        <v>2019</v>
      </c>
      <c r="B324" t="s">
        <v>49</v>
      </c>
      <c r="C324" t="s">
        <v>174</v>
      </c>
      <c r="D324" t="s">
        <v>175</v>
      </c>
      <c r="E324" t="s">
        <v>113</v>
      </c>
      <c r="F324" t="s">
        <v>118</v>
      </c>
      <c r="G324">
        <v>0</v>
      </c>
    </row>
    <row r="325" spans="1:7" x14ac:dyDescent="0.35">
      <c r="A325">
        <v>2019</v>
      </c>
      <c r="B325" t="s">
        <v>49</v>
      </c>
      <c r="C325" t="s">
        <v>174</v>
      </c>
      <c r="D325" t="s">
        <v>175</v>
      </c>
      <c r="E325" t="s">
        <v>114</v>
      </c>
      <c r="F325" t="s">
        <v>118</v>
      </c>
      <c r="G325">
        <v>0</v>
      </c>
    </row>
    <row r="326" spans="1:7" x14ac:dyDescent="0.35">
      <c r="A326">
        <v>2019</v>
      </c>
      <c r="B326" t="s">
        <v>59</v>
      </c>
      <c r="C326" t="s">
        <v>174</v>
      </c>
      <c r="D326" t="s">
        <v>175</v>
      </c>
      <c r="E326" t="s">
        <v>112</v>
      </c>
      <c r="F326" t="s">
        <v>118</v>
      </c>
      <c r="G326">
        <v>0</v>
      </c>
    </row>
    <row r="327" spans="1:7" x14ac:dyDescent="0.35">
      <c r="A327">
        <v>2019</v>
      </c>
      <c r="B327" t="s">
        <v>59</v>
      </c>
      <c r="C327" t="s">
        <v>174</v>
      </c>
      <c r="D327" t="s">
        <v>175</v>
      </c>
      <c r="E327" t="s">
        <v>91</v>
      </c>
      <c r="F327" t="s">
        <v>118</v>
      </c>
      <c r="G327">
        <v>0</v>
      </c>
    </row>
    <row r="328" spans="1:7" x14ac:dyDescent="0.35">
      <c r="A328">
        <v>2019</v>
      </c>
      <c r="B328" t="s">
        <v>59</v>
      </c>
      <c r="C328" t="s">
        <v>174</v>
      </c>
      <c r="D328" t="s">
        <v>175</v>
      </c>
      <c r="E328" t="s">
        <v>113</v>
      </c>
      <c r="F328" t="s">
        <v>118</v>
      </c>
      <c r="G328">
        <v>0</v>
      </c>
    </row>
    <row r="329" spans="1:7" x14ac:dyDescent="0.35">
      <c r="A329">
        <v>2019</v>
      </c>
      <c r="B329" t="s">
        <v>59</v>
      </c>
      <c r="C329" t="s">
        <v>174</v>
      </c>
      <c r="D329" t="s">
        <v>175</v>
      </c>
      <c r="E329" t="s">
        <v>114</v>
      </c>
      <c r="F329" t="s">
        <v>118</v>
      </c>
      <c r="G329">
        <v>0</v>
      </c>
    </row>
    <row r="330" spans="1:7" x14ac:dyDescent="0.35">
      <c r="A330">
        <v>2019</v>
      </c>
      <c r="B330" t="s">
        <v>50</v>
      </c>
      <c r="C330" t="s">
        <v>174</v>
      </c>
      <c r="D330" t="s">
        <v>175</v>
      </c>
      <c r="E330" t="s">
        <v>112</v>
      </c>
      <c r="F330" t="s">
        <v>118</v>
      </c>
      <c r="G330">
        <v>0</v>
      </c>
    </row>
    <row r="331" spans="1:7" x14ac:dyDescent="0.35">
      <c r="A331">
        <v>2019</v>
      </c>
      <c r="B331" t="s">
        <v>50</v>
      </c>
      <c r="C331" t="s">
        <v>174</v>
      </c>
      <c r="D331" t="s">
        <v>175</v>
      </c>
      <c r="E331" t="s">
        <v>91</v>
      </c>
      <c r="F331" t="s">
        <v>118</v>
      </c>
      <c r="G331">
        <v>0</v>
      </c>
    </row>
    <row r="332" spans="1:7" x14ac:dyDescent="0.35">
      <c r="A332">
        <v>2019</v>
      </c>
      <c r="B332" t="s">
        <v>50</v>
      </c>
      <c r="C332" t="s">
        <v>174</v>
      </c>
      <c r="D332" t="s">
        <v>175</v>
      </c>
      <c r="E332" t="s">
        <v>113</v>
      </c>
      <c r="F332" t="s">
        <v>118</v>
      </c>
      <c r="G332">
        <v>0</v>
      </c>
    </row>
    <row r="333" spans="1:7" x14ac:dyDescent="0.35">
      <c r="A333">
        <v>2019</v>
      </c>
      <c r="B333" t="s">
        <v>50</v>
      </c>
      <c r="C333" t="s">
        <v>174</v>
      </c>
      <c r="D333" t="s">
        <v>175</v>
      </c>
      <c r="E333" t="s">
        <v>114</v>
      </c>
      <c r="F333" t="s">
        <v>118</v>
      </c>
      <c r="G333">
        <v>0</v>
      </c>
    </row>
    <row r="334" spans="1:7" x14ac:dyDescent="0.35">
      <c r="A334">
        <v>2019</v>
      </c>
      <c r="B334" t="s">
        <v>51</v>
      </c>
      <c r="C334" t="s">
        <v>174</v>
      </c>
      <c r="D334" t="s">
        <v>175</v>
      </c>
      <c r="E334" t="s">
        <v>112</v>
      </c>
      <c r="F334" t="s">
        <v>118</v>
      </c>
      <c r="G334">
        <v>0</v>
      </c>
    </row>
    <row r="335" spans="1:7" x14ac:dyDescent="0.35">
      <c r="A335">
        <v>2019</v>
      </c>
      <c r="B335" t="s">
        <v>51</v>
      </c>
      <c r="C335" t="s">
        <v>174</v>
      </c>
      <c r="D335" t="s">
        <v>175</v>
      </c>
      <c r="E335" t="s">
        <v>91</v>
      </c>
      <c r="F335" t="s">
        <v>118</v>
      </c>
      <c r="G335">
        <v>0</v>
      </c>
    </row>
    <row r="336" spans="1:7" x14ac:dyDescent="0.35">
      <c r="A336">
        <v>2019</v>
      </c>
      <c r="B336" t="s">
        <v>51</v>
      </c>
      <c r="C336" t="s">
        <v>174</v>
      </c>
      <c r="D336" t="s">
        <v>175</v>
      </c>
      <c r="E336" t="s">
        <v>113</v>
      </c>
      <c r="F336" t="s">
        <v>118</v>
      </c>
      <c r="G336">
        <v>0</v>
      </c>
    </row>
    <row r="337" spans="1:7" x14ac:dyDescent="0.35">
      <c r="A337">
        <v>2019</v>
      </c>
      <c r="B337" t="s">
        <v>51</v>
      </c>
      <c r="C337" t="s">
        <v>174</v>
      </c>
      <c r="D337" t="s">
        <v>175</v>
      </c>
      <c r="E337" t="s">
        <v>114</v>
      </c>
      <c r="F337" t="s">
        <v>118</v>
      </c>
      <c r="G337">
        <v>0</v>
      </c>
    </row>
    <row r="338" spans="1:7" x14ac:dyDescent="0.35">
      <c r="A338">
        <v>2019</v>
      </c>
      <c r="B338" t="s">
        <v>52</v>
      </c>
      <c r="C338" t="s">
        <v>174</v>
      </c>
      <c r="D338" t="s">
        <v>175</v>
      </c>
      <c r="E338" t="s">
        <v>112</v>
      </c>
      <c r="F338" t="s">
        <v>118</v>
      </c>
      <c r="G338">
        <v>0</v>
      </c>
    </row>
    <row r="339" spans="1:7" x14ac:dyDescent="0.35">
      <c r="A339">
        <v>2019</v>
      </c>
      <c r="B339" t="s">
        <v>52</v>
      </c>
      <c r="C339" t="s">
        <v>174</v>
      </c>
      <c r="D339" t="s">
        <v>175</v>
      </c>
      <c r="E339" t="s">
        <v>91</v>
      </c>
      <c r="F339" t="s">
        <v>118</v>
      </c>
      <c r="G339">
        <v>0</v>
      </c>
    </row>
    <row r="340" spans="1:7" x14ac:dyDescent="0.35">
      <c r="A340">
        <v>2019</v>
      </c>
      <c r="B340" t="s">
        <v>52</v>
      </c>
      <c r="C340" t="s">
        <v>174</v>
      </c>
      <c r="D340" t="s">
        <v>175</v>
      </c>
      <c r="E340" t="s">
        <v>113</v>
      </c>
      <c r="F340" t="s">
        <v>118</v>
      </c>
      <c r="G340">
        <v>0</v>
      </c>
    </row>
    <row r="341" spans="1:7" x14ac:dyDescent="0.35">
      <c r="A341">
        <v>2019</v>
      </c>
      <c r="B341" t="s">
        <v>52</v>
      </c>
      <c r="C341" t="s">
        <v>174</v>
      </c>
      <c r="D341" t="s">
        <v>175</v>
      </c>
      <c r="E341" t="s">
        <v>114</v>
      </c>
      <c r="F341" t="s">
        <v>118</v>
      </c>
      <c r="G341">
        <v>0</v>
      </c>
    </row>
    <row r="342" spans="1:7" x14ac:dyDescent="0.35">
      <c r="A342">
        <v>2019</v>
      </c>
      <c r="B342" t="s">
        <v>60</v>
      </c>
      <c r="C342" t="s">
        <v>174</v>
      </c>
      <c r="D342" t="s">
        <v>175</v>
      </c>
      <c r="E342" t="s">
        <v>112</v>
      </c>
      <c r="F342" t="s">
        <v>118</v>
      </c>
      <c r="G342">
        <v>0</v>
      </c>
    </row>
    <row r="343" spans="1:7" x14ac:dyDescent="0.35">
      <c r="A343">
        <v>2019</v>
      </c>
      <c r="B343" t="s">
        <v>60</v>
      </c>
      <c r="C343" t="s">
        <v>174</v>
      </c>
      <c r="D343" t="s">
        <v>175</v>
      </c>
      <c r="E343" t="s">
        <v>91</v>
      </c>
      <c r="F343" t="s">
        <v>118</v>
      </c>
      <c r="G343">
        <v>0</v>
      </c>
    </row>
    <row r="344" spans="1:7" x14ac:dyDescent="0.35">
      <c r="A344">
        <v>2019</v>
      </c>
      <c r="B344" t="s">
        <v>60</v>
      </c>
      <c r="C344" t="s">
        <v>174</v>
      </c>
      <c r="D344" t="s">
        <v>175</v>
      </c>
      <c r="E344" t="s">
        <v>113</v>
      </c>
      <c r="F344" t="s">
        <v>118</v>
      </c>
      <c r="G344">
        <v>0</v>
      </c>
    </row>
    <row r="345" spans="1:7" x14ac:dyDescent="0.35">
      <c r="A345">
        <v>2019</v>
      </c>
      <c r="B345" t="s">
        <v>60</v>
      </c>
      <c r="C345" t="s">
        <v>174</v>
      </c>
      <c r="D345" t="s">
        <v>175</v>
      </c>
      <c r="E345" t="s">
        <v>114</v>
      </c>
      <c r="F345" t="s">
        <v>118</v>
      </c>
      <c r="G345">
        <v>0</v>
      </c>
    </row>
    <row r="346" spans="1:7" x14ac:dyDescent="0.35">
      <c r="A346">
        <v>2019</v>
      </c>
      <c r="B346" t="s">
        <v>53</v>
      </c>
      <c r="C346" t="s">
        <v>174</v>
      </c>
      <c r="D346" t="s">
        <v>175</v>
      </c>
      <c r="E346" t="s">
        <v>112</v>
      </c>
      <c r="F346" t="s">
        <v>118</v>
      </c>
      <c r="G346">
        <v>0</v>
      </c>
    </row>
    <row r="347" spans="1:7" x14ac:dyDescent="0.35">
      <c r="A347">
        <v>2019</v>
      </c>
      <c r="B347" t="s">
        <v>53</v>
      </c>
      <c r="C347" t="s">
        <v>174</v>
      </c>
      <c r="D347" t="s">
        <v>175</v>
      </c>
      <c r="E347" t="s">
        <v>91</v>
      </c>
      <c r="F347" t="s">
        <v>118</v>
      </c>
      <c r="G347">
        <v>0</v>
      </c>
    </row>
    <row r="348" spans="1:7" x14ac:dyDescent="0.35">
      <c r="A348">
        <v>2019</v>
      </c>
      <c r="B348" t="s">
        <v>53</v>
      </c>
      <c r="C348" t="s">
        <v>174</v>
      </c>
      <c r="D348" t="s">
        <v>175</v>
      </c>
      <c r="E348" t="s">
        <v>113</v>
      </c>
      <c r="F348" t="s">
        <v>118</v>
      </c>
      <c r="G348">
        <v>0</v>
      </c>
    </row>
    <row r="349" spans="1:7" x14ac:dyDescent="0.35">
      <c r="A349">
        <v>2019</v>
      </c>
      <c r="B349" t="s">
        <v>53</v>
      </c>
      <c r="C349" t="s">
        <v>174</v>
      </c>
      <c r="D349" t="s">
        <v>175</v>
      </c>
      <c r="E349" t="s">
        <v>114</v>
      </c>
      <c r="F349" t="s">
        <v>118</v>
      </c>
      <c r="G349">
        <v>0</v>
      </c>
    </row>
    <row r="350" spans="1:7" x14ac:dyDescent="0.35">
      <c r="A350">
        <v>2019</v>
      </c>
      <c r="B350" t="s">
        <v>61</v>
      </c>
      <c r="C350" t="s">
        <v>174</v>
      </c>
      <c r="D350" t="s">
        <v>175</v>
      </c>
      <c r="E350" t="s">
        <v>112</v>
      </c>
      <c r="F350" t="s">
        <v>118</v>
      </c>
      <c r="G350">
        <v>0</v>
      </c>
    </row>
    <row r="351" spans="1:7" x14ac:dyDescent="0.35">
      <c r="A351">
        <v>2019</v>
      </c>
      <c r="B351" t="s">
        <v>61</v>
      </c>
      <c r="C351" t="s">
        <v>174</v>
      </c>
      <c r="D351" t="s">
        <v>175</v>
      </c>
      <c r="E351" t="s">
        <v>91</v>
      </c>
      <c r="F351" t="s">
        <v>118</v>
      </c>
      <c r="G351">
        <v>2</v>
      </c>
    </row>
    <row r="352" spans="1:7" x14ac:dyDescent="0.35">
      <c r="A352">
        <v>2019</v>
      </c>
      <c r="B352" t="s">
        <v>61</v>
      </c>
      <c r="C352" t="s">
        <v>174</v>
      </c>
      <c r="D352" t="s">
        <v>175</v>
      </c>
      <c r="E352" t="s">
        <v>113</v>
      </c>
      <c r="F352" t="s">
        <v>118</v>
      </c>
      <c r="G352">
        <v>0</v>
      </c>
    </row>
    <row r="353" spans="1:7" x14ac:dyDescent="0.35">
      <c r="A353">
        <v>2019</v>
      </c>
      <c r="B353" t="s">
        <v>61</v>
      </c>
      <c r="C353" t="s">
        <v>174</v>
      </c>
      <c r="D353" t="s">
        <v>175</v>
      </c>
      <c r="E353" t="s">
        <v>114</v>
      </c>
      <c r="F353" t="s">
        <v>118</v>
      </c>
      <c r="G353">
        <v>0</v>
      </c>
    </row>
    <row r="354" spans="1:7" x14ac:dyDescent="0.35">
      <c r="A354">
        <v>2019</v>
      </c>
      <c r="B354" t="s">
        <v>54</v>
      </c>
      <c r="C354" t="s">
        <v>174</v>
      </c>
      <c r="D354" t="s">
        <v>175</v>
      </c>
      <c r="E354" t="s">
        <v>112</v>
      </c>
      <c r="F354" t="s">
        <v>118</v>
      </c>
      <c r="G354">
        <v>1</v>
      </c>
    </row>
    <row r="355" spans="1:7" x14ac:dyDescent="0.35">
      <c r="A355">
        <v>2019</v>
      </c>
      <c r="B355" t="s">
        <v>54</v>
      </c>
      <c r="C355" t="s">
        <v>174</v>
      </c>
      <c r="D355" t="s">
        <v>175</v>
      </c>
      <c r="E355" t="s">
        <v>91</v>
      </c>
      <c r="F355" t="s">
        <v>118</v>
      </c>
      <c r="G355">
        <v>0</v>
      </c>
    </row>
    <row r="356" spans="1:7" x14ac:dyDescent="0.35">
      <c r="A356">
        <v>2019</v>
      </c>
      <c r="B356" t="s">
        <v>54</v>
      </c>
      <c r="C356" t="s">
        <v>174</v>
      </c>
      <c r="D356" t="s">
        <v>175</v>
      </c>
      <c r="E356" t="s">
        <v>113</v>
      </c>
      <c r="F356" t="s">
        <v>118</v>
      </c>
      <c r="G356">
        <v>0</v>
      </c>
    </row>
    <row r="357" spans="1:7" x14ac:dyDescent="0.35">
      <c r="A357">
        <v>2019</v>
      </c>
      <c r="B357" t="s">
        <v>54</v>
      </c>
      <c r="C357" t="s">
        <v>174</v>
      </c>
      <c r="D357" t="s">
        <v>175</v>
      </c>
      <c r="E357" t="s">
        <v>114</v>
      </c>
      <c r="F357" t="s">
        <v>118</v>
      </c>
      <c r="G357">
        <v>0</v>
      </c>
    </row>
    <row r="358" spans="1:7" x14ac:dyDescent="0.35">
      <c r="A358">
        <v>2019</v>
      </c>
      <c r="B358" t="s">
        <v>62</v>
      </c>
      <c r="C358" t="s">
        <v>174</v>
      </c>
      <c r="D358" t="s">
        <v>175</v>
      </c>
      <c r="E358" t="s">
        <v>112</v>
      </c>
      <c r="F358" t="s">
        <v>118</v>
      </c>
      <c r="G358">
        <v>1</v>
      </c>
    </row>
    <row r="359" spans="1:7" x14ac:dyDescent="0.35">
      <c r="A359">
        <v>2019</v>
      </c>
      <c r="B359" t="s">
        <v>62</v>
      </c>
      <c r="C359" t="s">
        <v>174</v>
      </c>
      <c r="D359" t="s">
        <v>175</v>
      </c>
      <c r="E359" t="s">
        <v>91</v>
      </c>
      <c r="F359" t="s">
        <v>118</v>
      </c>
      <c r="G359">
        <v>1</v>
      </c>
    </row>
    <row r="360" spans="1:7" x14ac:dyDescent="0.35">
      <c r="A360">
        <v>2019</v>
      </c>
      <c r="B360" t="s">
        <v>62</v>
      </c>
      <c r="C360" t="s">
        <v>174</v>
      </c>
      <c r="D360" t="s">
        <v>175</v>
      </c>
      <c r="E360" t="s">
        <v>113</v>
      </c>
      <c r="F360" t="s">
        <v>118</v>
      </c>
      <c r="G360">
        <v>0</v>
      </c>
    </row>
    <row r="361" spans="1:7" x14ac:dyDescent="0.35">
      <c r="A361">
        <v>2019</v>
      </c>
      <c r="B361" t="s">
        <v>62</v>
      </c>
      <c r="C361" t="s">
        <v>174</v>
      </c>
      <c r="D361" t="s">
        <v>175</v>
      </c>
      <c r="E361" t="s">
        <v>114</v>
      </c>
      <c r="F361" t="s">
        <v>118</v>
      </c>
      <c r="G361">
        <v>0</v>
      </c>
    </row>
    <row r="362" spans="1:7" x14ac:dyDescent="0.35">
      <c r="A362">
        <v>2019</v>
      </c>
      <c r="B362" t="s">
        <v>28</v>
      </c>
      <c r="C362" t="s">
        <v>174</v>
      </c>
      <c r="D362" t="s">
        <v>175</v>
      </c>
      <c r="E362" t="s">
        <v>112</v>
      </c>
      <c r="F362" t="s">
        <v>118</v>
      </c>
      <c r="G362">
        <v>3</v>
      </c>
    </row>
    <row r="363" spans="1:7" x14ac:dyDescent="0.35">
      <c r="A363">
        <v>2019</v>
      </c>
      <c r="B363" t="s">
        <v>28</v>
      </c>
      <c r="C363" t="s">
        <v>174</v>
      </c>
      <c r="D363" t="s">
        <v>175</v>
      </c>
      <c r="E363" t="s">
        <v>91</v>
      </c>
      <c r="F363" t="s">
        <v>118</v>
      </c>
      <c r="G363">
        <v>0</v>
      </c>
    </row>
    <row r="364" spans="1:7" x14ac:dyDescent="0.35">
      <c r="A364">
        <v>2019</v>
      </c>
      <c r="B364" t="s">
        <v>28</v>
      </c>
      <c r="C364" t="s">
        <v>174</v>
      </c>
      <c r="D364" t="s">
        <v>175</v>
      </c>
      <c r="E364" t="s">
        <v>113</v>
      </c>
      <c r="F364" t="s">
        <v>118</v>
      </c>
      <c r="G364">
        <v>0</v>
      </c>
    </row>
    <row r="365" spans="1:7" x14ac:dyDescent="0.35">
      <c r="A365">
        <v>2019</v>
      </c>
      <c r="B365" t="s">
        <v>28</v>
      </c>
      <c r="C365" t="s">
        <v>174</v>
      </c>
      <c r="D365" t="s">
        <v>175</v>
      </c>
      <c r="E365" t="s">
        <v>114</v>
      </c>
      <c r="F365" t="s">
        <v>118</v>
      </c>
      <c r="G365">
        <v>0</v>
      </c>
    </row>
    <row r="366" spans="1:7" x14ac:dyDescent="0.35">
      <c r="A366">
        <v>2019</v>
      </c>
      <c r="B366" t="s">
        <v>43</v>
      </c>
      <c r="C366" t="s">
        <v>174</v>
      </c>
      <c r="D366" t="s">
        <v>175</v>
      </c>
      <c r="E366" t="s">
        <v>112</v>
      </c>
      <c r="F366" t="s">
        <v>118</v>
      </c>
      <c r="G366">
        <v>0</v>
      </c>
    </row>
    <row r="367" spans="1:7" x14ac:dyDescent="0.35">
      <c r="A367">
        <v>2019</v>
      </c>
      <c r="B367" t="s">
        <v>43</v>
      </c>
      <c r="C367" t="s">
        <v>174</v>
      </c>
      <c r="D367" t="s">
        <v>175</v>
      </c>
      <c r="E367" t="s">
        <v>91</v>
      </c>
      <c r="F367" t="s">
        <v>118</v>
      </c>
      <c r="G367">
        <v>0</v>
      </c>
    </row>
    <row r="368" spans="1:7" x14ac:dyDescent="0.35">
      <c r="A368">
        <v>2019</v>
      </c>
      <c r="B368" t="s">
        <v>43</v>
      </c>
      <c r="C368" t="s">
        <v>174</v>
      </c>
      <c r="D368" t="s">
        <v>175</v>
      </c>
      <c r="E368" t="s">
        <v>113</v>
      </c>
      <c r="F368" t="s">
        <v>118</v>
      </c>
      <c r="G368">
        <v>0</v>
      </c>
    </row>
    <row r="369" spans="1:7" x14ac:dyDescent="0.35">
      <c r="A369">
        <v>2019</v>
      </c>
      <c r="B369" t="s">
        <v>43</v>
      </c>
      <c r="C369" t="s">
        <v>174</v>
      </c>
      <c r="D369" t="s">
        <v>175</v>
      </c>
      <c r="E369" t="s">
        <v>114</v>
      </c>
      <c r="F369" t="s">
        <v>118</v>
      </c>
      <c r="G369">
        <v>0</v>
      </c>
    </row>
    <row r="370" spans="1:7" x14ac:dyDescent="0.35">
      <c r="A370">
        <v>2019</v>
      </c>
      <c r="B370" t="s">
        <v>17</v>
      </c>
      <c r="C370" t="s">
        <v>174</v>
      </c>
      <c r="D370" t="s">
        <v>175</v>
      </c>
      <c r="E370" t="s">
        <v>112</v>
      </c>
      <c r="F370" t="s">
        <v>8</v>
      </c>
      <c r="G370">
        <v>0</v>
      </c>
    </row>
    <row r="371" spans="1:7" x14ac:dyDescent="0.35">
      <c r="A371">
        <v>2019</v>
      </c>
      <c r="B371" t="s">
        <v>17</v>
      </c>
      <c r="C371" t="s">
        <v>174</v>
      </c>
      <c r="D371" t="s">
        <v>175</v>
      </c>
      <c r="E371" t="s">
        <v>91</v>
      </c>
      <c r="F371" t="s">
        <v>8</v>
      </c>
      <c r="G371">
        <v>0</v>
      </c>
    </row>
    <row r="372" spans="1:7" x14ac:dyDescent="0.35">
      <c r="A372">
        <v>2019</v>
      </c>
      <c r="B372" t="s">
        <v>17</v>
      </c>
      <c r="C372" t="s">
        <v>174</v>
      </c>
      <c r="D372" t="s">
        <v>175</v>
      </c>
      <c r="E372" t="s">
        <v>113</v>
      </c>
      <c r="F372" t="s">
        <v>8</v>
      </c>
      <c r="G372">
        <v>0</v>
      </c>
    </row>
    <row r="373" spans="1:7" x14ac:dyDescent="0.35">
      <c r="A373">
        <v>2019</v>
      </c>
      <c r="B373" t="s">
        <v>17</v>
      </c>
      <c r="C373" t="s">
        <v>174</v>
      </c>
      <c r="D373" t="s">
        <v>175</v>
      </c>
      <c r="E373" t="s">
        <v>114</v>
      </c>
      <c r="F373" t="s">
        <v>8</v>
      </c>
      <c r="G373">
        <v>0</v>
      </c>
    </row>
    <row r="374" spans="1:7" x14ac:dyDescent="0.35">
      <c r="A374">
        <v>2019</v>
      </c>
      <c r="B374" t="s">
        <v>18</v>
      </c>
      <c r="C374" t="s">
        <v>174</v>
      </c>
      <c r="D374" t="s">
        <v>175</v>
      </c>
      <c r="E374" t="s">
        <v>112</v>
      </c>
      <c r="F374" t="s">
        <v>8</v>
      </c>
      <c r="G374">
        <v>1</v>
      </c>
    </row>
    <row r="375" spans="1:7" x14ac:dyDescent="0.35">
      <c r="A375">
        <v>2019</v>
      </c>
      <c r="B375" t="s">
        <v>18</v>
      </c>
      <c r="C375" t="s">
        <v>174</v>
      </c>
      <c r="D375" t="s">
        <v>175</v>
      </c>
      <c r="E375" t="s">
        <v>91</v>
      </c>
      <c r="F375" t="s">
        <v>8</v>
      </c>
      <c r="G375">
        <v>0</v>
      </c>
    </row>
    <row r="376" spans="1:7" x14ac:dyDescent="0.35">
      <c r="A376">
        <v>2019</v>
      </c>
      <c r="B376" t="s">
        <v>18</v>
      </c>
      <c r="C376" t="s">
        <v>174</v>
      </c>
      <c r="D376" t="s">
        <v>175</v>
      </c>
      <c r="E376" t="s">
        <v>113</v>
      </c>
      <c r="F376" t="s">
        <v>8</v>
      </c>
      <c r="G376">
        <v>1</v>
      </c>
    </row>
    <row r="377" spans="1:7" x14ac:dyDescent="0.35">
      <c r="A377">
        <v>2019</v>
      </c>
      <c r="B377" t="s">
        <v>18</v>
      </c>
      <c r="C377" t="s">
        <v>174</v>
      </c>
      <c r="D377" t="s">
        <v>175</v>
      </c>
      <c r="E377" t="s">
        <v>114</v>
      </c>
      <c r="F377" t="s">
        <v>8</v>
      </c>
      <c r="G377">
        <v>0</v>
      </c>
    </row>
    <row r="378" spans="1:7" x14ac:dyDescent="0.35">
      <c r="A378">
        <v>2019</v>
      </c>
      <c r="B378" t="s">
        <v>19</v>
      </c>
      <c r="C378" t="s">
        <v>174</v>
      </c>
      <c r="D378" t="s">
        <v>175</v>
      </c>
      <c r="E378" t="s">
        <v>112</v>
      </c>
      <c r="F378" t="s">
        <v>8</v>
      </c>
      <c r="G378">
        <v>1</v>
      </c>
    </row>
    <row r="379" spans="1:7" x14ac:dyDescent="0.35">
      <c r="A379">
        <v>2019</v>
      </c>
      <c r="B379" t="s">
        <v>19</v>
      </c>
      <c r="C379" t="s">
        <v>174</v>
      </c>
      <c r="D379" t="s">
        <v>175</v>
      </c>
      <c r="E379" t="s">
        <v>91</v>
      </c>
      <c r="F379" t="s">
        <v>8</v>
      </c>
      <c r="G379">
        <v>1</v>
      </c>
    </row>
    <row r="380" spans="1:7" x14ac:dyDescent="0.35">
      <c r="A380">
        <v>2019</v>
      </c>
      <c r="B380" t="s">
        <v>19</v>
      </c>
      <c r="C380" t="s">
        <v>174</v>
      </c>
      <c r="D380" t="s">
        <v>175</v>
      </c>
      <c r="E380" t="s">
        <v>113</v>
      </c>
      <c r="F380" t="s">
        <v>8</v>
      </c>
      <c r="G380">
        <v>1</v>
      </c>
    </row>
    <row r="381" spans="1:7" x14ac:dyDescent="0.35">
      <c r="A381">
        <v>2019</v>
      </c>
      <c r="B381" t="s">
        <v>19</v>
      </c>
      <c r="C381" t="s">
        <v>174</v>
      </c>
      <c r="D381" t="s">
        <v>175</v>
      </c>
      <c r="E381" t="s">
        <v>114</v>
      </c>
      <c r="F381" t="s">
        <v>8</v>
      </c>
      <c r="G381">
        <v>0</v>
      </c>
    </row>
    <row r="382" spans="1:7" x14ac:dyDescent="0.35">
      <c r="A382">
        <v>2019</v>
      </c>
      <c r="B382" t="s">
        <v>20</v>
      </c>
      <c r="C382" t="s">
        <v>174</v>
      </c>
      <c r="D382" t="s">
        <v>175</v>
      </c>
      <c r="E382" t="s">
        <v>112</v>
      </c>
      <c r="F382" t="s">
        <v>8</v>
      </c>
      <c r="G382">
        <v>0</v>
      </c>
    </row>
    <row r="383" spans="1:7" x14ac:dyDescent="0.35">
      <c r="A383">
        <v>2019</v>
      </c>
      <c r="B383" t="s">
        <v>20</v>
      </c>
      <c r="C383" t="s">
        <v>174</v>
      </c>
      <c r="D383" t="s">
        <v>175</v>
      </c>
      <c r="E383" t="s">
        <v>91</v>
      </c>
      <c r="F383" t="s">
        <v>8</v>
      </c>
      <c r="G383">
        <v>3</v>
      </c>
    </row>
    <row r="384" spans="1:7" x14ac:dyDescent="0.35">
      <c r="A384">
        <v>2019</v>
      </c>
      <c r="B384" t="s">
        <v>20</v>
      </c>
      <c r="C384" t="s">
        <v>174</v>
      </c>
      <c r="D384" t="s">
        <v>175</v>
      </c>
      <c r="E384" t="s">
        <v>113</v>
      </c>
      <c r="F384" t="s">
        <v>8</v>
      </c>
      <c r="G384">
        <v>0</v>
      </c>
    </row>
    <row r="385" spans="1:7" x14ac:dyDescent="0.35">
      <c r="A385">
        <v>2019</v>
      </c>
      <c r="B385" t="s">
        <v>20</v>
      </c>
      <c r="C385" t="s">
        <v>174</v>
      </c>
      <c r="D385" t="s">
        <v>175</v>
      </c>
      <c r="E385" t="s">
        <v>114</v>
      </c>
      <c r="F385" t="s">
        <v>8</v>
      </c>
      <c r="G385">
        <v>0</v>
      </c>
    </row>
    <row r="386" spans="1:7" x14ac:dyDescent="0.35">
      <c r="A386">
        <v>2019</v>
      </c>
      <c r="B386" t="s">
        <v>21</v>
      </c>
      <c r="C386" t="s">
        <v>174</v>
      </c>
      <c r="D386" t="s">
        <v>175</v>
      </c>
      <c r="E386" t="s">
        <v>112</v>
      </c>
      <c r="F386" t="s">
        <v>8</v>
      </c>
      <c r="G386">
        <v>0</v>
      </c>
    </row>
    <row r="387" spans="1:7" x14ac:dyDescent="0.35">
      <c r="A387">
        <v>2019</v>
      </c>
      <c r="B387" t="s">
        <v>21</v>
      </c>
      <c r="C387" t="s">
        <v>174</v>
      </c>
      <c r="D387" t="s">
        <v>175</v>
      </c>
      <c r="E387" t="s">
        <v>91</v>
      </c>
      <c r="F387" t="s">
        <v>8</v>
      </c>
      <c r="G387">
        <v>0</v>
      </c>
    </row>
    <row r="388" spans="1:7" x14ac:dyDescent="0.35">
      <c r="A388">
        <v>2019</v>
      </c>
      <c r="B388" t="s">
        <v>21</v>
      </c>
      <c r="C388" t="s">
        <v>174</v>
      </c>
      <c r="D388" t="s">
        <v>175</v>
      </c>
      <c r="E388" t="s">
        <v>113</v>
      </c>
      <c r="F388" t="s">
        <v>8</v>
      </c>
      <c r="G388">
        <v>1</v>
      </c>
    </row>
    <row r="389" spans="1:7" x14ac:dyDescent="0.35">
      <c r="A389">
        <v>2019</v>
      </c>
      <c r="B389" t="s">
        <v>21</v>
      </c>
      <c r="C389" t="s">
        <v>174</v>
      </c>
      <c r="D389" t="s">
        <v>175</v>
      </c>
      <c r="E389" t="s">
        <v>114</v>
      </c>
      <c r="F389" t="s">
        <v>8</v>
      </c>
      <c r="G389">
        <v>0</v>
      </c>
    </row>
    <row r="390" spans="1:7" x14ac:dyDescent="0.35">
      <c r="A390">
        <v>2019</v>
      </c>
      <c r="B390" t="s">
        <v>22</v>
      </c>
      <c r="C390" t="s">
        <v>174</v>
      </c>
      <c r="D390" t="s">
        <v>175</v>
      </c>
      <c r="E390" t="s">
        <v>112</v>
      </c>
      <c r="F390" t="s">
        <v>8</v>
      </c>
      <c r="G390">
        <v>0</v>
      </c>
    </row>
    <row r="391" spans="1:7" x14ac:dyDescent="0.35">
      <c r="A391">
        <v>2019</v>
      </c>
      <c r="B391" t="s">
        <v>22</v>
      </c>
      <c r="C391" t="s">
        <v>174</v>
      </c>
      <c r="D391" t="s">
        <v>175</v>
      </c>
      <c r="E391" t="s">
        <v>91</v>
      </c>
      <c r="F391" t="s">
        <v>8</v>
      </c>
      <c r="G391">
        <v>0</v>
      </c>
    </row>
    <row r="392" spans="1:7" x14ac:dyDescent="0.35">
      <c r="A392">
        <v>2019</v>
      </c>
      <c r="B392" t="s">
        <v>22</v>
      </c>
      <c r="C392" t="s">
        <v>174</v>
      </c>
      <c r="D392" t="s">
        <v>175</v>
      </c>
      <c r="E392" t="s">
        <v>113</v>
      </c>
      <c r="F392" t="s">
        <v>8</v>
      </c>
      <c r="G392">
        <v>0</v>
      </c>
    </row>
    <row r="393" spans="1:7" x14ac:dyDescent="0.35">
      <c r="A393">
        <v>2019</v>
      </c>
      <c r="B393" t="s">
        <v>22</v>
      </c>
      <c r="C393" t="s">
        <v>174</v>
      </c>
      <c r="D393" t="s">
        <v>175</v>
      </c>
      <c r="E393" t="s">
        <v>114</v>
      </c>
      <c r="F393" t="s">
        <v>8</v>
      </c>
      <c r="G393">
        <v>0</v>
      </c>
    </row>
    <row r="394" spans="1:7" x14ac:dyDescent="0.35">
      <c r="A394">
        <v>2019</v>
      </c>
      <c r="B394" t="s">
        <v>23</v>
      </c>
      <c r="C394" t="s">
        <v>174</v>
      </c>
      <c r="D394" t="s">
        <v>175</v>
      </c>
      <c r="E394" t="s">
        <v>112</v>
      </c>
      <c r="F394" t="s">
        <v>8</v>
      </c>
      <c r="G394">
        <v>0</v>
      </c>
    </row>
    <row r="395" spans="1:7" x14ac:dyDescent="0.35">
      <c r="A395">
        <v>2019</v>
      </c>
      <c r="B395" t="s">
        <v>23</v>
      </c>
      <c r="C395" t="s">
        <v>174</v>
      </c>
      <c r="D395" t="s">
        <v>175</v>
      </c>
      <c r="E395" t="s">
        <v>91</v>
      </c>
      <c r="F395" t="s">
        <v>8</v>
      </c>
      <c r="G395">
        <v>0</v>
      </c>
    </row>
    <row r="396" spans="1:7" x14ac:dyDescent="0.35">
      <c r="A396">
        <v>2019</v>
      </c>
      <c r="B396" t="s">
        <v>23</v>
      </c>
      <c r="C396" t="s">
        <v>174</v>
      </c>
      <c r="D396" t="s">
        <v>175</v>
      </c>
      <c r="E396" t="s">
        <v>113</v>
      </c>
      <c r="F396" t="s">
        <v>8</v>
      </c>
      <c r="G396">
        <v>0</v>
      </c>
    </row>
    <row r="397" spans="1:7" x14ac:dyDescent="0.35">
      <c r="A397">
        <v>2019</v>
      </c>
      <c r="B397" t="s">
        <v>23</v>
      </c>
      <c r="C397" t="s">
        <v>174</v>
      </c>
      <c r="D397" t="s">
        <v>175</v>
      </c>
      <c r="E397" t="s">
        <v>114</v>
      </c>
      <c r="F397" t="s">
        <v>8</v>
      </c>
      <c r="G397">
        <v>0</v>
      </c>
    </row>
    <row r="398" spans="1:7" x14ac:dyDescent="0.35">
      <c r="A398">
        <v>2019</v>
      </c>
      <c r="B398" t="s">
        <v>24</v>
      </c>
      <c r="C398" t="s">
        <v>174</v>
      </c>
      <c r="D398" t="s">
        <v>175</v>
      </c>
      <c r="E398" t="s">
        <v>112</v>
      </c>
      <c r="F398" t="s">
        <v>8</v>
      </c>
      <c r="G398">
        <v>0</v>
      </c>
    </row>
    <row r="399" spans="1:7" x14ac:dyDescent="0.35">
      <c r="A399">
        <v>2019</v>
      </c>
      <c r="B399" t="s">
        <v>24</v>
      </c>
      <c r="C399" t="s">
        <v>174</v>
      </c>
      <c r="D399" t="s">
        <v>175</v>
      </c>
      <c r="E399" t="s">
        <v>91</v>
      </c>
      <c r="F399" t="s">
        <v>8</v>
      </c>
      <c r="G399">
        <v>0</v>
      </c>
    </row>
    <row r="400" spans="1:7" x14ac:dyDescent="0.35">
      <c r="A400">
        <v>2019</v>
      </c>
      <c r="B400" t="s">
        <v>24</v>
      </c>
      <c r="C400" t="s">
        <v>174</v>
      </c>
      <c r="D400" t="s">
        <v>175</v>
      </c>
      <c r="E400" t="s">
        <v>113</v>
      </c>
      <c r="F400" t="s">
        <v>8</v>
      </c>
      <c r="G400">
        <v>0</v>
      </c>
    </row>
    <row r="401" spans="1:7" x14ac:dyDescent="0.35">
      <c r="A401">
        <v>2019</v>
      </c>
      <c r="B401" t="s">
        <v>24</v>
      </c>
      <c r="C401" t="s">
        <v>174</v>
      </c>
      <c r="D401" t="s">
        <v>175</v>
      </c>
      <c r="E401" t="s">
        <v>114</v>
      </c>
      <c r="F401" t="s">
        <v>8</v>
      </c>
      <c r="G401">
        <v>0</v>
      </c>
    </row>
    <row r="402" spans="1:7" x14ac:dyDescent="0.35">
      <c r="A402">
        <v>2019</v>
      </c>
      <c r="B402" t="s">
        <v>25</v>
      </c>
      <c r="C402" t="s">
        <v>174</v>
      </c>
      <c r="D402" t="s">
        <v>175</v>
      </c>
      <c r="E402" t="s">
        <v>112</v>
      </c>
      <c r="F402" t="s">
        <v>8</v>
      </c>
      <c r="G402">
        <v>0</v>
      </c>
    </row>
    <row r="403" spans="1:7" x14ac:dyDescent="0.35">
      <c r="A403">
        <v>2019</v>
      </c>
      <c r="B403" t="s">
        <v>25</v>
      </c>
      <c r="C403" t="s">
        <v>174</v>
      </c>
      <c r="D403" t="s">
        <v>175</v>
      </c>
      <c r="E403" t="s">
        <v>91</v>
      </c>
      <c r="F403" t="s">
        <v>8</v>
      </c>
      <c r="G403">
        <v>0</v>
      </c>
    </row>
    <row r="404" spans="1:7" x14ac:dyDescent="0.35">
      <c r="A404">
        <v>2019</v>
      </c>
      <c r="B404" t="s">
        <v>25</v>
      </c>
      <c r="C404" t="s">
        <v>174</v>
      </c>
      <c r="D404" t="s">
        <v>175</v>
      </c>
      <c r="E404" t="s">
        <v>113</v>
      </c>
      <c r="F404" t="s">
        <v>8</v>
      </c>
      <c r="G404">
        <v>0</v>
      </c>
    </row>
    <row r="405" spans="1:7" x14ac:dyDescent="0.35">
      <c r="A405">
        <v>2019</v>
      </c>
      <c r="B405" t="s">
        <v>25</v>
      </c>
      <c r="C405" t="s">
        <v>174</v>
      </c>
      <c r="D405" t="s">
        <v>175</v>
      </c>
      <c r="E405" t="s">
        <v>114</v>
      </c>
      <c r="F405" t="s">
        <v>8</v>
      </c>
      <c r="G405">
        <v>0</v>
      </c>
    </row>
    <row r="406" spans="1:7" x14ac:dyDescent="0.35">
      <c r="A406">
        <v>2019</v>
      </c>
      <c r="B406" t="s">
        <v>26</v>
      </c>
      <c r="C406" t="s">
        <v>174</v>
      </c>
      <c r="D406" t="s">
        <v>175</v>
      </c>
      <c r="E406" t="s">
        <v>112</v>
      </c>
      <c r="F406" t="s">
        <v>8</v>
      </c>
      <c r="G406">
        <v>0</v>
      </c>
    </row>
    <row r="407" spans="1:7" x14ac:dyDescent="0.35">
      <c r="A407">
        <v>2019</v>
      </c>
      <c r="B407" t="s">
        <v>26</v>
      </c>
      <c r="C407" t="s">
        <v>174</v>
      </c>
      <c r="D407" t="s">
        <v>175</v>
      </c>
      <c r="E407" t="s">
        <v>91</v>
      </c>
      <c r="F407" t="s">
        <v>8</v>
      </c>
      <c r="G407">
        <v>0</v>
      </c>
    </row>
    <row r="408" spans="1:7" x14ac:dyDescent="0.35">
      <c r="A408">
        <v>2019</v>
      </c>
      <c r="B408" t="s">
        <v>26</v>
      </c>
      <c r="C408" t="s">
        <v>174</v>
      </c>
      <c r="D408" t="s">
        <v>175</v>
      </c>
      <c r="E408" t="s">
        <v>113</v>
      </c>
      <c r="F408" t="s">
        <v>8</v>
      </c>
      <c r="G408">
        <v>0</v>
      </c>
    </row>
    <row r="409" spans="1:7" x14ac:dyDescent="0.35">
      <c r="A409">
        <v>2019</v>
      </c>
      <c r="B409" t="s">
        <v>26</v>
      </c>
      <c r="C409" t="s">
        <v>174</v>
      </c>
      <c r="D409" t="s">
        <v>175</v>
      </c>
      <c r="E409" t="s">
        <v>114</v>
      </c>
      <c r="F409" t="s">
        <v>8</v>
      </c>
      <c r="G409">
        <v>0</v>
      </c>
    </row>
    <row r="410" spans="1:7" x14ac:dyDescent="0.35">
      <c r="A410">
        <v>2019</v>
      </c>
      <c r="B410" t="s">
        <v>27</v>
      </c>
      <c r="C410" t="s">
        <v>174</v>
      </c>
      <c r="D410" t="s">
        <v>175</v>
      </c>
      <c r="E410" t="s">
        <v>112</v>
      </c>
      <c r="F410" t="s">
        <v>8</v>
      </c>
      <c r="G410">
        <v>2</v>
      </c>
    </row>
    <row r="411" spans="1:7" x14ac:dyDescent="0.35">
      <c r="A411">
        <v>2019</v>
      </c>
      <c r="B411" t="s">
        <v>27</v>
      </c>
      <c r="C411" t="s">
        <v>174</v>
      </c>
      <c r="D411" t="s">
        <v>175</v>
      </c>
      <c r="E411" t="s">
        <v>91</v>
      </c>
      <c r="F411" t="s">
        <v>8</v>
      </c>
      <c r="G411">
        <v>0</v>
      </c>
    </row>
    <row r="412" spans="1:7" x14ac:dyDescent="0.35">
      <c r="A412">
        <v>2019</v>
      </c>
      <c r="B412" t="s">
        <v>27</v>
      </c>
      <c r="C412" t="s">
        <v>174</v>
      </c>
      <c r="D412" t="s">
        <v>175</v>
      </c>
      <c r="E412" t="s">
        <v>113</v>
      </c>
      <c r="F412" t="s">
        <v>8</v>
      </c>
      <c r="G412">
        <v>0</v>
      </c>
    </row>
    <row r="413" spans="1:7" x14ac:dyDescent="0.35">
      <c r="A413">
        <v>2019</v>
      </c>
      <c r="B413" t="s">
        <v>27</v>
      </c>
      <c r="C413" t="s">
        <v>174</v>
      </c>
      <c r="D413" t="s">
        <v>175</v>
      </c>
      <c r="E413" t="s">
        <v>114</v>
      </c>
      <c r="F413" t="s">
        <v>8</v>
      </c>
      <c r="G413">
        <v>0</v>
      </c>
    </row>
    <row r="414" spans="1:7" x14ac:dyDescent="0.35">
      <c r="A414">
        <v>2019</v>
      </c>
      <c r="B414" t="s">
        <v>29</v>
      </c>
      <c r="C414" t="s">
        <v>174</v>
      </c>
      <c r="D414" t="s">
        <v>175</v>
      </c>
      <c r="E414" t="s">
        <v>112</v>
      </c>
      <c r="F414" t="s">
        <v>8</v>
      </c>
      <c r="G414">
        <v>0</v>
      </c>
    </row>
    <row r="415" spans="1:7" x14ac:dyDescent="0.35">
      <c r="A415">
        <v>2019</v>
      </c>
      <c r="B415" t="s">
        <v>29</v>
      </c>
      <c r="C415" t="s">
        <v>174</v>
      </c>
      <c r="D415" t="s">
        <v>175</v>
      </c>
      <c r="E415" t="s">
        <v>91</v>
      </c>
      <c r="F415" t="s">
        <v>8</v>
      </c>
      <c r="G415">
        <v>0</v>
      </c>
    </row>
    <row r="416" spans="1:7" x14ac:dyDescent="0.35">
      <c r="A416">
        <v>2019</v>
      </c>
      <c r="B416" t="s">
        <v>29</v>
      </c>
      <c r="C416" t="s">
        <v>174</v>
      </c>
      <c r="D416" t="s">
        <v>175</v>
      </c>
      <c r="E416" t="s">
        <v>113</v>
      </c>
      <c r="F416" t="s">
        <v>8</v>
      </c>
      <c r="G416">
        <v>0</v>
      </c>
    </row>
    <row r="417" spans="1:7" x14ac:dyDescent="0.35">
      <c r="A417">
        <v>2019</v>
      </c>
      <c r="B417" t="s">
        <v>29</v>
      </c>
      <c r="C417" t="s">
        <v>174</v>
      </c>
      <c r="D417" t="s">
        <v>175</v>
      </c>
      <c r="E417" t="s">
        <v>114</v>
      </c>
      <c r="F417" t="s">
        <v>8</v>
      </c>
      <c r="G417">
        <v>0</v>
      </c>
    </row>
    <row r="418" spans="1:7" x14ac:dyDescent="0.35">
      <c r="A418">
        <v>2019</v>
      </c>
      <c r="B418" t="s">
        <v>30</v>
      </c>
      <c r="C418" t="s">
        <v>174</v>
      </c>
      <c r="D418" t="s">
        <v>175</v>
      </c>
      <c r="E418" t="s">
        <v>112</v>
      </c>
      <c r="F418" t="s">
        <v>8</v>
      </c>
      <c r="G418">
        <v>1</v>
      </c>
    </row>
    <row r="419" spans="1:7" x14ac:dyDescent="0.35">
      <c r="A419">
        <v>2019</v>
      </c>
      <c r="B419" t="s">
        <v>30</v>
      </c>
      <c r="C419" t="s">
        <v>174</v>
      </c>
      <c r="D419" t="s">
        <v>175</v>
      </c>
      <c r="E419" t="s">
        <v>91</v>
      </c>
      <c r="F419" t="s">
        <v>8</v>
      </c>
      <c r="G419">
        <v>0</v>
      </c>
    </row>
    <row r="420" spans="1:7" x14ac:dyDescent="0.35">
      <c r="A420">
        <v>2019</v>
      </c>
      <c r="B420" t="s">
        <v>30</v>
      </c>
      <c r="C420" t="s">
        <v>174</v>
      </c>
      <c r="D420" t="s">
        <v>175</v>
      </c>
      <c r="E420" t="s">
        <v>113</v>
      </c>
      <c r="F420" t="s">
        <v>8</v>
      </c>
      <c r="G420">
        <v>0</v>
      </c>
    </row>
    <row r="421" spans="1:7" x14ac:dyDescent="0.35">
      <c r="A421">
        <v>2019</v>
      </c>
      <c r="B421" t="s">
        <v>30</v>
      </c>
      <c r="C421" t="s">
        <v>174</v>
      </c>
      <c r="D421" t="s">
        <v>175</v>
      </c>
      <c r="E421" t="s">
        <v>114</v>
      </c>
      <c r="F421" t="s">
        <v>8</v>
      </c>
      <c r="G421">
        <v>0</v>
      </c>
    </row>
    <row r="422" spans="1:7" x14ac:dyDescent="0.35">
      <c r="A422">
        <v>2019</v>
      </c>
      <c r="B422" t="s">
        <v>31</v>
      </c>
      <c r="C422" t="s">
        <v>174</v>
      </c>
      <c r="D422" t="s">
        <v>175</v>
      </c>
      <c r="E422" t="s">
        <v>112</v>
      </c>
      <c r="F422" t="s">
        <v>8</v>
      </c>
      <c r="G422">
        <v>0</v>
      </c>
    </row>
    <row r="423" spans="1:7" x14ac:dyDescent="0.35">
      <c r="A423">
        <v>2019</v>
      </c>
      <c r="B423" t="s">
        <v>31</v>
      </c>
      <c r="C423" t="s">
        <v>174</v>
      </c>
      <c r="D423" t="s">
        <v>175</v>
      </c>
      <c r="E423" t="s">
        <v>91</v>
      </c>
      <c r="F423" t="s">
        <v>8</v>
      </c>
      <c r="G423">
        <v>0</v>
      </c>
    </row>
    <row r="424" spans="1:7" x14ac:dyDescent="0.35">
      <c r="A424">
        <v>2019</v>
      </c>
      <c r="B424" t="s">
        <v>31</v>
      </c>
      <c r="C424" t="s">
        <v>174</v>
      </c>
      <c r="D424" t="s">
        <v>175</v>
      </c>
      <c r="E424" t="s">
        <v>113</v>
      </c>
      <c r="F424" t="s">
        <v>8</v>
      </c>
      <c r="G424">
        <v>0</v>
      </c>
    </row>
    <row r="425" spans="1:7" x14ac:dyDescent="0.35">
      <c r="A425">
        <v>2019</v>
      </c>
      <c r="B425" t="s">
        <v>31</v>
      </c>
      <c r="C425" t="s">
        <v>174</v>
      </c>
      <c r="D425" t="s">
        <v>175</v>
      </c>
      <c r="E425" t="s">
        <v>114</v>
      </c>
      <c r="F425" t="s">
        <v>8</v>
      </c>
      <c r="G425">
        <v>0</v>
      </c>
    </row>
    <row r="426" spans="1:7" x14ac:dyDescent="0.35">
      <c r="A426">
        <v>2019</v>
      </c>
      <c r="B426" t="s">
        <v>32</v>
      </c>
      <c r="C426" t="s">
        <v>174</v>
      </c>
      <c r="D426" t="s">
        <v>175</v>
      </c>
      <c r="E426" t="s">
        <v>112</v>
      </c>
      <c r="F426" t="s">
        <v>8</v>
      </c>
      <c r="G426">
        <v>0</v>
      </c>
    </row>
    <row r="427" spans="1:7" x14ac:dyDescent="0.35">
      <c r="A427">
        <v>2019</v>
      </c>
      <c r="B427" t="s">
        <v>32</v>
      </c>
      <c r="C427" t="s">
        <v>174</v>
      </c>
      <c r="D427" t="s">
        <v>175</v>
      </c>
      <c r="E427" t="s">
        <v>91</v>
      </c>
      <c r="F427" t="s">
        <v>8</v>
      </c>
      <c r="G427">
        <v>0</v>
      </c>
    </row>
    <row r="428" spans="1:7" x14ac:dyDescent="0.35">
      <c r="A428">
        <v>2019</v>
      </c>
      <c r="B428" t="s">
        <v>32</v>
      </c>
      <c r="C428" t="s">
        <v>174</v>
      </c>
      <c r="D428" t="s">
        <v>175</v>
      </c>
      <c r="E428" t="s">
        <v>113</v>
      </c>
      <c r="F428" t="s">
        <v>8</v>
      </c>
      <c r="G428">
        <v>0</v>
      </c>
    </row>
    <row r="429" spans="1:7" x14ac:dyDescent="0.35">
      <c r="A429">
        <v>2019</v>
      </c>
      <c r="B429" t="s">
        <v>32</v>
      </c>
      <c r="C429" t="s">
        <v>174</v>
      </c>
      <c r="D429" t="s">
        <v>175</v>
      </c>
      <c r="E429" t="s">
        <v>114</v>
      </c>
      <c r="F429" t="s">
        <v>8</v>
      </c>
      <c r="G429">
        <v>0</v>
      </c>
    </row>
    <row r="430" spans="1:7" x14ac:dyDescent="0.35">
      <c r="A430">
        <v>2019</v>
      </c>
      <c r="B430" t="s">
        <v>63</v>
      </c>
      <c r="C430" t="s">
        <v>174</v>
      </c>
      <c r="D430" t="s">
        <v>175</v>
      </c>
      <c r="E430" t="s">
        <v>112</v>
      </c>
      <c r="F430" t="s">
        <v>8</v>
      </c>
      <c r="G430">
        <v>0</v>
      </c>
    </row>
    <row r="431" spans="1:7" x14ac:dyDescent="0.35">
      <c r="A431">
        <v>2019</v>
      </c>
      <c r="B431" t="s">
        <v>63</v>
      </c>
      <c r="C431" t="s">
        <v>174</v>
      </c>
      <c r="D431" t="s">
        <v>175</v>
      </c>
      <c r="E431" t="s">
        <v>91</v>
      </c>
      <c r="F431" t="s">
        <v>8</v>
      </c>
      <c r="G431">
        <v>18</v>
      </c>
    </row>
    <row r="432" spans="1:7" x14ac:dyDescent="0.35">
      <c r="A432">
        <v>2019</v>
      </c>
      <c r="B432" t="s">
        <v>63</v>
      </c>
      <c r="C432" t="s">
        <v>174</v>
      </c>
      <c r="D432" t="s">
        <v>175</v>
      </c>
      <c r="E432" t="s">
        <v>113</v>
      </c>
      <c r="F432" t="s">
        <v>8</v>
      </c>
      <c r="G432">
        <v>4</v>
      </c>
    </row>
    <row r="433" spans="1:7" x14ac:dyDescent="0.35">
      <c r="A433">
        <v>2019</v>
      </c>
      <c r="B433" t="s">
        <v>63</v>
      </c>
      <c r="C433" t="s">
        <v>174</v>
      </c>
      <c r="D433" t="s">
        <v>175</v>
      </c>
      <c r="E433" t="s">
        <v>114</v>
      </c>
      <c r="F433" t="s">
        <v>8</v>
      </c>
      <c r="G433">
        <v>0</v>
      </c>
    </row>
    <row r="434" spans="1:7" x14ac:dyDescent="0.35">
      <c r="A434">
        <v>2019</v>
      </c>
      <c r="B434" t="s">
        <v>57</v>
      </c>
      <c r="C434" t="s">
        <v>174</v>
      </c>
      <c r="D434" t="s">
        <v>175</v>
      </c>
      <c r="E434" t="s">
        <v>112</v>
      </c>
      <c r="F434" t="s">
        <v>8</v>
      </c>
      <c r="G434">
        <v>0</v>
      </c>
    </row>
    <row r="435" spans="1:7" x14ac:dyDescent="0.35">
      <c r="A435">
        <v>2019</v>
      </c>
      <c r="B435" t="s">
        <v>57</v>
      </c>
      <c r="C435" t="s">
        <v>174</v>
      </c>
      <c r="D435" t="s">
        <v>175</v>
      </c>
      <c r="E435" t="s">
        <v>91</v>
      </c>
      <c r="F435" t="s">
        <v>8</v>
      </c>
      <c r="G435">
        <v>4</v>
      </c>
    </row>
    <row r="436" spans="1:7" x14ac:dyDescent="0.35">
      <c r="A436">
        <v>2019</v>
      </c>
      <c r="B436" t="s">
        <v>57</v>
      </c>
      <c r="C436" t="s">
        <v>174</v>
      </c>
      <c r="D436" t="s">
        <v>175</v>
      </c>
      <c r="E436" t="s">
        <v>113</v>
      </c>
      <c r="F436" t="s">
        <v>8</v>
      </c>
      <c r="G436">
        <v>0</v>
      </c>
    </row>
    <row r="437" spans="1:7" x14ac:dyDescent="0.35">
      <c r="A437">
        <v>2019</v>
      </c>
      <c r="B437" t="s">
        <v>57</v>
      </c>
      <c r="C437" t="s">
        <v>174</v>
      </c>
      <c r="D437" t="s">
        <v>175</v>
      </c>
      <c r="E437" t="s">
        <v>114</v>
      </c>
      <c r="F437" t="s">
        <v>8</v>
      </c>
      <c r="G437">
        <v>0</v>
      </c>
    </row>
    <row r="438" spans="1:7" x14ac:dyDescent="0.35">
      <c r="A438">
        <v>2019</v>
      </c>
      <c r="B438" t="s">
        <v>33</v>
      </c>
      <c r="C438" t="s">
        <v>174</v>
      </c>
      <c r="D438" t="s">
        <v>175</v>
      </c>
      <c r="E438" t="s">
        <v>112</v>
      </c>
      <c r="F438" t="s">
        <v>8</v>
      </c>
      <c r="G438">
        <v>0</v>
      </c>
    </row>
    <row r="439" spans="1:7" x14ac:dyDescent="0.35">
      <c r="A439">
        <v>2019</v>
      </c>
      <c r="B439" t="s">
        <v>33</v>
      </c>
      <c r="C439" t="s">
        <v>174</v>
      </c>
      <c r="D439" t="s">
        <v>175</v>
      </c>
      <c r="E439" t="s">
        <v>91</v>
      </c>
      <c r="F439" t="s">
        <v>8</v>
      </c>
      <c r="G439">
        <v>0</v>
      </c>
    </row>
    <row r="440" spans="1:7" x14ac:dyDescent="0.35">
      <c r="A440">
        <v>2019</v>
      </c>
      <c r="B440" t="s">
        <v>33</v>
      </c>
      <c r="C440" t="s">
        <v>174</v>
      </c>
      <c r="D440" t="s">
        <v>175</v>
      </c>
      <c r="E440" t="s">
        <v>113</v>
      </c>
      <c r="F440" t="s">
        <v>8</v>
      </c>
      <c r="G440">
        <v>0</v>
      </c>
    </row>
    <row r="441" spans="1:7" x14ac:dyDescent="0.35">
      <c r="A441">
        <v>2019</v>
      </c>
      <c r="B441" t="s">
        <v>33</v>
      </c>
      <c r="C441" t="s">
        <v>174</v>
      </c>
      <c r="D441" t="s">
        <v>175</v>
      </c>
      <c r="E441" t="s">
        <v>114</v>
      </c>
      <c r="F441" t="s">
        <v>8</v>
      </c>
      <c r="G441">
        <v>0</v>
      </c>
    </row>
    <row r="442" spans="1:7" x14ac:dyDescent="0.35">
      <c r="A442">
        <v>2019</v>
      </c>
      <c r="B442" t="s">
        <v>34</v>
      </c>
      <c r="C442" t="s">
        <v>174</v>
      </c>
      <c r="D442" t="s">
        <v>175</v>
      </c>
      <c r="E442" t="s">
        <v>112</v>
      </c>
      <c r="F442" t="s">
        <v>8</v>
      </c>
      <c r="G442">
        <v>0</v>
      </c>
    </row>
    <row r="443" spans="1:7" x14ac:dyDescent="0.35">
      <c r="A443">
        <v>2019</v>
      </c>
      <c r="B443" t="s">
        <v>34</v>
      </c>
      <c r="C443" t="s">
        <v>174</v>
      </c>
      <c r="D443" t="s">
        <v>175</v>
      </c>
      <c r="E443" t="s">
        <v>91</v>
      </c>
      <c r="F443" t="s">
        <v>8</v>
      </c>
      <c r="G443">
        <v>1</v>
      </c>
    </row>
    <row r="444" spans="1:7" x14ac:dyDescent="0.35">
      <c r="A444">
        <v>2019</v>
      </c>
      <c r="B444" t="s">
        <v>34</v>
      </c>
      <c r="C444" t="s">
        <v>174</v>
      </c>
      <c r="D444" t="s">
        <v>175</v>
      </c>
      <c r="E444" t="s">
        <v>113</v>
      </c>
      <c r="F444" t="s">
        <v>8</v>
      </c>
      <c r="G444">
        <v>0</v>
      </c>
    </row>
    <row r="445" spans="1:7" x14ac:dyDescent="0.35">
      <c r="A445">
        <v>2019</v>
      </c>
      <c r="B445" t="s">
        <v>34</v>
      </c>
      <c r="C445" t="s">
        <v>174</v>
      </c>
      <c r="D445" t="s">
        <v>175</v>
      </c>
      <c r="E445" t="s">
        <v>114</v>
      </c>
      <c r="F445" t="s">
        <v>8</v>
      </c>
      <c r="G445">
        <v>0</v>
      </c>
    </row>
    <row r="446" spans="1:7" x14ac:dyDescent="0.35">
      <c r="A446">
        <v>2019</v>
      </c>
      <c r="B446" t="s">
        <v>35</v>
      </c>
      <c r="C446" t="s">
        <v>174</v>
      </c>
      <c r="D446" t="s">
        <v>175</v>
      </c>
      <c r="E446" t="s">
        <v>112</v>
      </c>
      <c r="F446" t="s">
        <v>8</v>
      </c>
      <c r="G446">
        <v>0</v>
      </c>
    </row>
    <row r="447" spans="1:7" x14ac:dyDescent="0.35">
      <c r="A447">
        <v>2019</v>
      </c>
      <c r="B447" t="s">
        <v>35</v>
      </c>
      <c r="C447" t="s">
        <v>174</v>
      </c>
      <c r="D447" t="s">
        <v>175</v>
      </c>
      <c r="E447" t="s">
        <v>91</v>
      </c>
      <c r="F447" t="s">
        <v>8</v>
      </c>
      <c r="G447">
        <v>2</v>
      </c>
    </row>
    <row r="448" spans="1:7" x14ac:dyDescent="0.35">
      <c r="A448">
        <v>2019</v>
      </c>
      <c r="B448" t="s">
        <v>35</v>
      </c>
      <c r="C448" t="s">
        <v>174</v>
      </c>
      <c r="D448" t="s">
        <v>175</v>
      </c>
      <c r="E448" t="s">
        <v>113</v>
      </c>
      <c r="F448" t="s">
        <v>8</v>
      </c>
      <c r="G448">
        <v>1</v>
      </c>
    </row>
    <row r="449" spans="1:7" x14ac:dyDescent="0.35">
      <c r="A449">
        <v>2019</v>
      </c>
      <c r="B449" t="s">
        <v>35</v>
      </c>
      <c r="C449" t="s">
        <v>174</v>
      </c>
      <c r="D449" t="s">
        <v>175</v>
      </c>
      <c r="E449" t="s">
        <v>114</v>
      </c>
      <c r="F449" t="s">
        <v>8</v>
      </c>
      <c r="G449">
        <v>0</v>
      </c>
    </row>
    <row r="450" spans="1:7" x14ac:dyDescent="0.35">
      <c r="A450">
        <v>2019</v>
      </c>
      <c r="B450" t="s">
        <v>36</v>
      </c>
      <c r="C450" t="s">
        <v>174</v>
      </c>
      <c r="D450" t="s">
        <v>175</v>
      </c>
      <c r="E450" t="s">
        <v>112</v>
      </c>
      <c r="F450" t="s">
        <v>8</v>
      </c>
      <c r="G450">
        <v>0</v>
      </c>
    </row>
    <row r="451" spans="1:7" x14ac:dyDescent="0.35">
      <c r="A451">
        <v>2019</v>
      </c>
      <c r="B451" t="s">
        <v>36</v>
      </c>
      <c r="C451" t="s">
        <v>174</v>
      </c>
      <c r="D451" t="s">
        <v>175</v>
      </c>
      <c r="E451" t="s">
        <v>91</v>
      </c>
      <c r="F451" t="s">
        <v>8</v>
      </c>
      <c r="G451">
        <v>0</v>
      </c>
    </row>
    <row r="452" spans="1:7" x14ac:dyDescent="0.35">
      <c r="A452">
        <v>2019</v>
      </c>
      <c r="B452" t="s">
        <v>36</v>
      </c>
      <c r="C452" t="s">
        <v>174</v>
      </c>
      <c r="D452" t="s">
        <v>175</v>
      </c>
      <c r="E452" t="s">
        <v>113</v>
      </c>
      <c r="F452" t="s">
        <v>8</v>
      </c>
      <c r="G452">
        <v>0</v>
      </c>
    </row>
    <row r="453" spans="1:7" x14ac:dyDescent="0.35">
      <c r="A453">
        <v>2019</v>
      </c>
      <c r="B453" t="s">
        <v>36</v>
      </c>
      <c r="C453" t="s">
        <v>174</v>
      </c>
      <c r="D453" t="s">
        <v>175</v>
      </c>
      <c r="E453" t="s">
        <v>114</v>
      </c>
      <c r="F453" t="s">
        <v>8</v>
      </c>
      <c r="G453">
        <v>0</v>
      </c>
    </row>
    <row r="454" spans="1:7" x14ac:dyDescent="0.35">
      <c r="A454">
        <v>2019</v>
      </c>
      <c r="B454" t="s">
        <v>37</v>
      </c>
      <c r="C454" t="s">
        <v>174</v>
      </c>
      <c r="D454" t="s">
        <v>175</v>
      </c>
      <c r="E454" t="s">
        <v>112</v>
      </c>
      <c r="F454" t="s">
        <v>8</v>
      </c>
      <c r="G454">
        <v>0</v>
      </c>
    </row>
    <row r="455" spans="1:7" x14ac:dyDescent="0.35">
      <c r="A455">
        <v>2019</v>
      </c>
      <c r="B455" t="s">
        <v>37</v>
      </c>
      <c r="C455" t="s">
        <v>174</v>
      </c>
      <c r="D455" t="s">
        <v>175</v>
      </c>
      <c r="E455" t="s">
        <v>91</v>
      </c>
      <c r="F455" t="s">
        <v>8</v>
      </c>
      <c r="G455">
        <v>0</v>
      </c>
    </row>
    <row r="456" spans="1:7" x14ac:dyDescent="0.35">
      <c r="A456">
        <v>2019</v>
      </c>
      <c r="B456" t="s">
        <v>37</v>
      </c>
      <c r="C456" t="s">
        <v>174</v>
      </c>
      <c r="D456" t="s">
        <v>175</v>
      </c>
      <c r="E456" t="s">
        <v>113</v>
      </c>
      <c r="F456" t="s">
        <v>8</v>
      </c>
      <c r="G456">
        <v>0</v>
      </c>
    </row>
    <row r="457" spans="1:7" x14ac:dyDescent="0.35">
      <c r="A457">
        <v>2019</v>
      </c>
      <c r="B457" t="s">
        <v>37</v>
      </c>
      <c r="C457" t="s">
        <v>174</v>
      </c>
      <c r="D457" t="s">
        <v>175</v>
      </c>
      <c r="E457" t="s">
        <v>114</v>
      </c>
      <c r="F457" t="s">
        <v>8</v>
      </c>
      <c r="G457">
        <v>0</v>
      </c>
    </row>
    <row r="458" spans="1:7" x14ac:dyDescent="0.35">
      <c r="A458">
        <v>2019</v>
      </c>
      <c r="B458" t="s">
        <v>55</v>
      </c>
      <c r="C458" t="s">
        <v>174</v>
      </c>
      <c r="D458" t="s">
        <v>175</v>
      </c>
      <c r="E458" t="s">
        <v>112</v>
      </c>
      <c r="F458" t="s">
        <v>8</v>
      </c>
      <c r="G458">
        <v>0</v>
      </c>
    </row>
    <row r="459" spans="1:7" x14ac:dyDescent="0.35">
      <c r="A459">
        <v>2019</v>
      </c>
      <c r="B459" t="s">
        <v>55</v>
      </c>
      <c r="C459" t="s">
        <v>174</v>
      </c>
      <c r="D459" t="s">
        <v>175</v>
      </c>
      <c r="E459" t="s">
        <v>91</v>
      </c>
      <c r="F459" t="s">
        <v>8</v>
      </c>
      <c r="G459">
        <v>0</v>
      </c>
    </row>
    <row r="460" spans="1:7" x14ac:dyDescent="0.35">
      <c r="A460">
        <v>2019</v>
      </c>
      <c r="B460" t="s">
        <v>55</v>
      </c>
      <c r="C460" t="s">
        <v>174</v>
      </c>
      <c r="D460" t="s">
        <v>175</v>
      </c>
      <c r="E460" t="s">
        <v>113</v>
      </c>
      <c r="F460" t="s">
        <v>8</v>
      </c>
      <c r="G460">
        <v>0</v>
      </c>
    </row>
    <row r="461" spans="1:7" x14ac:dyDescent="0.35">
      <c r="A461">
        <v>2019</v>
      </c>
      <c r="B461" t="s">
        <v>55</v>
      </c>
      <c r="C461" t="s">
        <v>174</v>
      </c>
      <c r="D461" t="s">
        <v>175</v>
      </c>
      <c r="E461" t="s">
        <v>114</v>
      </c>
      <c r="F461" t="s">
        <v>8</v>
      </c>
      <c r="G461">
        <v>0</v>
      </c>
    </row>
    <row r="462" spans="1:7" x14ac:dyDescent="0.35">
      <c r="A462">
        <v>2019</v>
      </c>
      <c r="B462" t="s">
        <v>38</v>
      </c>
      <c r="C462" t="s">
        <v>174</v>
      </c>
      <c r="D462" t="s">
        <v>175</v>
      </c>
      <c r="E462" t="s">
        <v>112</v>
      </c>
      <c r="F462" t="s">
        <v>8</v>
      </c>
      <c r="G462">
        <v>0</v>
      </c>
    </row>
    <row r="463" spans="1:7" x14ac:dyDescent="0.35">
      <c r="A463">
        <v>2019</v>
      </c>
      <c r="B463" t="s">
        <v>38</v>
      </c>
      <c r="C463" t="s">
        <v>174</v>
      </c>
      <c r="D463" t="s">
        <v>175</v>
      </c>
      <c r="E463" t="s">
        <v>91</v>
      </c>
      <c r="F463" t="s">
        <v>8</v>
      </c>
      <c r="G463">
        <v>0</v>
      </c>
    </row>
    <row r="464" spans="1:7" x14ac:dyDescent="0.35">
      <c r="A464">
        <v>2019</v>
      </c>
      <c r="B464" t="s">
        <v>38</v>
      </c>
      <c r="C464" t="s">
        <v>174</v>
      </c>
      <c r="D464" t="s">
        <v>175</v>
      </c>
      <c r="E464" t="s">
        <v>113</v>
      </c>
      <c r="F464" t="s">
        <v>8</v>
      </c>
      <c r="G464">
        <v>0</v>
      </c>
    </row>
    <row r="465" spans="1:7" x14ac:dyDescent="0.35">
      <c r="A465">
        <v>2019</v>
      </c>
      <c r="B465" t="s">
        <v>38</v>
      </c>
      <c r="C465" t="s">
        <v>174</v>
      </c>
      <c r="D465" t="s">
        <v>175</v>
      </c>
      <c r="E465" t="s">
        <v>114</v>
      </c>
      <c r="F465" t="s">
        <v>8</v>
      </c>
      <c r="G465">
        <v>0</v>
      </c>
    </row>
    <row r="466" spans="1:7" x14ac:dyDescent="0.35">
      <c r="A466">
        <v>2019</v>
      </c>
      <c r="B466" t="s">
        <v>39</v>
      </c>
      <c r="C466" t="s">
        <v>174</v>
      </c>
      <c r="D466" t="s">
        <v>175</v>
      </c>
      <c r="E466" t="s">
        <v>112</v>
      </c>
      <c r="F466" t="s">
        <v>8</v>
      </c>
      <c r="G466">
        <v>0</v>
      </c>
    </row>
    <row r="467" spans="1:7" x14ac:dyDescent="0.35">
      <c r="A467">
        <v>2019</v>
      </c>
      <c r="B467" t="s">
        <v>39</v>
      </c>
      <c r="C467" t="s">
        <v>174</v>
      </c>
      <c r="D467" t="s">
        <v>175</v>
      </c>
      <c r="E467" t="s">
        <v>91</v>
      </c>
      <c r="F467" t="s">
        <v>8</v>
      </c>
      <c r="G467">
        <v>3</v>
      </c>
    </row>
    <row r="468" spans="1:7" x14ac:dyDescent="0.35">
      <c r="A468">
        <v>2019</v>
      </c>
      <c r="B468" t="s">
        <v>39</v>
      </c>
      <c r="C468" t="s">
        <v>174</v>
      </c>
      <c r="D468" t="s">
        <v>175</v>
      </c>
      <c r="E468" t="s">
        <v>113</v>
      </c>
      <c r="F468" t="s">
        <v>8</v>
      </c>
      <c r="G468">
        <v>0</v>
      </c>
    </row>
    <row r="469" spans="1:7" x14ac:dyDescent="0.35">
      <c r="A469">
        <v>2019</v>
      </c>
      <c r="B469" t="s">
        <v>39</v>
      </c>
      <c r="C469" t="s">
        <v>174</v>
      </c>
      <c r="D469" t="s">
        <v>175</v>
      </c>
      <c r="E469" t="s">
        <v>114</v>
      </c>
      <c r="F469" t="s">
        <v>8</v>
      </c>
      <c r="G469">
        <v>0</v>
      </c>
    </row>
    <row r="470" spans="1:7" x14ac:dyDescent="0.35">
      <c r="A470">
        <v>2019</v>
      </c>
      <c r="B470" t="s">
        <v>40</v>
      </c>
      <c r="C470" t="s">
        <v>174</v>
      </c>
      <c r="D470" t="s">
        <v>175</v>
      </c>
      <c r="E470" t="s">
        <v>112</v>
      </c>
      <c r="F470" t="s">
        <v>8</v>
      </c>
      <c r="G470">
        <v>1</v>
      </c>
    </row>
    <row r="471" spans="1:7" x14ac:dyDescent="0.35">
      <c r="A471">
        <v>2019</v>
      </c>
      <c r="B471" t="s">
        <v>40</v>
      </c>
      <c r="C471" t="s">
        <v>174</v>
      </c>
      <c r="D471" t="s">
        <v>175</v>
      </c>
      <c r="E471" t="s">
        <v>91</v>
      </c>
      <c r="F471" t="s">
        <v>8</v>
      </c>
      <c r="G471">
        <v>0</v>
      </c>
    </row>
    <row r="472" spans="1:7" x14ac:dyDescent="0.35">
      <c r="A472">
        <v>2019</v>
      </c>
      <c r="B472" t="s">
        <v>40</v>
      </c>
      <c r="C472" t="s">
        <v>174</v>
      </c>
      <c r="D472" t="s">
        <v>175</v>
      </c>
      <c r="E472" t="s">
        <v>113</v>
      </c>
      <c r="F472" t="s">
        <v>8</v>
      </c>
      <c r="G472">
        <v>0</v>
      </c>
    </row>
    <row r="473" spans="1:7" x14ac:dyDescent="0.35">
      <c r="A473">
        <v>2019</v>
      </c>
      <c r="B473" t="s">
        <v>40</v>
      </c>
      <c r="C473" t="s">
        <v>174</v>
      </c>
      <c r="D473" t="s">
        <v>175</v>
      </c>
      <c r="E473" t="s">
        <v>114</v>
      </c>
      <c r="F473" t="s">
        <v>8</v>
      </c>
      <c r="G473">
        <v>0</v>
      </c>
    </row>
    <row r="474" spans="1:7" x14ac:dyDescent="0.35">
      <c r="A474">
        <v>2019</v>
      </c>
      <c r="B474" t="s">
        <v>41</v>
      </c>
      <c r="C474" t="s">
        <v>174</v>
      </c>
      <c r="D474" t="s">
        <v>175</v>
      </c>
      <c r="E474" t="s">
        <v>112</v>
      </c>
      <c r="F474" t="s">
        <v>8</v>
      </c>
      <c r="G474">
        <v>0</v>
      </c>
    </row>
    <row r="475" spans="1:7" x14ac:dyDescent="0.35">
      <c r="A475">
        <v>2019</v>
      </c>
      <c r="B475" t="s">
        <v>41</v>
      </c>
      <c r="C475" t="s">
        <v>174</v>
      </c>
      <c r="D475" t="s">
        <v>175</v>
      </c>
      <c r="E475" t="s">
        <v>91</v>
      </c>
      <c r="F475" t="s">
        <v>8</v>
      </c>
      <c r="G475">
        <v>1</v>
      </c>
    </row>
    <row r="476" spans="1:7" x14ac:dyDescent="0.35">
      <c r="A476">
        <v>2019</v>
      </c>
      <c r="B476" t="s">
        <v>41</v>
      </c>
      <c r="C476" t="s">
        <v>174</v>
      </c>
      <c r="D476" t="s">
        <v>175</v>
      </c>
      <c r="E476" t="s">
        <v>113</v>
      </c>
      <c r="F476" t="s">
        <v>8</v>
      </c>
      <c r="G476">
        <v>0</v>
      </c>
    </row>
    <row r="477" spans="1:7" x14ac:dyDescent="0.35">
      <c r="A477">
        <v>2019</v>
      </c>
      <c r="B477" t="s">
        <v>41</v>
      </c>
      <c r="C477" t="s">
        <v>174</v>
      </c>
      <c r="D477" t="s">
        <v>175</v>
      </c>
      <c r="E477" t="s">
        <v>114</v>
      </c>
      <c r="F477" t="s">
        <v>8</v>
      </c>
      <c r="G477">
        <v>0</v>
      </c>
    </row>
    <row r="478" spans="1:7" x14ac:dyDescent="0.35">
      <c r="A478">
        <v>2019</v>
      </c>
      <c r="B478" t="s">
        <v>58</v>
      </c>
      <c r="C478" t="s">
        <v>174</v>
      </c>
      <c r="D478" t="s">
        <v>175</v>
      </c>
      <c r="E478" t="s">
        <v>112</v>
      </c>
      <c r="F478" t="s">
        <v>8</v>
      </c>
      <c r="G478">
        <v>2</v>
      </c>
    </row>
    <row r="479" spans="1:7" x14ac:dyDescent="0.35">
      <c r="A479">
        <v>2019</v>
      </c>
      <c r="B479" t="s">
        <v>58</v>
      </c>
      <c r="C479" t="s">
        <v>174</v>
      </c>
      <c r="D479" t="s">
        <v>175</v>
      </c>
      <c r="E479" t="s">
        <v>91</v>
      </c>
      <c r="F479" t="s">
        <v>8</v>
      </c>
      <c r="G479">
        <v>3</v>
      </c>
    </row>
    <row r="480" spans="1:7" x14ac:dyDescent="0.35">
      <c r="A480">
        <v>2019</v>
      </c>
      <c r="B480" t="s">
        <v>58</v>
      </c>
      <c r="C480" t="s">
        <v>174</v>
      </c>
      <c r="D480" t="s">
        <v>175</v>
      </c>
      <c r="E480" t="s">
        <v>113</v>
      </c>
      <c r="F480" t="s">
        <v>8</v>
      </c>
      <c r="G480">
        <v>0</v>
      </c>
    </row>
    <row r="481" spans="1:7" x14ac:dyDescent="0.35">
      <c r="A481">
        <v>2019</v>
      </c>
      <c r="B481" t="s">
        <v>58</v>
      </c>
      <c r="C481" t="s">
        <v>174</v>
      </c>
      <c r="D481" t="s">
        <v>175</v>
      </c>
      <c r="E481" t="s">
        <v>114</v>
      </c>
      <c r="F481" t="s">
        <v>8</v>
      </c>
      <c r="G481">
        <v>0</v>
      </c>
    </row>
    <row r="482" spans="1:7" x14ac:dyDescent="0.35">
      <c r="A482">
        <v>2019</v>
      </c>
      <c r="B482" t="s">
        <v>42</v>
      </c>
      <c r="C482" t="s">
        <v>174</v>
      </c>
      <c r="D482" t="s">
        <v>175</v>
      </c>
      <c r="E482" t="s">
        <v>112</v>
      </c>
      <c r="F482" t="s">
        <v>8</v>
      </c>
      <c r="G482">
        <v>0</v>
      </c>
    </row>
    <row r="483" spans="1:7" x14ac:dyDescent="0.35">
      <c r="A483">
        <v>2019</v>
      </c>
      <c r="B483" t="s">
        <v>42</v>
      </c>
      <c r="C483" t="s">
        <v>174</v>
      </c>
      <c r="D483" t="s">
        <v>175</v>
      </c>
      <c r="E483" t="s">
        <v>91</v>
      </c>
      <c r="F483" t="s">
        <v>8</v>
      </c>
      <c r="G483">
        <v>1</v>
      </c>
    </row>
    <row r="484" spans="1:7" x14ac:dyDescent="0.35">
      <c r="A484">
        <v>2019</v>
      </c>
      <c r="B484" t="s">
        <v>42</v>
      </c>
      <c r="C484" t="s">
        <v>174</v>
      </c>
      <c r="D484" t="s">
        <v>175</v>
      </c>
      <c r="E484" t="s">
        <v>113</v>
      </c>
      <c r="F484" t="s">
        <v>8</v>
      </c>
      <c r="G484">
        <v>0</v>
      </c>
    </row>
    <row r="485" spans="1:7" x14ac:dyDescent="0.35">
      <c r="A485">
        <v>2019</v>
      </c>
      <c r="B485" t="s">
        <v>42</v>
      </c>
      <c r="C485" t="s">
        <v>174</v>
      </c>
      <c r="D485" t="s">
        <v>175</v>
      </c>
      <c r="E485" t="s">
        <v>114</v>
      </c>
      <c r="F485" t="s">
        <v>8</v>
      </c>
      <c r="G485">
        <v>0</v>
      </c>
    </row>
    <row r="486" spans="1:7" x14ac:dyDescent="0.35">
      <c r="A486">
        <v>2019</v>
      </c>
      <c r="B486" t="s">
        <v>44</v>
      </c>
      <c r="C486" t="s">
        <v>174</v>
      </c>
      <c r="D486" t="s">
        <v>175</v>
      </c>
      <c r="E486" t="s">
        <v>112</v>
      </c>
      <c r="F486" t="s">
        <v>8</v>
      </c>
      <c r="G486">
        <v>0</v>
      </c>
    </row>
    <row r="487" spans="1:7" x14ac:dyDescent="0.35">
      <c r="A487">
        <v>2019</v>
      </c>
      <c r="B487" t="s">
        <v>44</v>
      </c>
      <c r="C487" t="s">
        <v>174</v>
      </c>
      <c r="D487" t="s">
        <v>175</v>
      </c>
      <c r="E487" t="s">
        <v>91</v>
      </c>
      <c r="F487" t="s">
        <v>8</v>
      </c>
      <c r="G487">
        <v>0</v>
      </c>
    </row>
    <row r="488" spans="1:7" x14ac:dyDescent="0.35">
      <c r="A488">
        <v>2019</v>
      </c>
      <c r="B488" t="s">
        <v>44</v>
      </c>
      <c r="C488" t="s">
        <v>174</v>
      </c>
      <c r="D488" t="s">
        <v>175</v>
      </c>
      <c r="E488" t="s">
        <v>113</v>
      </c>
      <c r="F488" t="s">
        <v>8</v>
      </c>
      <c r="G488">
        <v>0</v>
      </c>
    </row>
    <row r="489" spans="1:7" x14ac:dyDescent="0.35">
      <c r="A489">
        <v>2019</v>
      </c>
      <c r="B489" t="s">
        <v>44</v>
      </c>
      <c r="C489" t="s">
        <v>174</v>
      </c>
      <c r="D489" t="s">
        <v>175</v>
      </c>
      <c r="E489" t="s">
        <v>114</v>
      </c>
      <c r="F489" t="s">
        <v>8</v>
      </c>
      <c r="G489">
        <v>0</v>
      </c>
    </row>
    <row r="490" spans="1:7" x14ac:dyDescent="0.35">
      <c r="A490">
        <v>2019</v>
      </c>
      <c r="B490" t="s">
        <v>45</v>
      </c>
      <c r="C490" t="s">
        <v>174</v>
      </c>
      <c r="D490" t="s">
        <v>175</v>
      </c>
      <c r="E490" t="s">
        <v>112</v>
      </c>
      <c r="F490" t="s">
        <v>8</v>
      </c>
      <c r="G490">
        <v>0</v>
      </c>
    </row>
    <row r="491" spans="1:7" x14ac:dyDescent="0.35">
      <c r="A491">
        <v>2019</v>
      </c>
      <c r="B491" t="s">
        <v>45</v>
      </c>
      <c r="C491" t="s">
        <v>174</v>
      </c>
      <c r="D491" t="s">
        <v>175</v>
      </c>
      <c r="E491" t="s">
        <v>91</v>
      </c>
      <c r="F491" t="s">
        <v>8</v>
      </c>
      <c r="G491">
        <v>0</v>
      </c>
    </row>
    <row r="492" spans="1:7" x14ac:dyDescent="0.35">
      <c r="A492">
        <v>2019</v>
      </c>
      <c r="B492" t="s">
        <v>45</v>
      </c>
      <c r="C492" t="s">
        <v>174</v>
      </c>
      <c r="D492" t="s">
        <v>175</v>
      </c>
      <c r="E492" t="s">
        <v>113</v>
      </c>
      <c r="F492" t="s">
        <v>8</v>
      </c>
      <c r="G492">
        <v>0</v>
      </c>
    </row>
    <row r="493" spans="1:7" x14ac:dyDescent="0.35">
      <c r="A493">
        <v>2019</v>
      </c>
      <c r="B493" t="s">
        <v>45</v>
      </c>
      <c r="C493" t="s">
        <v>174</v>
      </c>
      <c r="D493" t="s">
        <v>175</v>
      </c>
      <c r="E493" t="s">
        <v>114</v>
      </c>
      <c r="F493" t="s">
        <v>8</v>
      </c>
      <c r="G493">
        <v>0</v>
      </c>
    </row>
    <row r="494" spans="1:7" x14ac:dyDescent="0.35">
      <c r="A494">
        <v>2019</v>
      </c>
      <c r="B494" t="s">
        <v>46</v>
      </c>
      <c r="C494" t="s">
        <v>174</v>
      </c>
      <c r="D494" t="s">
        <v>175</v>
      </c>
      <c r="E494" t="s">
        <v>112</v>
      </c>
      <c r="F494" t="s">
        <v>8</v>
      </c>
      <c r="G494">
        <v>0</v>
      </c>
    </row>
    <row r="495" spans="1:7" x14ac:dyDescent="0.35">
      <c r="A495">
        <v>2019</v>
      </c>
      <c r="B495" t="s">
        <v>46</v>
      </c>
      <c r="C495" t="s">
        <v>174</v>
      </c>
      <c r="D495" t="s">
        <v>175</v>
      </c>
      <c r="E495" t="s">
        <v>91</v>
      </c>
      <c r="F495" t="s">
        <v>8</v>
      </c>
      <c r="G495">
        <v>0</v>
      </c>
    </row>
    <row r="496" spans="1:7" x14ac:dyDescent="0.35">
      <c r="A496">
        <v>2019</v>
      </c>
      <c r="B496" t="s">
        <v>46</v>
      </c>
      <c r="C496" t="s">
        <v>174</v>
      </c>
      <c r="D496" t="s">
        <v>175</v>
      </c>
      <c r="E496" t="s">
        <v>113</v>
      </c>
      <c r="F496" t="s">
        <v>8</v>
      </c>
      <c r="G496">
        <v>0</v>
      </c>
    </row>
    <row r="497" spans="1:7" x14ac:dyDescent="0.35">
      <c r="A497">
        <v>2019</v>
      </c>
      <c r="B497" t="s">
        <v>46</v>
      </c>
      <c r="C497" t="s">
        <v>174</v>
      </c>
      <c r="D497" t="s">
        <v>175</v>
      </c>
      <c r="E497" t="s">
        <v>114</v>
      </c>
      <c r="F497" t="s">
        <v>8</v>
      </c>
      <c r="G497">
        <v>0</v>
      </c>
    </row>
    <row r="498" spans="1:7" x14ac:dyDescent="0.35">
      <c r="A498">
        <v>2019</v>
      </c>
      <c r="B498" t="s">
        <v>47</v>
      </c>
      <c r="C498" t="s">
        <v>174</v>
      </c>
      <c r="D498" t="s">
        <v>175</v>
      </c>
      <c r="E498" t="s">
        <v>112</v>
      </c>
      <c r="F498" t="s">
        <v>8</v>
      </c>
      <c r="G498">
        <v>0</v>
      </c>
    </row>
    <row r="499" spans="1:7" x14ac:dyDescent="0.35">
      <c r="A499">
        <v>2019</v>
      </c>
      <c r="B499" t="s">
        <v>47</v>
      </c>
      <c r="C499" t="s">
        <v>174</v>
      </c>
      <c r="D499" t="s">
        <v>175</v>
      </c>
      <c r="E499" t="s">
        <v>91</v>
      </c>
      <c r="F499" t="s">
        <v>8</v>
      </c>
      <c r="G499">
        <v>5</v>
      </c>
    </row>
    <row r="500" spans="1:7" x14ac:dyDescent="0.35">
      <c r="A500">
        <v>2019</v>
      </c>
      <c r="B500" t="s">
        <v>47</v>
      </c>
      <c r="C500" t="s">
        <v>174</v>
      </c>
      <c r="D500" t="s">
        <v>175</v>
      </c>
      <c r="E500" t="s">
        <v>113</v>
      </c>
      <c r="F500" t="s">
        <v>8</v>
      </c>
      <c r="G500">
        <v>0</v>
      </c>
    </row>
    <row r="501" spans="1:7" x14ac:dyDescent="0.35">
      <c r="A501">
        <v>2019</v>
      </c>
      <c r="B501" t="s">
        <v>47</v>
      </c>
      <c r="C501" t="s">
        <v>174</v>
      </c>
      <c r="D501" t="s">
        <v>175</v>
      </c>
      <c r="E501" t="s">
        <v>114</v>
      </c>
      <c r="F501" t="s">
        <v>8</v>
      </c>
      <c r="G501">
        <v>0</v>
      </c>
    </row>
    <row r="502" spans="1:7" x14ac:dyDescent="0.35">
      <c r="A502">
        <v>2019</v>
      </c>
      <c r="B502" t="s">
        <v>48</v>
      </c>
      <c r="C502" t="s">
        <v>174</v>
      </c>
      <c r="D502" t="s">
        <v>175</v>
      </c>
      <c r="E502" t="s">
        <v>112</v>
      </c>
      <c r="F502" t="s">
        <v>8</v>
      </c>
      <c r="G502">
        <v>1</v>
      </c>
    </row>
    <row r="503" spans="1:7" x14ac:dyDescent="0.35">
      <c r="A503">
        <v>2019</v>
      </c>
      <c r="B503" t="s">
        <v>48</v>
      </c>
      <c r="C503" t="s">
        <v>174</v>
      </c>
      <c r="D503" t="s">
        <v>175</v>
      </c>
      <c r="E503" t="s">
        <v>91</v>
      </c>
      <c r="F503" t="s">
        <v>8</v>
      </c>
      <c r="G503">
        <v>0</v>
      </c>
    </row>
    <row r="504" spans="1:7" x14ac:dyDescent="0.35">
      <c r="A504">
        <v>2019</v>
      </c>
      <c r="B504" t="s">
        <v>48</v>
      </c>
      <c r="C504" t="s">
        <v>174</v>
      </c>
      <c r="D504" t="s">
        <v>175</v>
      </c>
      <c r="E504" t="s">
        <v>113</v>
      </c>
      <c r="F504" t="s">
        <v>8</v>
      </c>
      <c r="G504">
        <v>0</v>
      </c>
    </row>
    <row r="505" spans="1:7" x14ac:dyDescent="0.35">
      <c r="A505">
        <v>2019</v>
      </c>
      <c r="B505" t="s">
        <v>48</v>
      </c>
      <c r="C505" t="s">
        <v>174</v>
      </c>
      <c r="D505" t="s">
        <v>175</v>
      </c>
      <c r="E505" t="s">
        <v>114</v>
      </c>
      <c r="F505" t="s">
        <v>8</v>
      </c>
      <c r="G505">
        <v>0</v>
      </c>
    </row>
    <row r="506" spans="1:7" x14ac:dyDescent="0.35">
      <c r="A506">
        <v>2019</v>
      </c>
      <c r="B506" t="s">
        <v>49</v>
      </c>
      <c r="C506" t="s">
        <v>174</v>
      </c>
      <c r="D506" t="s">
        <v>175</v>
      </c>
      <c r="E506" t="s">
        <v>112</v>
      </c>
      <c r="F506" t="s">
        <v>8</v>
      </c>
      <c r="G506">
        <v>0</v>
      </c>
    </row>
    <row r="507" spans="1:7" x14ac:dyDescent="0.35">
      <c r="A507">
        <v>2019</v>
      </c>
      <c r="B507" t="s">
        <v>49</v>
      </c>
      <c r="C507" t="s">
        <v>174</v>
      </c>
      <c r="D507" t="s">
        <v>175</v>
      </c>
      <c r="E507" t="s">
        <v>91</v>
      </c>
      <c r="F507" t="s">
        <v>8</v>
      </c>
      <c r="G507">
        <v>0</v>
      </c>
    </row>
    <row r="508" spans="1:7" x14ac:dyDescent="0.35">
      <c r="A508">
        <v>2019</v>
      </c>
      <c r="B508" t="s">
        <v>49</v>
      </c>
      <c r="C508" t="s">
        <v>174</v>
      </c>
      <c r="D508" t="s">
        <v>175</v>
      </c>
      <c r="E508" t="s">
        <v>113</v>
      </c>
      <c r="F508" t="s">
        <v>8</v>
      </c>
      <c r="G508">
        <v>0</v>
      </c>
    </row>
    <row r="509" spans="1:7" x14ac:dyDescent="0.35">
      <c r="A509">
        <v>2019</v>
      </c>
      <c r="B509" t="s">
        <v>49</v>
      </c>
      <c r="C509" t="s">
        <v>174</v>
      </c>
      <c r="D509" t="s">
        <v>175</v>
      </c>
      <c r="E509" t="s">
        <v>114</v>
      </c>
      <c r="F509" t="s">
        <v>8</v>
      </c>
      <c r="G509">
        <v>0</v>
      </c>
    </row>
    <row r="510" spans="1:7" x14ac:dyDescent="0.35">
      <c r="A510">
        <v>2019</v>
      </c>
      <c r="B510" t="s">
        <v>59</v>
      </c>
      <c r="C510" t="s">
        <v>174</v>
      </c>
      <c r="D510" t="s">
        <v>175</v>
      </c>
      <c r="E510" t="s">
        <v>112</v>
      </c>
      <c r="F510" t="s">
        <v>8</v>
      </c>
      <c r="G510">
        <v>0</v>
      </c>
    </row>
    <row r="511" spans="1:7" x14ac:dyDescent="0.35">
      <c r="A511">
        <v>2019</v>
      </c>
      <c r="B511" t="s">
        <v>59</v>
      </c>
      <c r="C511" t="s">
        <v>174</v>
      </c>
      <c r="D511" t="s">
        <v>175</v>
      </c>
      <c r="E511" t="s">
        <v>91</v>
      </c>
      <c r="F511" t="s">
        <v>8</v>
      </c>
      <c r="G511">
        <v>3</v>
      </c>
    </row>
    <row r="512" spans="1:7" x14ac:dyDescent="0.35">
      <c r="A512">
        <v>2019</v>
      </c>
      <c r="B512" t="s">
        <v>59</v>
      </c>
      <c r="C512" t="s">
        <v>174</v>
      </c>
      <c r="D512" t="s">
        <v>175</v>
      </c>
      <c r="E512" t="s">
        <v>113</v>
      </c>
      <c r="F512" t="s">
        <v>8</v>
      </c>
      <c r="G512">
        <v>0</v>
      </c>
    </row>
    <row r="513" spans="1:7" x14ac:dyDescent="0.35">
      <c r="A513">
        <v>2019</v>
      </c>
      <c r="B513" t="s">
        <v>59</v>
      </c>
      <c r="C513" t="s">
        <v>174</v>
      </c>
      <c r="D513" t="s">
        <v>175</v>
      </c>
      <c r="E513" t="s">
        <v>114</v>
      </c>
      <c r="F513" t="s">
        <v>8</v>
      </c>
      <c r="G513">
        <v>0</v>
      </c>
    </row>
    <row r="514" spans="1:7" x14ac:dyDescent="0.35">
      <c r="A514">
        <v>2019</v>
      </c>
      <c r="B514" t="s">
        <v>50</v>
      </c>
      <c r="C514" t="s">
        <v>174</v>
      </c>
      <c r="D514" t="s">
        <v>175</v>
      </c>
      <c r="E514" t="s">
        <v>112</v>
      </c>
      <c r="F514" t="s">
        <v>8</v>
      </c>
      <c r="G514">
        <v>0</v>
      </c>
    </row>
    <row r="515" spans="1:7" x14ac:dyDescent="0.35">
      <c r="A515">
        <v>2019</v>
      </c>
      <c r="B515" t="s">
        <v>50</v>
      </c>
      <c r="C515" t="s">
        <v>174</v>
      </c>
      <c r="D515" t="s">
        <v>175</v>
      </c>
      <c r="E515" t="s">
        <v>91</v>
      </c>
      <c r="F515" t="s">
        <v>8</v>
      </c>
      <c r="G515">
        <v>0</v>
      </c>
    </row>
    <row r="516" spans="1:7" x14ac:dyDescent="0.35">
      <c r="A516">
        <v>2019</v>
      </c>
      <c r="B516" t="s">
        <v>50</v>
      </c>
      <c r="C516" t="s">
        <v>174</v>
      </c>
      <c r="D516" t="s">
        <v>175</v>
      </c>
      <c r="E516" t="s">
        <v>113</v>
      </c>
      <c r="F516" t="s">
        <v>8</v>
      </c>
      <c r="G516">
        <v>0</v>
      </c>
    </row>
    <row r="517" spans="1:7" x14ac:dyDescent="0.35">
      <c r="A517">
        <v>2019</v>
      </c>
      <c r="B517" t="s">
        <v>50</v>
      </c>
      <c r="C517" t="s">
        <v>174</v>
      </c>
      <c r="D517" t="s">
        <v>175</v>
      </c>
      <c r="E517" t="s">
        <v>114</v>
      </c>
      <c r="F517" t="s">
        <v>8</v>
      </c>
      <c r="G517">
        <v>0</v>
      </c>
    </row>
    <row r="518" spans="1:7" x14ac:dyDescent="0.35">
      <c r="A518">
        <v>2019</v>
      </c>
      <c r="B518" t="s">
        <v>51</v>
      </c>
      <c r="C518" t="s">
        <v>174</v>
      </c>
      <c r="D518" t="s">
        <v>175</v>
      </c>
      <c r="E518" t="s">
        <v>112</v>
      </c>
      <c r="F518" t="s">
        <v>8</v>
      </c>
      <c r="G518">
        <v>0</v>
      </c>
    </row>
    <row r="519" spans="1:7" x14ac:dyDescent="0.35">
      <c r="A519">
        <v>2019</v>
      </c>
      <c r="B519" t="s">
        <v>51</v>
      </c>
      <c r="C519" t="s">
        <v>174</v>
      </c>
      <c r="D519" t="s">
        <v>175</v>
      </c>
      <c r="E519" t="s">
        <v>91</v>
      </c>
      <c r="F519" t="s">
        <v>8</v>
      </c>
      <c r="G519">
        <v>1</v>
      </c>
    </row>
    <row r="520" spans="1:7" x14ac:dyDescent="0.35">
      <c r="A520">
        <v>2019</v>
      </c>
      <c r="B520" t="s">
        <v>51</v>
      </c>
      <c r="C520" t="s">
        <v>174</v>
      </c>
      <c r="D520" t="s">
        <v>175</v>
      </c>
      <c r="E520" t="s">
        <v>113</v>
      </c>
      <c r="F520" t="s">
        <v>8</v>
      </c>
      <c r="G520">
        <v>0</v>
      </c>
    </row>
    <row r="521" spans="1:7" x14ac:dyDescent="0.35">
      <c r="A521">
        <v>2019</v>
      </c>
      <c r="B521" t="s">
        <v>51</v>
      </c>
      <c r="C521" t="s">
        <v>174</v>
      </c>
      <c r="D521" t="s">
        <v>175</v>
      </c>
      <c r="E521" t="s">
        <v>114</v>
      </c>
      <c r="F521" t="s">
        <v>8</v>
      </c>
      <c r="G521">
        <v>0</v>
      </c>
    </row>
    <row r="522" spans="1:7" x14ac:dyDescent="0.35">
      <c r="A522">
        <v>2019</v>
      </c>
      <c r="B522" t="s">
        <v>52</v>
      </c>
      <c r="C522" t="s">
        <v>174</v>
      </c>
      <c r="D522" t="s">
        <v>175</v>
      </c>
      <c r="E522" t="s">
        <v>112</v>
      </c>
      <c r="F522" t="s">
        <v>8</v>
      </c>
      <c r="G522">
        <v>0</v>
      </c>
    </row>
    <row r="523" spans="1:7" x14ac:dyDescent="0.35">
      <c r="A523">
        <v>2019</v>
      </c>
      <c r="B523" t="s">
        <v>52</v>
      </c>
      <c r="C523" t="s">
        <v>174</v>
      </c>
      <c r="D523" t="s">
        <v>175</v>
      </c>
      <c r="E523" t="s">
        <v>91</v>
      </c>
      <c r="F523" t="s">
        <v>8</v>
      </c>
      <c r="G523">
        <v>0</v>
      </c>
    </row>
    <row r="524" spans="1:7" x14ac:dyDescent="0.35">
      <c r="A524">
        <v>2019</v>
      </c>
      <c r="B524" t="s">
        <v>52</v>
      </c>
      <c r="C524" t="s">
        <v>174</v>
      </c>
      <c r="D524" t="s">
        <v>175</v>
      </c>
      <c r="E524" t="s">
        <v>113</v>
      </c>
      <c r="F524" t="s">
        <v>8</v>
      </c>
      <c r="G524">
        <v>0</v>
      </c>
    </row>
    <row r="525" spans="1:7" x14ac:dyDescent="0.35">
      <c r="A525">
        <v>2019</v>
      </c>
      <c r="B525" t="s">
        <v>52</v>
      </c>
      <c r="C525" t="s">
        <v>174</v>
      </c>
      <c r="D525" t="s">
        <v>175</v>
      </c>
      <c r="E525" t="s">
        <v>114</v>
      </c>
      <c r="F525" t="s">
        <v>8</v>
      </c>
      <c r="G525">
        <v>0</v>
      </c>
    </row>
    <row r="526" spans="1:7" x14ac:dyDescent="0.35">
      <c r="A526">
        <v>2019</v>
      </c>
      <c r="B526" t="s">
        <v>60</v>
      </c>
      <c r="C526" t="s">
        <v>174</v>
      </c>
      <c r="D526" t="s">
        <v>175</v>
      </c>
      <c r="E526" t="s">
        <v>112</v>
      </c>
      <c r="F526" t="s">
        <v>8</v>
      </c>
      <c r="G526">
        <v>0</v>
      </c>
    </row>
    <row r="527" spans="1:7" x14ac:dyDescent="0.35">
      <c r="A527">
        <v>2019</v>
      </c>
      <c r="B527" t="s">
        <v>60</v>
      </c>
      <c r="C527" t="s">
        <v>174</v>
      </c>
      <c r="D527" t="s">
        <v>175</v>
      </c>
      <c r="E527" t="s">
        <v>91</v>
      </c>
      <c r="F527" t="s">
        <v>8</v>
      </c>
      <c r="G527">
        <v>0</v>
      </c>
    </row>
    <row r="528" spans="1:7" x14ac:dyDescent="0.35">
      <c r="A528">
        <v>2019</v>
      </c>
      <c r="B528" t="s">
        <v>60</v>
      </c>
      <c r="C528" t="s">
        <v>174</v>
      </c>
      <c r="D528" t="s">
        <v>175</v>
      </c>
      <c r="E528" t="s">
        <v>113</v>
      </c>
      <c r="F528" t="s">
        <v>8</v>
      </c>
      <c r="G528">
        <v>0</v>
      </c>
    </row>
    <row r="529" spans="1:7" x14ac:dyDescent="0.35">
      <c r="A529">
        <v>2019</v>
      </c>
      <c r="B529" t="s">
        <v>60</v>
      </c>
      <c r="C529" t="s">
        <v>174</v>
      </c>
      <c r="D529" t="s">
        <v>175</v>
      </c>
      <c r="E529" t="s">
        <v>114</v>
      </c>
      <c r="F529" t="s">
        <v>8</v>
      </c>
      <c r="G529">
        <v>0</v>
      </c>
    </row>
    <row r="530" spans="1:7" x14ac:dyDescent="0.35">
      <c r="A530">
        <v>2019</v>
      </c>
      <c r="B530" t="s">
        <v>53</v>
      </c>
      <c r="C530" t="s">
        <v>174</v>
      </c>
      <c r="D530" t="s">
        <v>175</v>
      </c>
      <c r="E530" t="s">
        <v>112</v>
      </c>
      <c r="F530" t="s">
        <v>8</v>
      </c>
      <c r="G530">
        <v>0</v>
      </c>
    </row>
    <row r="531" spans="1:7" x14ac:dyDescent="0.35">
      <c r="A531">
        <v>2019</v>
      </c>
      <c r="B531" t="s">
        <v>53</v>
      </c>
      <c r="C531" t="s">
        <v>174</v>
      </c>
      <c r="D531" t="s">
        <v>175</v>
      </c>
      <c r="E531" t="s">
        <v>91</v>
      </c>
      <c r="F531" t="s">
        <v>8</v>
      </c>
      <c r="G531">
        <v>0</v>
      </c>
    </row>
    <row r="532" spans="1:7" x14ac:dyDescent="0.35">
      <c r="A532">
        <v>2019</v>
      </c>
      <c r="B532" t="s">
        <v>53</v>
      </c>
      <c r="C532" t="s">
        <v>174</v>
      </c>
      <c r="D532" t="s">
        <v>175</v>
      </c>
      <c r="E532" t="s">
        <v>113</v>
      </c>
      <c r="F532" t="s">
        <v>8</v>
      </c>
      <c r="G532">
        <v>0</v>
      </c>
    </row>
    <row r="533" spans="1:7" x14ac:dyDescent="0.35">
      <c r="A533">
        <v>2019</v>
      </c>
      <c r="B533" t="s">
        <v>53</v>
      </c>
      <c r="C533" t="s">
        <v>174</v>
      </c>
      <c r="D533" t="s">
        <v>175</v>
      </c>
      <c r="E533" t="s">
        <v>114</v>
      </c>
      <c r="F533" t="s">
        <v>8</v>
      </c>
      <c r="G533">
        <v>0</v>
      </c>
    </row>
    <row r="534" spans="1:7" x14ac:dyDescent="0.35">
      <c r="A534">
        <v>2019</v>
      </c>
      <c r="B534" t="s">
        <v>61</v>
      </c>
      <c r="C534" t="s">
        <v>174</v>
      </c>
      <c r="D534" t="s">
        <v>175</v>
      </c>
      <c r="E534" t="s">
        <v>112</v>
      </c>
      <c r="F534" t="s">
        <v>8</v>
      </c>
      <c r="G534">
        <v>0</v>
      </c>
    </row>
    <row r="535" spans="1:7" x14ac:dyDescent="0.35">
      <c r="A535">
        <v>2019</v>
      </c>
      <c r="B535" t="s">
        <v>61</v>
      </c>
      <c r="C535" t="s">
        <v>174</v>
      </c>
      <c r="D535" t="s">
        <v>175</v>
      </c>
      <c r="E535" t="s">
        <v>91</v>
      </c>
      <c r="F535" t="s">
        <v>8</v>
      </c>
      <c r="G535">
        <v>8</v>
      </c>
    </row>
    <row r="536" spans="1:7" x14ac:dyDescent="0.35">
      <c r="A536">
        <v>2019</v>
      </c>
      <c r="B536" t="s">
        <v>61</v>
      </c>
      <c r="C536" t="s">
        <v>174</v>
      </c>
      <c r="D536" t="s">
        <v>175</v>
      </c>
      <c r="E536" t="s">
        <v>113</v>
      </c>
      <c r="F536" t="s">
        <v>8</v>
      </c>
      <c r="G536">
        <v>2</v>
      </c>
    </row>
    <row r="537" spans="1:7" x14ac:dyDescent="0.35">
      <c r="A537">
        <v>2019</v>
      </c>
      <c r="B537" t="s">
        <v>61</v>
      </c>
      <c r="C537" t="s">
        <v>174</v>
      </c>
      <c r="D537" t="s">
        <v>175</v>
      </c>
      <c r="E537" t="s">
        <v>114</v>
      </c>
      <c r="F537" t="s">
        <v>8</v>
      </c>
      <c r="G537">
        <v>0</v>
      </c>
    </row>
    <row r="538" spans="1:7" x14ac:dyDescent="0.35">
      <c r="A538">
        <v>2019</v>
      </c>
      <c r="B538" t="s">
        <v>54</v>
      </c>
      <c r="C538" t="s">
        <v>174</v>
      </c>
      <c r="D538" t="s">
        <v>175</v>
      </c>
      <c r="E538" t="s">
        <v>112</v>
      </c>
      <c r="F538" t="s">
        <v>8</v>
      </c>
      <c r="G538">
        <v>0</v>
      </c>
    </row>
    <row r="539" spans="1:7" x14ac:dyDescent="0.35">
      <c r="A539">
        <v>2019</v>
      </c>
      <c r="B539" t="s">
        <v>54</v>
      </c>
      <c r="C539" t="s">
        <v>174</v>
      </c>
      <c r="D539" t="s">
        <v>175</v>
      </c>
      <c r="E539" t="s">
        <v>91</v>
      </c>
      <c r="F539" t="s">
        <v>8</v>
      </c>
      <c r="G539">
        <v>0</v>
      </c>
    </row>
    <row r="540" spans="1:7" x14ac:dyDescent="0.35">
      <c r="A540">
        <v>2019</v>
      </c>
      <c r="B540" t="s">
        <v>54</v>
      </c>
      <c r="C540" t="s">
        <v>174</v>
      </c>
      <c r="D540" t="s">
        <v>175</v>
      </c>
      <c r="E540" t="s">
        <v>113</v>
      </c>
      <c r="F540" t="s">
        <v>8</v>
      </c>
      <c r="G540">
        <v>0</v>
      </c>
    </row>
    <row r="541" spans="1:7" x14ac:dyDescent="0.35">
      <c r="A541">
        <v>2019</v>
      </c>
      <c r="B541" t="s">
        <v>54</v>
      </c>
      <c r="C541" t="s">
        <v>174</v>
      </c>
      <c r="D541" t="s">
        <v>175</v>
      </c>
      <c r="E541" t="s">
        <v>114</v>
      </c>
      <c r="F541" t="s">
        <v>8</v>
      </c>
      <c r="G541">
        <v>0</v>
      </c>
    </row>
    <row r="542" spans="1:7" x14ac:dyDescent="0.35">
      <c r="A542">
        <v>2019</v>
      </c>
      <c r="B542" t="s">
        <v>62</v>
      </c>
      <c r="C542" t="s">
        <v>174</v>
      </c>
      <c r="D542" t="s">
        <v>175</v>
      </c>
      <c r="E542" t="s">
        <v>112</v>
      </c>
      <c r="F542" t="s">
        <v>8</v>
      </c>
      <c r="G542">
        <v>0</v>
      </c>
    </row>
    <row r="543" spans="1:7" x14ac:dyDescent="0.35">
      <c r="A543">
        <v>2019</v>
      </c>
      <c r="B543" t="s">
        <v>62</v>
      </c>
      <c r="C543" t="s">
        <v>174</v>
      </c>
      <c r="D543" t="s">
        <v>175</v>
      </c>
      <c r="E543" t="s">
        <v>91</v>
      </c>
      <c r="F543" t="s">
        <v>8</v>
      </c>
      <c r="G543">
        <v>2</v>
      </c>
    </row>
    <row r="544" spans="1:7" x14ac:dyDescent="0.35">
      <c r="A544">
        <v>2019</v>
      </c>
      <c r="B544" t="s">
        <v>62</v>
      </c>
      <c r="C544" t="s">
        <v>174</v>
      </c>
      <c r="D544" t="s">
        <v>175</v>
      </c>
      <c r="E544" t="s">
        <v>113</v>
      </c>
      <c r="F544" t="s">
        <v>8</v>
      </c>
      <c r="G544">
        <v>0</v>
      </c>
    </row>
    <row r="545" spans="1:7" x14ac:dyDescent="0.35">
      <c r="A545">
        <v>2019</v>
      </c>
      <c r="B545" t="s">
        <v>62</v>
      </c>
      <c r="C545" t="s">
        <v>174</v>
      </c>
      <c r="D545" t="s">
        <v>175</v>
      </c>
      <c r="E545" t="s">
        <v>114</v>
      </c>
      <c r="F545" t="s">
        <v>8</v>
      </c>
      <c r="G545">
        <v>1</v>
      </c>
    </row>
    <row r="546" spans="1:7" x14ac:dyDescent="0.35">
      <c r="A546">
        <v>2019</v>
      </c>
      <c r="B546" t="s">
        <v>28</v>
      </c>
      <c r="C546" t="s">
        <v>174</v>
      </c>
      <c r="D546" t="s">
        <v>175</v>
      </c>
      <c r="E546" t="s">
        <v>112</v>
      </c>
      <c r="F546" t="s">
        <v>8</v>
      </c>
      <c r="G546">
        <v>0</v>
      </c>
    </row>
    <row r="547" spans="1:7" x14ac:dyDescent="0.35">
      <c r="A547">
        <v>2019</v>
      </c>
      <c r="B547" t="s">
        <v>28</v>
      </c>
      <c r="C547" t="s">
        <v>174</v>
      </c>
      <c r="D547" t="s">
        <v>175</v>
      </c>
      <c r="E547" t="s">
        <v>91</v>
      </c>
      <c r="F547" t="s">
        <v>8</v>
      </c>
      <c r="G547">
        <v>0</v>
      </c>
    </row>
    <row r="548" spans="1:7" x14ac:dyDescent="0.35">
      <c r="A548">
        <v>2019</v>
      </c>
      <c r="B548" t="s">
        <v>28</v>
      </c>
      <c r="C548" t="s">
        <v>174</v>
      </c>
      <c r="D548" t="s">
        <v>175</v>
      </c>
      <c r="E548" t="s">
        <v>113</v>
      </c>
      <c r="F548" t="s">
        <v>8</v>
      </c>
      <c r="G548">
        <v>0</v>
      </c>
    </row>
    <row r="549" spans="1:7" x14ac:dyDescent="0.35">
      <c r="A549">
        <v>2019</v>
      </c>
      <c r="B549" t="s">
        <v>28</v>
      </c>
      <c r="C549" t="s">
        <v>174</v>
      </c>
      <c r="D549" t="s">
        <v>175</v>
      </c>
      <c r="E549" t="s">
        <v>114</v>
      </c>
      <c r="F549" t="s">
        <v>8</v>
      </c>
      <c r="G549">
        <v>0</v>
      </c>
    </row>
    <row r="550" spans="1:7" x14ac:dyDescent="0.35">
      <c r="A550">
        <v>2019</v>
      </c>
      <c r="B550" t="s">
        <v>43</v>
      </c>
      <c r="C550" t="s">
        <v>174</v>
      </c>
      <c r="D550" t="s">
        <v>175</v>
      </c>
      <c r="E550" t="s">
        <v>112</v>
      </c>
      <c r="F550" t="s">
        <v>8</v>
      </c>
      <c r="G550">
        <v>0</v>
      </c>
    </row>
    <row r="551" spans="1:7" x14ac:dyDescent="0.35">
      <c r="A551">
        <v>2019</v>
      </c>
      <c r="B551" t="s">
        <v>43</v>
      </c>
      <c r="C551" t="s">
        <v>174</v>
      </c>
      <c r="D551" t="s">
        <v>175</v>
      </c>
      <c r="E551" t="s">
        <v>91</v>
      </c>
      <c r="F551" t="s">
        <v>8</v>
      </c>
      <c r="G551">
        <v>0</v>
      </c>
    </row>
    <row r="552" spans="1:7" x14ac:dyDescent="0.35">
      <c r="A552">
        <v>2019</v>
      </c>
      <c r="B552" t="s">
        <v>43</v>
      </c>
      <c r="C552" t="s">
        <v>174</v>
      </c>
      <c r="D552" t="s">
        <v>175</v>
      </c>
      <c r="E552" t="s">
        <v>113</v>
      </c>
      <c r="F552" t="s">
        <v>8</v>
      </c>
      <c r="G552">
        <v>0</v>
      </c>
    </row>
    <row r="553" spans="1:7" x14ac:dyDescent="0.35">
      <c r="A553">
        <v>2019</v>
      </c>
      <c r="B553" t="s">
        <v>43</v>
      </c>
      <c r="C553" t="s">
        <v>174</v>
      </c>
      <c r="D553" t="s">
        <v>175</v>
      </c>
      <c r="E553" t="s">
        <v>114</v>
      </c>
      <c r="F553" t="s">
        <v>8</v>
      </c>
      <c r="G553">
        <v>0</v>
      </c>
    </row>
    <row r="554" spans="1:7" x14ac:dyDescent="0.35">
      <c r="A554">
        <v>2019</v>
      </c>
      <c r="B554" t="s">
        <v>17</v>
      </c>
      <c r="C554" t="s">
        <v>174</v>
      </c>
      <c r="D554" t="s">
        <v>175</v>
      </c>
      <c r="E554" t="s">
        <v>112</v>
      </c>
      <c r="F554" t="s">
        <v>119</v>
      </c>
      <c r="G554">
        <v>0</v>
      </c>
    </row>
    <row r="555" spans="1:7" x14ac:dyDescent="0.35">
      <c r="A555">
        <v>2019</v>
      </c>
      <c r="B555" t="s">
        <v>17</v>
      </c>
      <c r="C555" t="s">
        <v>174</v>
      </c>
      <c r="D555" t="s">
        <v>175</v>
      </c>
      <c r="E555" t="s">
        <v>91</v>
      </c>
      <c r="F555" t="s">
        <v>119</v>
      </c>
      <c r="G555">
        <v>0</v>
      </c>
    </row>
    <row r="556" spans="1:7" x14ac:dyDescent="0.35">
      <c r="A556">
        <v>2019</v>
      </c>
      <c r="B556" t="s">
        <v>17</v>
      </c>
      <c r="C556" t="s">
        <v>174</v>
      </c>
      <c r="D556" t="s">
        <v>175</v>
      </c>
      <c r="E556" t="s">
        <v>113</v>
      </c>
      <c r="F556" t="s">
        <v>119</v>
      </c>
      <c r="G556">
        <v>0</v>
      </c>
    </row>
    <row r="557" spans="1:7" x14ac:dyDescent="0.35">
      <c r="A557">
        <v>2019</v>
      </c>
      <c r="B557" t="s">
        <v>17</v>
      </c>
      <c r="C557" t="s">
        <v>174</v>
      </c>
      <c r="D557" t="s">
        <v>175</v>
      </c>
      <c r="E557" t="s">
        <v>114</v>
      </c>
      <c r="F557" t="s">
        <v>119</v>
      </c>
      <c r="G557">
        <v>0</v>
      </c>
    </row>
    <row r="558" spans="1:7" x14ac:dyDescent="0.35">
      <c r="A558">
        <v>2019</v>
      </c>
      <c r="B558" t="s">
        <v>18</v>
      </c>
      <c r="C558" t="s">
        <v>174</v>
      </c>
      <c r="D558" t="s">
        <v>175</v>
      </c>
      <c r="E558" t="s">
        <v>112</v>
      </c>
      <c r="F558" t="s">
        <v>119</v>
      </c>
      <c r="G558">
        <v>0</v>
      </c>
    </row>
    <row r="559" spans="1:7" x14ac:dyDescent="0.35">
      <c r="A559">
        <v>2019</v>
      </c>
      <c r="B559" t="s">
        <v>18</v>
      </c>
      <c r="C559" t="s">
        <v>174</v>
      </c>
      <c r="D559" t="s">
        <v>175</v>
      </c>
      <c r="E559" t="s">
        <v>91</v>
      </c>
      <c r="F559" t="s">
        <v>119</v>
      </c>
      <c r="G559">
        <v>0</v>
      </c>
    </row>
    <row r="560" spans="1:7" x14ac:dyDescent="0.35">
      <c r="A560">
        <v>2019</v>
      </c>
      <c r="B560" t="s">
        <v>18</v>
      </c>
      <c r="C560" t="s">
        <v>174</v>
      </c>
      <c r="D560" t="s">
        <v>175</v>
      </c>
      <c r="E560" t="s">
        <v>113</v>
      </c>
      <c r="F560" t="s">
        <v>119</v>
      </c>
      <c r="G560">
        <v>1</v>
      </c>
    </row>
    <row r="561" spans="1:7" x14ac:dyDescent="0.35">
      <c r="A561">
        <v>2019</v>
      </c>
      <c r="B561" t="s">
        <v>18</v>
      </c>
      <c r="C561" t="s">
        <v>174</v>
      </c>
      <c r="D561" t="s">
        <v>175</v>
      </c>
      <c r="E561" t="s">
        <v>114</v>
      </c>
      <c r="F561" t="s">
        <v>119</v>
      </c>
      <c r="G561">
        <v>0</v>
      </c>
    </row>
    <row r="562" spans="1:7" x14ac:dyDescent="0.35">
      <c r="A562">
        <v>2019</v>
      </c>
      <c r="B562" t="s">
        <v>19</v>
      </c>
      <c r="C562" t="s">
        <v>174</v>
      </c>
      <c r="D562" t="s">
        <v>175</v>
      </c>
      <c r="E562" t="s">
        <v>112</v>
      </c>
      <c r="F562" t="s">
        <v>119</v>
      </c>
      <c r="G562">
        <v>0</v>
      </c>
    </row>
    <row r="563" spans="1:7" x14ac:dyDescent="0.35">
      <c r="A563">
        <v>2019</v>
      </c>
      <c r="B563" t="s">
        <v>19</v>
      </c>
      <c r="C563" t="s">
        <v>174</v>
      </c>
      <c r="D563" t="s">
        <v>175</v>
      </c>
      <c r="E563" t="s">
        <v>91</v>
      </c>
      <c r="F563" t="s">
        <v>119</v>
      </c>
      <c r="G563">
        <v>0</v>
      </c>
    </row>
    <row r="564" spans="1:7" x14ac:dyDescent="0.35">
      <c r="A564">
        <v>2019</v>
      </c>
      <c r="B564" t="s">
        <v>19</v>
      </c>
      <c r="C564" t="s">
        <v>174</v>
      </c>
      <c r="D564" t="s">
        <v>175</v>
      </c>
      <c r="E564" t="s">
        <v>113</v>
      </c>
      <c r="F564" t="s">
        <v>119</v>
      </c>
      <c r="G564">
        <v>3</v>
      </c>
    </row>
    <row r="565" spans="1:7" x14ac:dyDescent="0.35">
      <c r="A565">
        <v>2019</v>
      </c>
      <c r="B565" t="s">
        <v>19</v>
      </c>
      <c r="C565" t="s">
        <v>174</v>
      </c>
      <c r="D565" t="s">
        <v>175</v>
      </c>
      <c r="E565" t="s">
        <v>114</v>
      </c>
      <c r="F565" t="s">
        <v>119</v>
      </c>
      <c r="G565">
        <v>0</v>
      </c>
    </row>
    <row r="566" spans="1:7" x14ac:dyDescent="0.35">
      <c r="A566">
        <v>2019</v>
      </c>
      <c r="B566" t="s">
        <v>20</v>
      </c>
      <c r="C566" t="s">
        <v>174</v>
      </c>
      <c r="D566" t="s">
        <v>175</v>
      </c>
      <c r="E566" t="s">
        <v>112</v>
      </c>
      <c r="F566" t="s">
        <v>119</v>
      </c>
      <c r="G566">
        <v>1</v>
      </c>
    </row>
    <row r="567" spans="1:7" x14ac:dyDescent="0.35">
      <c r="A567">
        <v>2019</v>
      </c>
      <c r="B567" t="s">
        <v>20</v>
      </c>
      <c r="C567" t="s">
        <v>174</v>
      </c>
      <c r="D567" t="s">
        <v>175</v>
      </c>
      <c r="E567" t="s">
        <v>91</v>
      </c>
      <c r="F567" t="s">
        <v>119</v>
      </c>
      <c r="G567">
        <v>0</v>
      </c>
    </row>
    <row r="568" spans="1:7" x14ac:dyDescent="0.35">
      <c r="A568">
        <v>2019</v>
      </c>
      <c r="B568" t="s">
        <v>20</v>
      </c>
      <c r="C568" t="s">
        <v>174</v>
      </c>
      <c r="D568" t="s">
        <v>175</v>
      </c>
      <c r="E568" t="s">
        <v>113</v>
      </c>
      <c r="F568" t="s">
        <v>119</v>
      </c>
      <c r="G568">
        <v>0</v>
      </c>
    </row>
    <row r="569" spans="1:7" x14ac:dyDescent="0.35">
      <c r="A569">
        <v>2019</v>
      </c>
      <c r="B569" t="s">
        <v>20</v>
      </c>
      <c r="C569" t="s">
        <v>174</v>
      </c>
      <c r="D569" t="s">
        <v>175</v>
      </c>
      <c r="E569" t="s">
        <v>114</v>
      </c>
      <c r="F569" t="s">
        <v>119</v>
      </c>
      <c r="G569">
        <v>0</v>
      </c>
    </row>
    <row r="570" spans="1:7" x14ac:dyDescent="0.35">
      <c r="A570">
        <v>2019</v>
      </c>
      <c r="B570" t="s">
        <v>21</v>
      </c>
      <c r="C570" t="s">
        <v>174</v>
      </c>
      <c r="D570" t="s">
        <v>175</v>
      </c>
      <c r="E570" t="s">
        <v>112</v>
      </c>
      <c r="F570" t="s">
        <v>119</v>
      </c>
      <c r="G570">
        <v>0</v>
      </c>
    </row>
    <row r="571" spans="1:7" x14ac:dyDescent="0.35">
      <c r="A571">
        <v>2019</v>
      </c>
      <c r="B571" t="s">
        <v>21</v>
      </c>
      <c r="C571" t="s">
        <v>174</v>
      </c>
      <c r="D571" t="s">
        <v>175</v>
      </c>
      <c r="E571" t="s">
        <v>91</v>
      </c>
      <c r="F571" t="s">
        <v>119</v>
      </c>
      <c r="G571">
        <v>0</v>
      </c>
    </row>
    <row r="572" spans="1:7" x14ac:dyDescent="0.35">
      <c r="A572">
        <v>2019</v>
      </c>
      <c r="B572" t="s">
        <v>21</v>
      </c>
      <c r="C572" t="s">
        <v>174</v>
      </c>
      <c r="D572" t="s">
        <v>175</v>
      </c>
      <c r="E572" t="s">
        <v>113</v>
      </c>
      <c r="F572" t="s">
        <v>119</v>
      </c>
      <c r="G572">
        <v>1</v>
      </c>
    </row>
    <row r="573" spans="1:7" x14ac:dyDescent="0.35">
      <c r="A573">
        <v>2019</v>
      </c>
      <c r="B573" t="s">
        <v>21</v>
      </c>
      <c r="C573" t="s">
        <v>174</v>
      </c>
      <c r="D573" t="s">
        <v>175</v>
      </c>
      <c r="E573" t="s">
        <v>114</v>
      </c>
      <c r="F573" t="s">
        <v>119</v>
      </c>
      <c r="G573">
        <v>0</v>
      </c>
    </row>
    <row r="574" spans="1:7" x14ac:dyDescent="0.35">
      <c r="A574">
        <v>2019</v>
      </c>
      <c r="B574" t="s">
        <v>22</v>
      </c>
      <c r="C574" t="s">
        <v>174</v>
      </c>
      <c r="D574" t="s">
        <v>175</v>
      </c>
      <c r="E574" t="s">
        <v>112</v>
      </c>
      <c r="F574" t="s">
        <v>119</v>
      </c>
      <c r="G574">
        <v>0</v>
      </c>
    </row>
    <row r="575" spans="1:7" x14ac:dyDescent="0.35">
      <c r="A575">
        <v>2019</v>
      </c>
      <c r="B575" t="s">
        <v>22</v>
      </c>
      <c r="C575" t="s">
        <v>174</v>
      </c>
      <c r="D575" t="s">
        <v>175</v>
      </c>
      <c r="E575" t="s">
        <v>91</v>
      </c>
      <c r="F575" t="s">
        <v>119</v>
      </c>
      <c r="G575">
        <v>0</v>
      </c>
    </row>
    <row r="576" spans="1:7" x14ac:dyDescent="0.35">
      <c r="A576">
        <v>2019</v>
      </c>
      <c r="B576" t="s">
        <v>22</v>
      </c>
      <c r="C576" t="s">
        <v>174</v>
      </c>
      <c r="D576" t="s">
        <v>175</v>
      </c>
      <c r="E576" t="s">
        <v>113</v>
      </c>
      <c r="F576" t="s">
        <v>119</v>
      </c>
      <c r="G576">
        <v>0</v>
      </c>
    </row>
    <row r="577" spans="1:7" x14ac:dyDescent="0.35">
      <c r="A577">
        <v>2019</v>
      </c>
      <c r="B577" t="s">
        <v>22</v>
      </c>
      <c r="C577" t="s">
        <v>174</v>
      </c>
      <c r="D577" t="s">
        <v>175</v>
      </c>
      <c r="E577" t="s">
        <v>114</v>
      </c>
      <c r="F577" t="s">
        <v>119</v>
      </c>
      <c r="G577">
        <v>0</v>
      </c>
    </row>
    <row r="578" spans="1:7" x14ac:dyDescent="0.35">
      <c r="A578">
        <v>2019</v>
      </c>
      <c r="B578" t="s">
        <v>23</v>
      </c>
      <c r="C578" t="s">
        <v>174</v>
      </c>
      <c r="D578" t="s">
        <v>175</v>
      </c>
      <c r="E578" t="s">
        <v>112</v>
      </c>
      <c r="F578" t="s">
        <v>119</v>
      </c>
      <c r="G578">
        <v>0</v>
      </c>
    </row>
    <row r="579" spans="1:7" x14ac:dyDescent="0.35">
      <c r="A579">
        <v>2019</v>
      </c>
      <c r="B579" t="s">
        <v>23</v>
      </c>
      <c r="C579" t="s">
        <v>174</v>
      </c>
      <c r="D579" t="s">
        <v>175</v>
      </c>
      <c r="E579" t="s">
        <v>91</v>
      </c>
      <c r="F579" t="s">
        <v>119</v>
      </c>
      <c r="G579">
        <v>0</v>
      </c>
    </row>
    <row r="580" spans="1:7" x14ac:dyDescent="0.35">
      <c r="A580">
        <v>2019</v>
      </c>
      <c r="B580" t="s">
        <v>23</v>
      </c>
      <c r="C580" t="s">
        <v>174</v>
      </c>
      <c r="D580" t="s">
        <v>175</v>
      </c>
      <c r="E580" t="s">
        <v>113</v>
      </c>
      <c r="F580" t="s">
        <v>119</v>
      </c>
      <c r="G580">
        <v>0</v>
      </c>
    </row>
    <row r="581" spans="1:7" x14ac:dyDescent="0.35">
      <c r="A581">
        <v>2019</v>
      </c>
      <c r="B581" t="s">
        <v>23</v>
      </c>
      <c r="C581" t="s">
        <v>174</v>
      </c>
      <c r="D581" t="s">
        <v>175</v>
      </c>
      <c r="E581" t="s">
        <v>114</v>
      </c>
      <c r="F581" t="s">
        <v>119</v>
      </c>
      <c r="G581">
        <v>0</v>
      </c>
    </row>
    <row r="582" spans="1:7" x14ac:dyDescent="0.35">
      <c r="A582">
        <v>2019</v>
      </c>
      <c r="B582" t="s">
        <v>24</v>
      </c>
      <c r="C582" t="s">
        <v>174</v>
      </c>
      <c r="D582" t="s">
        <v>175</v>
      </c>
      <c r="E582" t="s">
        <v>112</v>
      </c>
      <c r="F582" t="s">
        <v>119</v>
      </c>
      <c r="G582">
        <v>0</v>
      </c>
    </row>
    <row r="583" spans="1:7" x14ac:dyDescent="0.35">
      <c r="A583">
        <v>2019</v>
      </c>
      <c r="B583" t="s">
        <v>24</v>
      </c>
      <c r="C583" t="s">
        <v>174</v>
      </c>
      <c r="D583" t="s">
        <v>175</v>
      </c>
      <c r="E583" t="s">
        <v>91</v>
      </c>
      <c r="F583" t="s">
        <v>119</v>
      </c>
      <c r="G583">
        <v>0</v>
      </c>
    </row>
    <row r="584" spans="1:7" x14ac:dyDescent="0.35">
      <c r="A584">
        <v>2019</v>
      </c>
      <c r="B584" t="s">
        <v>24</v>
      </c>
      <c r="C584" t="s">
        <v>174</v>
      </c>
      <c r="D584" t="s">
        <v>175</v>
      </c>
      <c r="E584" t="s">
        <v>113</v>
      </c>
      <c r="F584" t="s">
        <v>119</v>
      </c>
      <c r="G584">
        <v>0</v>
      </c>
    </row>
    <row r="585" spans="1:7" x14ac:dyDescent="0.35">
      <c r="A585">
        <v>2019</v>
      </c>
      <c r="B585" t="s">
        <v>24</v>
      </c>
      <c r="C585" t="s">
        <v>174</v>
      </c>
      <c r="D585" t="s">
        <v>175</v>
      </c>
      <c r="E585" t="s">
        <v>114</v>
      </c>
      <c r="F585" t="s">
        <v>119</v>
      </c>
      <c r="G585">
        <v>0</v>
      </c>
    </row>
    <row r="586" spans="1:7" x14ac:dyDescent="0.35">
      <c r="A586">
        <v>2019</v>
      </c>
      <c r="B586" t="s">
        <v>25</v>
      </c>
      <c r="C586" t="s">
        <v>174</v>
      </c>
      <c r="D586" t="s">
        <v>175</v>
      </c>
      <c r="E586" t="s">
        <v>112</v>
      </c>
      <c r="F586" t="s">
        <v>119</v>
      </c>
      <c r="G586">
        <v>0</v>
      </c>
    </row>
    <row r="587" spans="1:7" x14ac:dyDescent="0.35">
      <c r="A587">
        <v>2019</v>
      </c>
      <c r="B587" t="s">
        <v>25</v>
      </c>
      <c r="C587" t="s">
        <v>174</v>
      </c>
      <c r="D587" t="s">
        <v>175</v>
      </c>
      <c r="E587" t="s">
        <v>91</v>
      </c>
      <c r="F587" t="s">
        <v>119</v>
      </c>
      <c r="G587">
        <v>0</v>
      </c>
    </row>
    <row r="588" spans="1:7" x14ac:dyDescent="0.35">
      <c r="A588">
        <v>2019</v>
      </c>
      <c r="B588" t="s">
        <v>25</v>
      </c>
      <c r="C588" t="s">
        <v>174</v>
      </c>
      <c r="D588" t="s">
        <v>175</v>
      </c>
      <c r="E588" t="s">
        <v>113</v>
      </c>
      <c r="F588" t="s">
        <v>119</v>
      </c>
      <c r="G588">
        <v>0</v>
      </c>
    </row>
    <row r="589" spans="1:7" x14ac:dyDescent="0.35">
      <c r="A589">
        <v>2019</v>
      </c>
      <c r="B589" t="s">
        <v>25</v>
      </c>
      <c r="C589" t="s">
        <v>174</v>
      </c>
      <c r="D589" t="s">
        <v>175</v>
      </c>
      <c r="E589" t="s">
        <v>114</v>
      </c>
      <c r="F589" t="s">
        <v>119</v>
      </c>
      <c r="G589">
        <v>0</v>
      </c>
    </row>
    <row r="590" spans="1:7" x14ac:dyDescent="0.35">
      <c r="A590">
        <v>2019</v>
      </c>
      <c r="B590" t="s">
        <v>26</v>
      </c>
      <c r="C590" t="s">
        <v>174</v>
      </c>
      <c r="D590" t="s">
        <v>175</v>
      </c>
      <c r="E590" t="s">
        <v>112</v>
      </c>
      <c r="F590" t="s">
        <v>119</v>
      </c>
      <c r="G590">
        <v>0</v>
      </c>
    </row>
    <row r="591" spans="1:7" x14ac:dyDescent="0.35">
      <c r="A591">
        <v>2019</v>
      </c>
      <c r="B591" t="s">
        <v>26</v>
      </c>
      <c r="C591" t="s">
        <v>174</v>
      </c>
      <c r="D591" t="s">
        <v>175</v>
      </c>
      <c r="E591" t="s">
        <v>91</v>
      </c>
      <c r="F591" t="s">
        <v>119</v>
      </c>
      <c r="G591">
        <v>0</v>
      </c>
    </row>
    <row r="592" spans="1:7" x14ac:dyDescent="0.35">
      <c r="A592">
        <v>2019</v>
      </c>
      <c r="B592" t="s">
        <v>26</v>
      </c>
      <c r="C592" t="s">
        <v>174</v>
      </c>
      <c r="D592" t="s">
        <v>175</v>
      </c>
      <c r="E592" t="s">
        <v>113</v>
      </c>
      <c r="F592" t="s">
        <v>119</v>
      </c>
      <c r="G592">
        <v>1</v>
      </c>
    </row>
    <row r="593" spans="1:7" x14ac:dyDescent="0.35">
      <c r="A593">
        <v>2019</v>
      </c>
      <c r="B593" t="s">
        <v>26</v>
      </c>
      <c r="C593" t="s">
        <v>174</v>
      </c>
      <c r="D593" t="s">
        <v>175</v>
      </c>
      <c r="E593" t="s">
        <v>114</v>
      </c>
      <c r="F593" t="s">
        <v>119</v>
      </c>
      <c r="G593">
        <v>0</v>
      </c>
    </row>
    <row r="594" spans="1:7" x14ac:dyDescent="0.35">
      <c r="A594">
        <v>2019</v>
      </c>
      <c r="B594" t="s">
        <v>27</v>
      </c>
      <c r="C594" t="s">
        <v>174</v>
      </c>
      <c r="D594" t="s">
        <v>175</v>
      </c>
      <c r="E594" t="s">
        <v>112</v>
      </c>
      <c r="F594" t="s">
        <v>119</v>
      </c>
      <c r="G594">
        <v>0</v>
      </c>
    </row>
    <row r="595" spans="1:7" x14ac:dyDescent="0.35">
      <c r="A595">
        <v>2019</v>
      </c>
      <c r="B595" t="s">
        <v>27</v>
      </c>
      <c r="C595" t="s">
        <v>174</v>
      </c>
      <c r="D595" t="s">
        <v>175</v>
      </c>
      <c r="E595" t="s">
        <v>91</v>
      </c>
      <c r="F595" t="s">
        <v>119</v>
      </c>
      <c r="G595">
        <v>0</v>
      </c>
    </row>
    <row r="596" spans="1:7" x14ac:dyDescent="0.35">
      <c r="A596">
        <v>2019</v>
      </c>
      <c r="B596" t="s">
        <v>27</v>
      </c>
      <c r="C596" t="s">
        <v>174</v>
      </c>
      <c r="D596" t="s">
        <v>175</v>
      </c>
      <c r="E596" t="s">
        <v>113</v>
      </c>
      <c r="F596" t="s">
        <v>119</v>
      </c>
      <c r="G596">
        <v>0</v>
      </c>
    </row>
    <row r="597" spans="1:7" x14ac:dyDescent="0.35">
      <c r="A597">
        <v>2019</v>
      </c>
      <c r="B597" t="s">
        <v>27</v>
      </c>
      <c r="C597" t="s">
        <v>174</v>
      </c>
      <c r="D597" t="s">
        <v>175</v>
      </c>
      <c r="E597" t="s">
        <v>114</v>
      </c>
      <c r="F597" t="s">
        <v>119</v>
      </c>
      <c r="G597">
        <v>0</v>
      </c>
    </row>
    <row r="598" spans="1:7" x14ac:dyDescent="0.35">
      <c r="A598">
        <v>2019</v>
      </c>
      <c r="B598" t="s">
        <v>29</v>
      </c>
      <c r="C598" t="s">
        <v>174</v>
      </c>
      <c r="D598" t="s">
        <v>175</v>
      </c>
      <c r="E598" t="s">
        <v>112</v>
      </c>
      <c r="F598" t="s">
        <v>119</v>
      </c>
      <c r="G598">
        <v>0</v>
      </c>
    </row>
    <row r="599" spans="1:7" x14ac:dyDescent="0.35">
      <c r="A599">
        <v>2019</v>
      </c>
      <c r="B599" t="s">
        <v>29</v>
      </c>
      <c r="C599" t="s">
        <v>174</v>
      </c>
      <c r="D599" t="s">
        <v>175</v>
      </c>
      <c r="E599" t="s">
        <v>91</v>
      </c>
      <c r="F599" t="s">
        <v>119</v>
      </c>
      <c r="G599">
        <v>0</v>
      </c>
    </row>
    <row r="600" spans="1:7" x14ac:dyDescent="0.35">
      <c r="A600">
        <v>2019</v>
      </c>
      <c r="B600" t="s">
        <v>29</v>
      </c>
      <c r="C600" t="s">
        <v>174</v>
      </c>
      <c r="D600" t="s">
        <v>175</v>
      </c>
      <c r="E600" t="s">
        <v>113</v>
      </c>
      <c r="F600" t="s">
        <v>119</v>
      </c>
      <c r="G600">
        <v>0</v>
      </c>
    </row>
    <row r="601" spans="1:7" x14ac:dyDescent="0.35">
      <c r="A601">
        <v>2019</v>
      </c>
      <c r="B601" t="s">
        <v>29</v>
      </c>
      <c r="C601" t="s">
        <v>174</v>
      </c>
      <c r="D601" t="s">
        <v>175</v>
      </c>
      <c r="E601" t="s">
        <v>114</v>
      </c>
      <c r="F601" t="s">
        <v>119</v>
      </c>
      <c r="G601">
        <v>0</v>
      </c>
    </row>
    <row r="602" spans="1:7" x14ac:dyDescent="0.35">
      <c r="A602">
        <v>2019</v>
      </c>
      <c r="B602" t="s">
        <v>30</v>
      </c>
      <c r="C602" t="s">
        <v>174</v>
      </c>
      <c r="D602" t="s">
        <v>175</v>
      </c>
      <c r="E602" t="s">
        <v>112</v>
      </c>
      <c r="F602" t="s">
        <v>119</v>
      </c>
      <c r="G602">
        <v>0</v>
      </c>
    </row>
    <row r="603" spans="1:7" x14ac:dyDescent="0.35">
      <c r="A603">
        <v>2019</v>
      </c>
      <c r="B603" t="s">
        <v>30</v>
      </c>
      <c r="C603" t="s">
        <v>174</v>
      </c>
      <c r="D603" t="s">
        <v>175</v>
      </c>
      <c r="E603" t="s">
        <v>91</v>
      </c>
      <c r="F603" t="s">
        <v>119</v>
      </c>
      <c r="G603">
        <v>0</v>
      </c>
    </row>
    <row r="604" spans="1:7" x14ac:dyDescent="0.35">
      <c r="A604">
        <v>2019</v>
      </c>
      <c r="B604" t="s">
        <v>30</v>
      </c>
      <c r="C604" t="s">
        <v>174</v>
      </c>
      <c r="D604" t="s">
        <v>175</v>
      </c>
      <c r="E604" t="s">
        <v>113</v>
      </c>
      <c r="F604" t="s">
        <v>119</v>
      </c>
      <c r="G604">
        <v>0</v>
      </c>
    </row>
    <row r="605" spans="1:7" x14ac:dyDescent="0.35">
      <c r="A605">
        <v>2019</v>
      </c>
      <c r="B605" t="s">
        <v>30</v>
      </c>
      <c r="C605" t="s">
        <v>174</v>
      </c>
      <c r="D605" t="s">
        <v>175</v>
      </c>
      <c r="E605" t="s">
        <v>114</v>
      </c>
      <c r="F605" t="s">
        <v>119</v>
      </c>
      <c r="G605">
        <v>0</v>
      </c>
    </row>
    <row r="606" spans="1:7" x14ac:dyDescent="0.35">
      <c r="A606">
        <v>2019</v>
      </c>
      <c r="B606" t="s">
        <v>31</v>
      </c>
      <c r="C606" t="s">
        <v>174</v>
      </c>
      <c r="D606" t="s">
        <v>175</v>
      </c>
      <c r="E606" t="s">
        <v>112</v>
      </c>
      <c r="F606" t="s">
        <v>119</v>
      </c>
      <c r="G606">
        <v>0</v>
      </c>
    </row>
    <row r="607" spans="1:7" x14ac:dyDescent="0.35">
      <c r="A607">
        <v>2019</v>
      </c>
      <c r="B607" t="s">
        <v>31</v>
      </c>
      <c r="C607" t="s">
        <v>174</v>
      </c>
      <c r="D607" t="s">
        <v>175</v>
      </c>
      <c r="E607" t="s">
        <v>91</v>
      </c>
      <c r="F607" t="s">
        <v>119</v>
      </c>
      <c r="G607">
        <v>1</v>
      </c>
    </row>
    <row r="608" spans="1:7" x14ac:dyDescent="0.35">
      <c r="A608">
        <v>2019</v>
      </c>
      <c r="B608" t="s">
        <v>31</v>
      </c>
      <c r="C608" t="s">
        <v>174</v>
      </c>
      <c r="D608" t="s">
        <v>175</v>
      </c>
      <c r="E608" t="s">
        <v>113</v>
      </c>
      <c r="F608" t="s">
        <v>119</v>
      </c>
      <c r="G608">
        <v>0</v>
      </c>
    </row>
    <row r="609" spans="1:7" x14ac:dyDescent="0.35">
      <c r="A609">
        <v>2019</v>
      </c>
      <c r="B609" t="s">
        <v>31</v>
      </c>
      <c r="C609" t="s">
        <v>174</v>
      </c>
      <c r="D609" t="s">
        <v>175</v>
      </c>
      <c r="E609" t="s">
        <v>114</v>
      </c>
      <c r="F609" t="s">
        <v>119</v>
      </c>
      <c r="G609">
        <v>0</v>
      </c>
    </row>
    <row r="610" spans="1:7" x14ac:dyDescent="0.35">
      <c r="A610">
        <v>2019</v>
      </c>
      <c r="B610" t="s">
        <v>32</v>
      </c>
      <c r="C610" t="s">
        <v>174</v>
      </c>
      <c r="D610" t="s">
        <v>175</v>
      </c>
      <c r="E610" t="s">
        <v>112</v>
      </c>
      <c r="F610" t="s">
        <v>119</v>
      </c>
      <c r="G610">
        <v>1</v>
      </c>
    </row>
    <row r="611" spans="1:7" x14ac:dyDescent="0.35">
      <c r="A611">
        <v>2019</v>
      </c>
      <c r="B611" t="s">
        <v>32</v>
      </c>
      <c r="C611" t="s">
        <v>174</v>
      </c>
      <c r="D611" t="s">
        <v>175</v>
      </c>
      <c r="E611" t="s">
        <v>91</v>
      </c>
      <c r="F611" t="s">
        <v>119</v>
      </c>
      <c r="G611">
        <v>0</v>
      </c>
    </row>
    <row r="612" spans="1:7" x14ac:dyDescent="0.35">
      <c r="A612">
        <v>2019</v>
      </c>
      <c r="B612" t="s">
        <v>32</v>
      </c>
      <c r="C612" t="s">
        <v>174</v>
      </c>
      <c r="D612" t="s">
        <v>175</v>
      </c>
      <c r="E612" t="s">
        <v>113</v>
      </c>
      <c r="F612" t="s">
        <v>119</v>
      </c>
      <c r="G612">
        <v>0</v>
      </c>
    </row>
    <row r="613" spans="1:7" x14ac:dyDescent="0.35">
      <c r="A613">
        <v>2019</v>
      </c>
      <c r="B613" t="s">
        <v>32</v>
      </c>
      <c r="C613" t="s">
        <v>174</v>
      </c>
      <c r="D613" t="s">
        <v>175</v>
      </c>
      <c r="E613" t="s">
        <v>114</v>
      </c>
      <c r="F613" t="s">
        <v>119</v>
      </c>
      <c r="G613">
        <v>0</v>
      </c>
    </row>
    <row r="614" spans="1:7" x14ac:dyDescent="0.35">
      <c r="A614">
        <v>2019</v>
      </c>
      <c r="B614" t="s">
        <v>63</v>
      </c>
      <c r="C614" t="s">
        <v>174</v>
      </c>
      <c r="D614" t="s">
        <v>175</v>
      </c>
      <c r="E614" t="s">
        <v>112</v>
      </c>
      <c r="F614" t="s">
        <v>119</v>
      </c>
      <c r="G614">
        <v>0</v>
      </c>
    </row>
    <row r="615" spans="1:7" x14ac:dyDescent="0.35">
      <c r="A615">
        <v>2019</v>
      </c>
      <c r="B615" t="s">
        <v>63</v>
      </c>
      <c r="C615" t="s">
        <v>174</v>
      </c>
      <c r="D615" t="s">
        <v>175</v>
      </c>
      <c r="E615" t="s">
        <v>91</v>
      </c>
      <c r="F615" t="s">
        <v>119</v>
      </c>
      <c r="G615">
        <v>2</v>
      </c>
    </row>
    <row r="616" spans="1:7" x14ac:dyDescent="0.35">
      <c r="A616">
        <v>2019</v>
      </c>
      <c r="B616" t="s">
        <v>63</v>
      </c>
      <c r="C616" t="s">
        <v>174</v>
      </c>
      <c r="D616" t="s">
        <v>175</v>
      </c>
      <c r="E616" t="s">
        <v>113</v>
      </c>
      <c r="F616" t="s">
        <v>119</v>
      </c>
      <c r="G616">
        <v>7</v>
      </c>
    </row>
    <row r="617" spans="1:7" x14ac:dyDescent="0.35">
      <c r="A617">
        <v>2019</v>
      </c>
      <c r="B617" t="s">
        <v>63</v>
      </c>
      <c r="C617" t="s">
        <v>174</v>
      </c>
      <c r="D617" t="s">
        <v>175</v>
      </c>
      <c r="E617" t="s">
        <v>114</v>
      </c>
      <c r="F617" t="s">
        <v>119</v>
      </c>
      <c r="G617">
        <v>0</v>
      </c>
    </row>
    <row r="618" spans="1:7" x14ac:dyDescent="0.35">
      <c r="A618">
        <v>2019</v>
      </c>
      <c r="B618" t="s">
        <v>57</v>
      </c>
      <c r="C618" t="s">
        <v>174</v>
      </c>
      <c r="D618" t="s">
        <v>175</v>
      </c>
      <c r="E618" t="s">
        <v>112</v>
      </c>
      <c r="F618" t="s">
        <v>119</v>
      </c>
      <c r="G618">
        <v>0</v>
      </c>
    </row>
    <row r="619" spans="1:7" x14ac:dyDescent="0.35">
      <c r="A619">
        <v>2019</v>
      </c>
      <c r="B619" t="s">
        <v>57</v>
      </c>
      <c r="C619" t="s">
        <v>174</v>
      </c>
      <c r="D619" t="s">
        <v>175</v>
      </c>
      <c r="E619" t="s">
        <v>91</v>
      </c>
      <c r="F619" t="s">
        <v>119</v>
      </c>
      <c r="G619">
        <v>2</v>
      </c>
    </row>
    <row r="620" spans="1:7" x14ac:dyDescent="0.35">
      <c r="A620">
        <v>2019</v>
      </c>
      <c r="B620" t="s">
        <v>57</v>
      </c>
      <c r="C620" t="s">
        <v>174</v>
      </c>
      <c r="D620" t="s">
        <v>175</v>
      </c>
      <c r="E620" t="s">
        <v>113</v>
      </c>
      <c r="F620" t="s">
        <v>119</v>
      </c>
      <c r="G620">
        <v>1</v>
      </c>
    </row>
    <row r="621" spans="1:7" x14ac:dyDescent="0.35">
      <c r="A621">
        <v>2019</v>
      </c>
      <c r="B621" t="s">
        <v>57</v>
      </c>
      <c r="C621" t="s">
        <v>174</v>
      </c>
      <c r="D621" t="s">
        <v>175</v>
      </c>
      <c r="E621" t="s">
        <v>114</v>
      </c>
      <c r="F621" t="s">
        <v>119</v>
      </c>
      <c r="G621">
        <v>0</v>
      </c>
    </row>
    <row r="622" spans="1:7" x14ac:dyDescent="0.35">
      <c r="A622">
        <v>2019</v>
      </c>
      <c r="B622" t="s">
        <v>33</v>
      </c>
      <c r="C622" t="s">
        <v>174</v>
      </c>
      <c r="D622" t="s">
        <v>175</v>
      </c>
      <c r="E622" t="s">
        <v>112</v>
      </c>
      <c r="F622" t="s">
        <v>119</v>
      </c>
      <c r="G622">
        <v>0</v>
      </c>
    </row>
    <row r="623" spans="1:7" x14ac:dyDescent="0.35">
      <c r="A623">
        <v>2019</v>
      </c>
      <c r="B623" t="s">
        <v>33</v>
      </c>
      <c r="C623" t="s">
        <v>174</v>
      </c>
      <c r="D623" t="s">
        <v>175</v>
      </c>
      <c r="E623" t="s">
        <v>91</v>
      </c>
      <c r="F623" t="s">
        <v>119</v>
      </c>
      <c r="G623">
        <v>0</v>
      </c>
    </row>
    <row r="624" spans="1:7" x14ac:dyDescent="0.35">
      <c r="A624">
        <v>2019</v>
      </c>
      <c r="B624" t="s">
        <v>33</v>
      </c>
      <c r="C624" t="s">
        <v>174</v>
      </c>
      <c r="D624" t="s">
        <v>175</v>
      </c>
      <c r="E624" t="s">
        <v>113</v>
      </c>
      <c r="F624" t="s">
        <v>119</v>
      </c>
      <c r="G624">
        <v>0</v>
      </c>
    </row>
    <row r="625" spans="1:7" x14ac:dyDescent="0.35">
      <c r="A625">
        <v>2019</v>
      </c>
      <c r="B625" t="s">
        <v>33</v>
      </c>
      <c r="C625" t="s">
        <v>174</v>
      </c>
      <c r="D625" t="s">
        <v>175</v>
      </c>
      <c r="E625" t="s">
        <v>114</v>
      </c>
      <c r="F625" t="s">
        <v>119</v>
      </c>
      <c r="G625">
        <v>0</v>
      </c>
    </row>
    <row r="626" spans="1:7" x14ac:dyDescent="0.35">
      <c r="A626">
        <v>2019</v>
      </c>
      <c r="B626" t="s">
        <v>34</v>
      </c>
      <c r="C626" t="s">
        <v>174</v>
      </c>
      <c r="D626" t="s">
        <v>175</v>
      </c>
      <c r="E626" t="s">
        <v>112</v>
      </c>
      <c r="F626" t="s">
        <v>119</v>
      </c>
      <c r="G626">
        <v>0</v>
      </c>
    </row>
    <row r="627" spans="1:7" x14ac:dyDescent="0.35">
      <c r="A627">
        <v>2019</v>
      </c>
      <c r="B627" t="s">
        <v>34</v>
      </c>
      <c r="C627" t="s">
        <v>174</v>
      </c>
      <c r="D627" t="s">
        <v>175</v>
      </c>
      <c r="E627" t="s">
        <v>91</v>
      </c>
      <c r="F627" t="s">
        <v>119</v>
      </c>
      <c r="G627">
        <v>0</v>
      </c>
    </row>
    <row r="628" spans="1:7" x14ac:dyDescent="0.35">
      <c r="A628">
        <v>2019</v>
      </c>
      <c r="B628" t="s">
        <v>34</v>
      </c>
      <c r="C628" t="s">
        <v>174</v>
      </c>
      <c r="D628" t="s">
        <v>175</v>
      </c>
      <c r="E628" t="s">
        <v>113</v>
      </c>
      <c r="F628" t="s">
        <v>119</v>
      </c>
      <c r="G628">
        <v>0</v>
      </c>
    </row>
    <row r="629" spans="1:7" x14ac:dyDescent="0.35">
      <c r="A629">
        <v>2019</v>
      </c>
      <c r="B629" t="s">
        <v>34</v>
      </c>
      <c r="C629" t="s">
        <v>174</v>
      </c>
      <c r="D629" t="s">
        <v>175</v>
      </c>
      <c r="E629" t="s">
        <v>114</v>
      </c>
      <c r="F629" t="s">
        <v>119</v>
      </c>
      <c r="G629">
        <v>0</v>
      </c>
    </row>
    <row r="630" spans="1:7" x14ac:dyDescent="0.35">
      <c r="A630">
        <v>2019</v>
      </c>
      <c r="B630" t="s">
        <v>35</v>
      </c>
      <c r="C630" t="s">
        <v>174</v>
      </c>
      <c r="D630" t="s">
        <v>175</v>
      </c>
      <c r="E630" t="s">
        <v>112</v>
      </c>
      <c r="F630" t="s">
        <v>119</v>
      </c>
      <c r="G630">
        <v>0</v>
      </c>
    </row>
    <row r="631" spans="1:7" x14ac:dyDescent="0.35">
      <c r="A631">
        <v>2019</v>
      </c>
      <c r="B631" t="s">
        <v>35</v>
      </c>
      <c r="C631" t="s">
        <v>174</v>
      </c>
      <c r="D631" t="s">
        <v>175</v>
      </c>
      <c r="E631" t="s">
        <v>91</v>
      </c>
      <c r="F631" t="s">
        <v>119</v>
      </c>
      <c r="G631">
        <v>0</v>
      </c>
    </row>
    <row r="632" spans="1:7" x14ac:dyDescent="0.35">
      <c r="A632">
        <v>2019</v>
      </c>
      <c r="B632" t="s">
        <v>35</v>
      </c>
      <c r="C632" t="s">
        <v>174</v>
      </c>
      <c r="D632" t="s">
        <v>175</v>
      </c>
      <c r="E632" t="s">
        <v>113</v>
      </c>
      <c r="F632" t="s">
        <v>119</v>
      </c>
      <c r="G632">
        <v>0</v>
      </c>
    </row>
    <row r="633" spans="1:7" x14ac:dyDescent="0.35">
      <c r="A633">
        <v>2019</v>
      </c>
      <c r="B633" t="s">
        <v>35</v>
      </c>
      <c r="C633" t="s">
        <v>174</v>
      </c>
      <c r="D633" t="s">
        <v>175</v>
      </c>
      <c r="E633" t="s">
        <v>114</v>
      </c>
      <c r="F633" t="s">
        <v>119</v>
      </c>
      <c r="G633">
        <v>0</v>
      </c>
    </row>
    <row r="634" spans="1:7" x14ac:dyDescent="0.35">
      <c r="A634">
        <v>2019</v>
      </c>
      <c r="B634" t="s">
        <v>36</v>
      </c>
      <c r="C634" t="s">
        <v>174</v>
      </c>
      <c r="D634" t="s">
        <v>175</v>
      </c>
      <c r="E634" t="s">
        <v>112</v>
      </c>
      <c r="F634" t="s">
        <v>119</v>
      </c>
      <c r="G634">
        <v>0</v>
      </c>
    </row>
    <row r="635" spans="1:7" x14ac:dyDescent="0.35">
      <c r="A635">
        <v>2019</v>
      </c>
      <c r="B635" t="s">
        <v>36</v>
      </c>
      <c r="C635" t="s">
        <v>174</v>
      </c>
      <c r="D635" t="s">
        <v>175</v>
      </c>
      <c r="E635" t="s">
        <v>91</v>
      </c>
      <c r="F635" t="s">
        <v>119</v>
      </c>
      <c r="G635">
        <v>0</v>
      </c>
    </row>
    <row r="636" spans="1:7" x14ac:dyDescent="0.35">
      <c r="A636">
        <v>2019</v>
      </c>
      <c r="B636" t="s">
        <v>36</v>
      </c>
      <c r="C636" t="s">
        <v>174</v>
      </c>
      <c r="D636" t="s">
        <v>175</v>
      </c>
      <c r="E636" t="s">
        <v>113</v>
      </c>
      <c r="F636" t="s">
        <v>119</v>
      </c>
      <c r="G636">
        <v>1</v>
      </c>
    </row>
    <row r="637" spans="1:7" x14ac:dyDescent="0.35">
      <c r="A637">
        <v>2019</v>
      </c>
      <c r="B637" t="s">
        <v>36</v>
      </c>
      <c r="C637" t="s">
        <v>174</v>
      </c>
      <c r="D637" t="s">
        <v>175</v>
      </c>
      <c r="E637" t="s">
        <v>114</v>
      </c>
      <c r="F637" t="s">
        <v>119</v>
      </c>
      <c r="G637">
        <v>0</v>
      </c>
    </row>
    <row r="638" spans="1:7" x14ac:dyDescent="0.35">
      <c r="A638">
        <v>2019</v>
      </c>
      <c r="B638" t="s">
        <v>37</v>
      </c>
      <c r="C638" t="s">
        <v>174</v>
      </c>
      <c r="D638" t="s">
        <v>175</v>
      </c>
      <c r="E638" t="s">
        <v>112</v>
      </c>
      <c r="F638" t="s">
        <v>119</v>
      </c>
      <c r="G638">
        <v>0</v>
      </c>
    </row>
    <row r="639" spans="1:7" x14ac:dyDescent="0.35">
      <c r="A639">
        <v>2019</v>
      </c>
      <c r="B639" t="s">
        <v>37</v>
      </c>
      <c r="C639" t="s">
        <v>174</v>
      </c>
      <c r="D639" t="s">
        <v>175</v>
      </c>
      <c r="E639" t="s">
        <v>91</v>
      </c>
      <c r="F639" t="s">
        <v>119</v>
      </c>
      <c r="G639">
        <v>0</v>
      </c>
    </row>
    <row r="640" spans="1:7" x14ac:dyDescent="0.35">
      <c r="A640">
        <v>2019</v>
      </c>
      <c r="B640" t="s">
        <v>37</v>
      </c>
      <c r="C640" t="s">
        <v>174</v>
      </c>
      <c r="D640" t="s">
        <v>175</v>
      </c>
      <c r="E640" t="s">
        <v>113</v>
      </c>
      <c r="F640" t="s">
        <v>119</v>
      </c>
      <c r="G640">
        <v>0</v>
      </c>
    </row>
    <row r="641" spans="1:7" x14ac:dyDescent="0.35">
      <c r="A641">
        <v>2019</v>
      </c>
      <c r="B641" t="s">
        <v>37</v>
      </c>
      <c r="C641" t="s">
        <v>174</v>
      </c>
      <c r="D641" t="s">
        <v>175</v>
      </c>
      <c r="E641" t="s">
        <v>114</v>
      </c>
      <c r="F641" t="s">
        <v>119</v>
      </c>
      <c r="G641">
        <v>0</v>
      </c>
    </row>
    <row r="642" spans="1:7" x14ac:dyDescent="0.35">
      <c r="A642">
        <v>2019</v>
      </c>
      <c r="B642" t="s">
        <v>55</v>
      </c>
      <c r="C642" t="s">
        <v>174</v>
      </c>
      <c r="D642" t="s">
        <v>175</v>
      </c>
      <c r="E642" t="s">
        <v>112</v>
      </c>
      <c r="F642" t="s">
        <v>119</v>
      </c>
      <c r="G642">
        <v>0</v>
      </c>
    </row>
    <row r="643" spans="1:7" x14ac:dyDescent="0.35">
      <c r="A643">
        <v>2019</v>
      </c>
      <c r="B643" t="s">
        <v>55</v>
      </c>
      <c r="C643" t="s">
        <v>174</v>
      </c>
      <c r="D643" t="s">
        <v>175</v>
      </c>
      <c r="E643" t="s">
        <v>91</v>
      </c>
      <c r="F643" t="s">
        <v>119</v>
      </c>
      <c r="G643">
        <v>0</v>
      </c>
    </row>
    <row r="644" spans="1:7" x14ac:dyDescent="0.35">
      <c r="A644">
        <v>2019</v>
      </c>
      <c r="B644" t="s">
        <v>55</v>
      </c>
      <c r="C644" t="s">
        <v>174</v>
      </c>
      <c r="D644" t="s">
        <v>175</v>
      </c>
      <c r="E644" t="s">
        <v>113</v>
      </c>
      <c r="F644" t="s">
        <v>119</v>
      </c>
      <c r="G644">
        <v>0</v>
      </c>
    </row>
    <row r="645" spans="1:7" x14ac:dyDescent="0.35">
      <c r="A645">
        <v>2019</v>
      </c>
      <c r="B645" t="s">
        <v>55</v>
      </c>
      <c r="C645" t="s">
        <v>174</v>
      </c>
      <c r="D645" t="s">
        <v>175</v>
      </c>
      <c r="E645" t="s">
        <v>114</v>
      </c>
      <c r="F645" t="s">
        <v>119</v>
      </c>
      <c r="G645">
        <v>0</v>
      </c>
    </row>
    <row r="646" spans="1:7" x14ac:dyDescent="0.35">
      <c r="A646">
        <v>2019</v>
      </c>
      <c r="B646" t="s">
        <v>38</v>
      </c>
      <c r="C646" t="s">
        <v>174</v>
      </c>
      <c r="D646" t="s">
        <v>175</v>
      </c>
      <c r="E646" t="s">
        <v>112</v>
      </c>
      <c r="F646" t="s">
        <v>119</v>
      </c>
      <c r="G646">
        <v>0</v>
      </c>
    </row>
    <row r="647" spans="1:7" x14ac:dyDescent="0.35">
      <c r="A647">
        <v>2019</v>
      </c>
      <c r="B647" t="s">
        <v>38</v>
      </c>
      <c r="C647" t="s">
        <v>174</v>
      </c>
      <c r="D647" t="s">
        <v>175</v>
      </c>
      <c r="E647" t="s">
        <v>91</v>
      </c>
      <c r="F647" t="s">
        <v>119</v>
      </c>
      <c r="G647">
        <v>0</v>
      </c>
    </row>
    <row r="648" spans="1:7" x14ac:dyDescent="0.35">
      <c r="A648">
        <v>2019</v>
      </c>
      <c r="B648" t="s">
        <v>38</v>
      </c>
      <c r="C648" t="s">
        <v>174</v>
      </c>
      <c r="D648" t="s">
        <v>175</v>
      </c>
      <c r="E648" t="s">
        <v>113</v>
      </c>
      <c r="F648" t="s">
        <v>119</v>
      </c>
      <c r="G648">
        <v>0</v>
      </c>
    </row>
    <row r="649" spans="1:7" x14ac:dyDescent="0.35">
      <c r="A649">
        <v>2019</v>
      </c>
      <c r="B649" t="s">
        <v>38</v>
      </c>
      <c r="C649" t="s">
        <v>174</v>
      </c>
      <c r="D649" t="s">
        <v>175</v>
      </c>
      <c r="E649" t="s">
        <v>114</v>
      </c>
      <c r="F649" t="s">
        <v>119</v>
      </c>
      <c r="G649">
        <v>0</v>
      </c>
    </row>
    <row r="650" spans="1:7" x14ac:dyDescent="0.35">
      <c r="A650">
        <v>2019</v>
      </c>
      <c r="B650" t="s">
        <v>39</v>
      </c>
      <c r="C650" t="s">
        <v>174</v>
      </c>
      <c r="D650" t="s">
        <v>175</v>
      </c>
      <c r="E650" t="s">
        <v>112</v>
      </c>
      <c r="F650" t="s">
        <v>119</v>
      </c>
      <c r="G650">
        <v>1</v>
      </c>
    </row>
    <row r="651" spans="1:7" x14ac:dyDescent="0.35">
      <c r="A651">
        <v>2019</v>
      </c>
      <c r="B651" t="s">
        <v>39</v>
      </c>
      <c r="C651" t="s">
        <v>174</v>
      </c>
      <c r="D651" t="s">
        <v>175</v>
      </c>
      <c r="E651" t="s">
        <v>91</v>
      </c>
      <c r="F651" t="s">
        <v>119</v>
      </c>
      <c r="G651">
        <v>1</v>
      </c>
    </row>
    <row r="652" spans="1:7" x14ac:dyDescent="0.35">
      <c r="A652">
        <v>2019</v>
      </c>
      <c r="B652" t="s">
        <v>39</v>
      </c>
      <c r="C652" t="s">
        <v>174</v>
      </c>
      <c r="D652" t="s">
        <v>175</v>
      </c>
      <c r="E652" t="s">
        <v>113</v>
      </c>
      <c r="F652" t="s">
        <v>119</v>
      </c>
      <c r="G652">
        <v>2</v>
      </c>
    </row>
    <row r="653" spans="1:7" x14ac:dyDescent="0.35">
      <c r="A653">
        <v>2019</v>
      </c>
      <c r="B653" t="s">
        <v>39</v>
      </c>
      <c r="C653" t="s">
        <v>174</v>
      </c>
      <c r="D653" t="s">
        <v>175</v>
      </c>
      <c r="E653" t="s">
        <v>114</v>
      </c>
      <c r="F653" t="s">
        <v>119</v>
      </c>
      <c r="G653">
        <v>0</v>
      </c>
    </row>
    <row r="654" spans="1:7" x14ac:dyDescent="0.35">
      <c r="A654">
        <v>2019</v>
      </c>
      <c r="B654" t="s">
        <v>40</v>
      </c>
      <c r="C654" t="s">
        <v>174</v>
      </c>
      <c r="D654" t="s">
        <v>175</v>
      </c>
      <c r="E654" t="s">
        <v>112</v>
      </c>
      <c r="F654" t="s">
        <v>119</v>
      </c>
      <c r="G654">
        <v>0</v>
      </c>
    </row>
    <row r="655" spans="1:7" x14ac:dyDescent="0.35">
      <c r="A655">
        <v>2019</v>
      </c>
      <c r="B655" t="s">
        <v>40</v>
      </c>
      <c r="C655" t="s">
        <v>174</v>
      </c>
      <c r="D655" t="s">
        <v>175</v>
      </c>
      <c r="E655" t="s">
        <v>91</v>
      </c>
      <c r="F655" t="s">
        <v>119</v>
      </c>
      <c r="G655">
        <v>0</v>
      </c>
    </row>
    <row r="656" spans="1:7" x14ac:dyDescent="0.35">
      <c r="A656">
        <v>2019</v>
      </c>
      <c r="B656" t="s">
        <v>40</v>
      </c>
      <c r="C656" t="s">
        <v>174</v>
      </c>
      <c r="D656" t="s">
        <v>175</v>
      </c>
      <c r="E656" t="s">
        <v>113</v>
      </c>
      <c r="F656" t="s">
        <v>119</v>
      </c>
      <c r="G656">
        <v>0</v>
      </c>
    </row>
    <row r="657" spans="1:7" x14ac:dyDescent="0.35">
      <c r="A657">
        <v>2019</v>
      </c>
      <c r="B657" t="s">
        <v>40</v>
      </c>
      <c r="C657" t="s">
        <v>174</v>
      </c>
      <c r="D657" t="s">
        <v>175</v>
      </c>
      <c r="E657" t="s">
        <v>114</v>
      </c>
      <c r="F657" t="s">
        <v>119</v>
      </c>
      <c r="G657">
        <v>0</v>
      </c>
    </row>
    <row r="658" spans="1:7" x14ac:dyDescent="0.35">
      <c r="A658">
        <v>2019</v>
      </c>
      <c r="B658" t="s">
        <v>41</v>
      </c>
      <c r="C658" t="s">
        <v>174</v>
      </c>
      <c r="D658" t="s">
        <v>175</v>
      </c>
      <c r="E658" t="s">
        <v>112</v>
      </c>
      <c r="F658" t="s">
        <v>119</v>
      </c>
      <c r="G658">
        <v>0</v>
      </c>
    </row>
    <row r="659" spans="1:7" x14ac:dyDescent="0.35">
      <c r="A659">
        <v>2019</v>
      </c>
      <c r="B659" t="s">
        <v>41</v>
      </c>
      <c r="C659" t="s">
        <v>174</v>
      </c>
      <c r="D659" t="s">
        <v>175</v>
      </c>
      <c r="E659" t="s">
        <v>91</v>
      </c>
      <c r="F659" t="s">
        <v>119</v>
      </c>
      <c r="G659">
        <v>0</v>
      </c>
    </row>
    <row r="660" spans="1:7" x14ac:dyDescent="0.35">
      <c r="A660">
        <v>2019</v>
      </c>
      <c r="B660" t="s">
        <v>41</v>
      </c>
      <c r="C660" t="s">
        <v>174</v>
      </c>
      <c r="D660" t="s">
        <v>175</v>
      </c>
      <c r="E660" t="s">
        <v>113</v>
      </c>
      <c r="F660" t="s">
        <v>119</v>
      </c>
      <c r="G660">
        <v>0</v>
      </c>
    </row>
    <row r="661" spans="1:7" x14ac:dyDescent="0.35">
      <c r="A661">
        <v>2019</v>
      </c>
      <c r="B661" t="s">
        <v>41</v>
      </c>
      <c r="C661" t="s">
        <v>174</v>
      </c>
      <c r="D661" t="s">
        <v>175</v>
      </c>
      <c r="E661" t="s">
        <v>114</v>
      </c>
      <c r="F661" t="s">
        <v>119</v>
      </c>
      <c r="G661">
        <v>0</v>
      </c>
    </row>
    <row r="662" spans="1:7" x14ac:dyDescent="0.35">
      <c r="A662">
        <v>2019</v>
      </c>
      <c r="B662" t="s">
        <v>58</v>
      </c>
      <c r="C662" t="s">
        <v>174</v>
      </c>
      <c r="D662" t="s">
        <v>175</v>
      </c>
      <c r="E662" t="s">
        <v>112</v>
      </c>
      <c r="F662" t="s">
        <v>119</v>
      </c>
      <c r="G662">
        <v>0</v>
      </c>
    </row>
    <row r="663" spans="1:7" x14ac:dyDescent="0.35">
      <c r="A663">
        <v>2019</v>
      </c>
      <c r="B663" t="s">
        <v>58</v>
      </c>
      <c r="C663" t="s">
        <v>174</v>
      </c>
      <c r="D663" t="s">
        <v>175</v>
      </c>
      <c r="E663" t="s">
        <v>91</v>
      </c>
      <c r="F663" t="s">
        <v>119</v>
      </c>
      <c r="G663">
        <v>0</v>
      </c>
    </row>
    <row r="664" spans="1:7" x14ac:dyDescent="0.35">
      <c r="A664">
        <v>2019</v>
      </c>
      <c r="B664" t="s">
        <v>58</v>
      </c>
      <c r="C664" t="s">
        <v>174</v>
      </c>
      <c r="D664" t="s">
        <v>175</v>
      </c>
      <c r="E664" t="s">
        <v>113</v>
      </c>
      <c r="F664" t="s">
        <v>119</v>
      </c>
      <c r="G664">
        <v>0</v>
      </c>
    </row>
    <row r="665" spans="1:7" x14ac:dyDescent="0.35">
      <c r="A665">
        <v>2019</v>
      </c>
      <c r="B665" t="s">
        <v>58</v>
      </c>
      <c r="C665" t="s">
        <v>174</v>
      </c>
      <c r="D665" t="s">
        <v>175</v>
      </c>
      <c r="E665" t="s">
        <v>114</v>
      </c>
      <c r="F665" t="s">
        <v>119</v>
      </c>
      <c r="G665">
        <v>0</v>
      </c>
    </row>
    <row r="666" spans="1:7" x14ac:dyDescent="0.35">
      <c r="A666">
        <v>2019</v>
      </c>
      <c r="B666" t="s">
        <v>42</v>
      </c>
      <c r="C666" t="s">
        <v>174</v>
      </c>
      <c r="D666" t="s">
        <v>175</v>
      </c>
      <c r="E666" t="s">
        <v>112</v>
      </c>
      <c r="F666" t="s">
        <v>119</v>
      </c>
      <c r="G666">
        <v>0</v>
      </c>
    </row>
    <row r="667" spans="1:7" x14ac:dyDescent="0.35">
      <c r="A667">
        <v>2019</v>
      </c>
      <c r="B667" t="s">
        <v>42</v>
      </c>
      <c r="C667" t="s">
        <v>174</v>
      </c>
      <c r="D667" t="s">
        <v>175</v>
      </c>
      <c r="E667" t="s">
        <v>91</v>
      </c>
      <c r="F667" t="s">
        <v>119</v>
      </c>
      <c r="G667">
        <v>0</v>
      </c>
    </row>
    <row r="668" spans="1:7" x14ac:dyDescent="0.35">
      <c r="A668">
        <v>2019</v>
      </c>
      <c r="B668" t="s">
        <v>42</v>
      </c>
      <c r="C668" t="s">
        <v>174</v>
      </c>
      <c r="D668" t="s">
        <v>175</v>
      </c>
      <c r="E668" t="s">
        <v>113</v>
      </c>
      <c r="F668" t="s">
        <v>119</v>
      </c>
      <c r="G668">
        <v>0</v>
      </c>
    </row>
    <row r="669" spans="1:7" x14ac:dyDescent="0.35">
      <c r="A669">
        <v>2019</v>
      </c>
      <c r="B669" t="s">
        <v>42</v>
      </c>
      <c r="C669" t="s">
        <v>174</v>
      </c>
      <c r="D669" t="s">
        <v>175</v>
      </c>
      <c r="E669" t="s">
        <v>114</v>
      </c>
      <c r="F669" t="s">
        <v>119</v>
      </c>
      <c r="G669">
        <v>0</v>
      </c>
    </row>
    <row r="670" spans="1:7" x14ac:dyDescent="0.35">
      <c r="A670">
        <v>2019</v>
      </c>
      <c r="B670" t="s">
        <v>44</v>
      </c>
      <c r="C670" t="s">
        <v>174</v>
      </c>
      <c r="D670" t="s">
        <v>175</v>
      </c>
      <c r="E670" t="s">
        <v>112</v>
      </c>
      <c r="F670" t="s">
        <v>119</v>
      </c>
      <c r="G670">
        <v>0</v>
      </c>
    </row>
    <row r="671" spans="1:7" x14ac:dyDescent="0.35">
      <c r="A671">
        <v>2019</v>
      </c>
      <c r="B671" t="s">
        <v>44</v>
      </c>
      <c r="C671" t="s">
        <v>174</v>
      </c>
      <c r="D671" t="s">
        <v>175</v>
      </c>
      <c r="E671" t="s">
        <v>91</v>
      </c>
      <c r="F671" t="s">
        <v>119</v>
      </c>
      <c r="G671">
        <v>0</v>
      </c>
    </row>
    <row r="672" spans="1:7" x14ac:dyDescent="0.35">
      <c r="A672">
        <v>2019</v>
      </c>
      <c r="B672" t="s">
        <v>44</v>
      </c>
      <c r="C672" t="s">
        <v>174</v>
      </c>
      <c r="D672" t="s">
        <v>175</v>
      </c>
      <c r="E672" t="s">
        <v>113</v>
      </c>
      <c r="F672" t="s">
        <v>119</v>
      </c>
      <c r="G672">
        <v>0</v>
      </c>
    </row>
    <row r="673" spans="1:7" x14ac:dyDescent="0.35">
      <c r="A673">
        <v>2019</v>
      </c>
      <c r="B673" t="s">
        <v>44</v>
      </c>
      <c r="C673" t="s">
        <v>174</v>
      </c>
      <c r="D673" t="s">
        <v>175</v>
      </c>
      <c r="E673" t="s">
        <v>114</v>
      </c>
      <c r="F673" t="s">
        <v>119</v>
      </c>
      <c r="G673">
        <v>0</v>
      </c>
    </row>
    <row r="674" spans="1:7" x14ac:dyDescent="0.35">
      <c r="A674">
        <v>2019</v>
      </c>
      <c r="B674" t="s">
        <v>45</v>
      </c>
      <c r="C674" t="s">
        <v>174</v>
      </c>
      <c r="D674" t="s">
        <v>175</v>
      </c>
      <c r="E674" t="s">
        <v>112</v>
      </c>
      <c r="F674" t="s">
        <v>119</v>
      </c>
      <c r="G674">
        <v>0</v>
      </c>
    </row>
    <row r="675" spans="1:7" x14ac:dyDescent="0.35">
      <c r="A675">
        <v>2019</v>
      </c>
      <c r="B675" t="s">
        <v>45</v>
      </c>
      <c r="C675" t="s">
        <v>174</v>
      </c>
      <c r="D675" t="s">
        <v>175</v>
      </c>
      <c r="E675" t="s">
        <v>91</v>
      </c>
      <c r="F675" t="s">
        <v>119</v>
      </c>
      <c r="G675">
        <v>0</v>
      </c>
    </row>
    <row r="676" spans="1:7" x14ac:dyDescent="0.35">
      <c r="A676">
        <v>2019</v>
      </c>
      <c r="B676" t="s">
        <v>45</v>
      </c>
      <c r="C676" t="s">
        <v>174</v>
      </c>
      <c r="D676" t="s">
        <v>175</v>
      </c>
      <c r="E676" t="s">
        <v>113</v>
      </c>
      <c r="F676" t="s">
        <v>119</v>
      </c>
      <c r="G676">
        <v>0</v>
      </c>
    </row>
    <row r="677" spans="1:7" x14ac:dyDescent="0.35">
      <c r="A677">
        <v>2019</v>
      </c>
      <c r="B677" t="s">
        <v>45</v>
      </c>
      <c r="C677" t="s">
        <v>174</v>
      </c>
      <c r="D677" t="s">
        <v>175</v>
      </c>
      <c r="E677" t="s">
        <v>114</v>
      </c>
      <c r="F677" t="s">
        <v>119</v>
      </c>
      <c r="G677">
        <v>0</v>
      </c>
    </row>
    <row r="678" spans="1:7" x14ac:dyDescent="0.35">
      <c r="A678">
        <v>2019</v>
      </c>
      <c r="B678" t="s">
        <v>46</v>
      </c>
      <c r="C678" t="s">
        <v>174</v>
      </c>
      <c r="D678" t="s">
        <v>175</v>
      </c>
      <c r="E678" t="s">
        <v>112</v>
      </c>
      <c r="F678" t="s">
        <v>119</v>
      </c>
      <c r="G678">
        <v>0</v>
      </c>
    </row>
    <row r="679" spans="1:7" x14ac:dyDescent="0.35">
      <c r="A679">
        <v>2019</v>
      </c>
      <c r="B679" t="s">
        <v>46</v>
      </c>
      <c r="C679" t="s">
        <v>174</v>
      </c>
      <c r="D679" t="s">
        <v>175</v>
      </c>
      <c r="E679" t="s">
        <v>91</v>
      </c>
      <c r="F679" t="s">
        <v>119</v>
      </c>
      <c r="G679">
        <v>0</v>
      </c>
    </row>
    <row r="680" spans="1:7" x14ac:dyDescent="0.35">
      <c r="A680">
        <v>2019</v>
      </c>
      <c r="B680" t="s">
        <v>46</v>
      </c>
      <c r="C680" t="s">
        <v>174</v>
      </c>
      <c r="D680" t="s">
        <v>175</v>
      </c>
      <c r="E680" t="s">
        <v>113</v>
      </c>
      <c r="F680" t="s">
        <v>119</v>
      </c>
      <c r="G680">
        <v>0</v>
      </c>
    </row>
    <row r="681" spans="1:7" x14ac:dyDescent="0.35">
      <c r="A681">
        <v>2019</v>
      </c>
      <c r="B681" t="s">
        <v>46</v>
      </c>
      <c r="C681" t="s">
        <v>174</v>
      </c>
      <c r="D681" t="s">
        <v>175</v>
      </c>
      <c r="E681" t="s">
        <v>114</v>
      </c>
      <c r="F681" t="s">
        <v>119</v>
      </c>
      <c r="G681">
        <v>0</v>
      </c>
    </row>
    <row r="682" spans="1:7" x14ac:dyDescent="0.35">
      <c r="A682">
        <v>2019</v>
      </c>
      <c r="B682" t="s">
        <v>47</v>
      </c>
      <c r="C682" t="s">
        <v>174</v>
      </c>
      <c r="D682" t="s">
        <v>175</v>
      </c>
      <c r="E682" t="s">
        <v>112</v>
      </c>
      <c r="F682" t="s">
        <v>119</v>
      </c>
      <c r="G682">
        <v>0</v>
      </c>
    </row>
    <row r="683" spans="1:7" x14ac:dyDescent="0.35">
      <c r="A683">
        <v>2019</v>
      </c>
      <c r="B683" t="s">
        <v>47</v>
      </c>
      <c r="C683" t="s">
        <v>174</v>
      </c>
      <c r="D683" t="s">
        <v>175</v>
      </c>
      <c r="E683" t="s">
        <v>91</v>
      </c>
      <c r="F683" t="s">
        <v>119</v>
      </c>
      <c r="G683">
        <v>1</v>
      </c>
    </row>
    <row r="684" spans="1:7" x14ac:dyDescent="0.35">
      <c r="A684">
        <v>2019</v>
      </c>
      <c r="B684" t="s">
        <v>47</v>
      </c>
      <c r="C684" t="s">
        <v>174</v>
      </c>
      <c r="D684" t="s">
        <v>175</v>
      </c>
      <c r="E684" t="s">
        <v>113</v>
      </c>
      <c r="F684" t="s">
        <v>119</v>
      </c>
      <c r="G684">
        <v>0</v>
      </c>
    </row>
    <row r="685" spans="1:7" x14ac:dyDescent="0.35">
      <c r="A685">
        <v>2019</v>
      </c>
      <c r="B685" t="s">
        <v>47</v>
      </c>
      <c r="C685" t="s">
        <v>174</v>
      </c>
      <c r="D685" t="s">
        <v>175</v>
      </c>
      <c r="E685" t="s">
        <v>114</v>
      </c>
      <c r="F685" t="s">
        <v>119</v>
      </c>
      <c r="G685">
        <v>0</v>
      </c>
    </row>
    <row r="686" spans="1:7" x14ac:dyDescent="0.35">
      <c r="A686">
        <v>2019</v>
      </c>
      <c r="B686" t="s">
        <v>48</v>
      </c>
      <c r="C686" t="s">
        <v>174</v>
      </c>
      <c r="D686" t="s">
        <v>175</v>
      </c>
      <c r="E686" t="s">
        <v>112</v>
      </c>
      <c r="F686" t="s">
        <v>119</v>
      </c>
      <c r="G686">
        <v>0</v>
      </c>
    </row>
    <row r="687" spans="1:7" x14ac:dyDescent="0.35">
      <c r="A687">
        <v>2019</v>
      </c>
      <c r="B687" t="s">
        <v>48</v>
      </c>
      <c r="C687" t="s">
        <v>174</v>
      </c>
      <c r="D687" t="s">
        <v>175</v>
      </c>
      <c r="E687" t="s">
        <v>91</v>
      </c>
      <c r="F687" t="s">
        <v>119</v>
      </c>
      <c r="G687">
        <v>0</v>
      </c>
    </row>
    <row r="688" spans="1:7" x14ac:dyDescent="0.35">
      <c r="A688">
        <v>2019</v>
      </c>
      <c r="B688" t="s">
        <v>48</v>
      </c>
      <c r="C688" t="s">
        <v>174</v>
      </c>
      <c r="D688" t="s">
        <v>175</v>
      </c>
      <c r="E688" t="s">
        <v>113</v>
      </c>
      <c r="F688" t="s">
        <v>119</v>
      </c>
      <c r="G688">
        <v>0</v>
      </c>
    </row>
    <row r="689" spans="1:7" x14ac:dyDescent="0.35">
      <c r="A689">
        <v>2019</v>
      </c>
      <c r="B689" t="s">
        <v>48</v>
      </c>
      <c r="C689" t="s">
        <v>174</v>
      </c>
      <c r="D689" t="s">
        <v>175</v>
      </c>
      <c r="E689" t="s">
        <v>114</v>
      </c>
      <c r="F689" t="s">
        <v>119</v>
      </c>
      <c r="G689">
        <v>0</v>
      </c>
    </row>
    <row r="690" spans="1:7" x14ac:dyDescent="0.35">
      <c r="A690">
        <v>2019</v>
      </c>
      <c r="B690" t="s">
        <v>49</v>
      </c>
      <c r="C690" t="s">
        <v>174</v>
      </c>
      <c r="D690" t="s">
        <v>175</v>
      </c>
      <c r="E690" t="s">
        <v>112</v>
      </c>
      <c r="F690" t="s">
        <v>119</v>
      </c>
      <c r="G690">
        <v>0</v>
      </c>
    </row>
    <row r="691" spans="1:7" x14ac:dyDescent="0.35">
      <c r="A691">
        <v>2019</v>
      </c>
      <c r="B691" t="s">
        <v>49</v>
      </c>
      <c r="C691" t="s">
        <v>174</v>
      </c>
      <c r="D691" t="s">
        <v>175</v>
      </c>
      <c r="E691" t="s">
        <v>91</v>
      </c>
      <c r="F691" t="s">
        <v>119</v>
      </c>
      <c r="G691">
        <v>0</v>
      </c>
    </row>
    <row r="692" spans="1:7" x14ac:dyDescent="0.35">
      <c r="A692">
        <v>2019</v>
      </c>
      <c r="B692" t="s">
        <v>49</v>
      </c>
      <c r="C692" t="s">
        <v>174</v>
      </c>
      <c r="D692" t="s">
        <v>175</v>
      </c>
      <c r="E692" t="s">
        <v>113</v>
      </c>
      <c r="F692" t="s">
        <v>119</v>
      </c>
      <c r="G692">
        <v>0</v>
      </c>
    </row>
    <row r="693" spans="1:7" x14ac:dyDescent="0.35">
      <c r="A693">
        <v>2019</v>
      </c>
      <c r="B693" t="s">
        <v>49</v>
      </c>
      <c r="C693" t="s">
        <v>174</v>
      </c>
      <c r="D693" t="s">
        <v>175</v>
      </c>
      <c r="E693" t="s">
        <v>114</v>
      </c>
      <c r="F693" t="s">
        <v>119</v>
      </c>
      <c r="G693">
        <v>0</v>
      </c>
    </row>
    <row r="694" spans="1:7" x14ac:dyDescent="0.35">
      <c r="A694">
        <v>2019</v>
      </c>
      <c r="B694" t="s">
        <v>59</v>
      </c>
      <c r="C694" t="s">
        <v>174</v>
      </c>
      <c r="D694" t="s">
        <v>175</v>
      </c>
      <c r="E694" t="s">
        <v>112</v>
      </c>
      <c r="F694" t="s">
        <v>119</v>
      </c>
      <c r="G694">
        <v>0</v>
      </c>
    </row>
    <row r="695" spans="1:7" x14ac:dyDescent="0.35">
      <c r="A695">
        <v>2019</v>
      </c>
      <c r="B695" t="s">
        <v>59</v>
      </c>
      <c r="C695" t="s">
        <v>174</v>
      </c>
      <c r="D695" t="s">
        <v>175</v>
      </c>
      <c r="E695" t="s">
        <v>91</v>
      </c>
      <c r="F695" t="s">
        <v>119</v>
      </c>
      <c r="G695">
        <v>0</v>
      </c>
    </row>
    <row r="696" spans="1:7" x14ac:dyDescent="0.35">
      <c r="A696">
        <v>2019</v>
      </c>
      <c r="B696" t="s">
        <v>59</v>
      </c>
      <c r="C696" t="s">
        <v>174</v>
      </c>
      <c r="D696" t="s">
        <v>175</v>
      </c>
      <c r="E696" t="s">
        <v>113</v>
      </c>
      <c r="F696" t="s">
        <v>119</v>
      </c>
      <c r="G696">
        <v>0</v>
      </c>
    </row>
    <row r="697" spans="1:7" x14ac:dyDescent="0.35">
      <c r="A697">
        <v>2019</v>
      </c>
      <c r="B697" t="s">
        <v>59</v>
      </c>
      <c r="C697" t="s">
        <v>174</v>
      </c>
      <c r="D697" t="s">
        <v>175</v>
      </c>
      <c r="E697" t="s">
        <v>114</v>
      </c>
      <c r="F697" t="s">
        <v>119</v>
      </c>
      <c r="G697">
        <v>0</v>
      </c>
    </row>
    <row r="698" spans="1:7" x14ac:dyDescent="0.35">
      <c r="A698">
        <v>2019</v>
      </c>
      <c r="B698" t="s">
        <v>50</v>
      </c>
      <c r="C698" t="s">
        <v>174</v>
      </c>
      <c r="D698" t="s">
        <v>175</v>
      </c>
      <c r="E698" t="s">
        <v>112</v>
      </c>
      <c r="F698" t="s">
        <v>119</v>
      </c>
      <c r="G698">
        <v>0</v>
      </c>
    </row>
    <row r="699" spans="1:7" x14ac:dyDescent="0.35">
      <c r="A699">
        <v>2019</v>
      </c>
      <c r="B699" t="s">
        <v>50</v>
      </c>
      <c r="C699" t="s">
        <v>174</v>
      </c>
      <c r="D699" t="s">
        <v>175</v>
      </c>
      <c r="E699" t="s">
        <v>91</v>
      </c>
      <c r="F699" t="s">
        <v>119</v>
      </c>
      <c r="G699">
        <v>0</v>
      </c>
    </row>
    <row r="700" spans="1:7" x14ac:dyDescent="0.35">
      <c r="A700">
        <v>2019</v>
      </c>
      <c r="B700" t="s">
        <v>50</v>
      </c>
      <c r="C700" t="s">
        <v>174</v>
      </c>
      <c r="D700" t="s">
        <v>175</v>
      </c>
      <c r="E700" t="s">
        <v>113</v>
      </c>
      <c r="F700" t="s">
        <v>119</v>
      </c>
      <c r="G700">
        <v>0</v>
      </c>
    </row>
    <row r="701" spans="1:7" x14ac:dyDescent="0.35">
      <c r="A701">
        <v>2019</v>
      </c>
      <c r="B701" t="s">
        <v>50</v>
      </c>
      <c r="C701" t="s">
        <v>174</v>
      </c>
      <c r="D701" t="s">
        <v>175</v>
      </c>
      <c r="E701" t="s">
        <v>114</v>
      </c>
      <c r="F701" t="s">
        <v>119</v>
      </c>
      <c r="G701">
        <v>0</v>
      </c>
    </row>
    <row r="702" spans="1:7" x14ac:dyDescent="0.35">
      <c r="A702">
        <v>2019</v>
      </c>
      <c r="B702" t="s">
        <v>51</v>
      </c>
      <c r="C702" t="s">
        <v>174</v>
      </c>
      <c r="D702" t="s">
        <v>175</v>
      </c>
      <c r="E702" t="s">
        <v>112</v>
      </c>
      <c r="F702" t="s">
        <v>119</v>
      </c>
      <c r="G702">
        <v>0</v>
      </c>
    </row>
    <row r="703" spans="1:7" x14ac:dyDescent="0.35">
      <c r="A703">
        <v>2019</v>
      </c>
      <c r="B703" t="s">
        <v>51</v>
      </c>
      <c r="C703" t="s">
        <v>174</v>
      </c>
      <c r="D703" t="s">
        <v>175</v>
      </c>
      <c r="E703" t="s">
        <v>91</v>
      </c>
      <c r="F703" t="s">
        <v>119</v>
      </c>
      <c r="G703">
        <v>0</v>
      </c>
    </row>
    <row r="704" spans="1:7" x14ac:dyDescent="0.35">
      <c r="A704">
        <v>2019</v>
      </c>
      <c r="B704" t="s">
        <v>51</v>
      </c>
      <c r="C704" t="s">
        <v>174</v>
      </c>
      <c r="D704" t="s">
        <v>175</v>
      </c>
      <c r="E704" t="s">
        <v>113</v>
      </c>
      <c r="F704" t="s">
        <v>119</v>
      </c>
      <c r="G704">
        <v>0</v>
      </c>
    </row>
    <row r="705" spans="1:7" x14ac:dyDescent="0.35">
      <c r="A705">
        <v>2019</v>
      </c>
      <c r="B705" t="s">
        <v>51</v>
      </c>
      <c r="C705" t="s">
        <v>174</v>
      </c>
      <c r="D705" t="s">
        <v>175</v>
      </c>
      <c r="E705" t="s">
        <v>114</v>
      </c>
      <c r="F705" t="s">
        <v>119</v>
      </c>
      <c r="G705">
        <v>0</v>
      </c>
    </row>
    <row r="706" spans="1:7" x14ac:dyDescent="0.35">
      <c r="A706">
        <v>2019</v>
      </c>
      <c r="B706" t="s">
        <v>52</v>
      </c>
      <c r="C706" t="s">
        <v>174</v>
      </c>
      <c r="D706" t="s">
        <v>175</v>
      </c>
      <c r="E706" t="s">
        <v>112</v>
      </c>
      <c r="F706" t="s">
        <v>119</v>
      </c>
      <c r="G706">
        <v>0</v>
      </c>
    </row>
    <row r="707" spans="1:7" x14ac:dyDescent="0.35">
      <c r="A707">
        <v>2019</v>
      </c>
      <c r="B707" t="s">
        <v>52</v>
      </c>
      <c r="C707" t="s">
        <v>174</v>
      </c>
      <c r="D707" t="s">
        <v>175</v>
      </c>
      <c r="E707" t="s">
        <v>91</v>
      </c>
      <c r="F707" t="s">
        <v>119</v>
      </c>
      <c r="G707">
        <v>0</v>
      </c>
    </row>
    <row r="708" spans="1:7" x14ac:dyDescent="0.35">
      <c r="A708">
        <v>2019</v>
      </c>
      <c r="B708" t="s">
        <v>52</v>
      </c>
      <c r="C708" t="s">
        <v>174</v>
      </c>
      <c r="D708" t="s">
        <v>175</v>
      </c>
      <c r="E708" t="s">
        <v>113</v>
      </c>
      <c r="F708" t="s">
        <v>119</v>
      </c>
      <c r="G708">
        <v>0</v>
      </c>
    </row>
    <row r="709" spans="1:7" x14ac:dyDescent="0.35">
      <c r="A709">
        <v>2019</v>
      </c>
      <c r="B709" t="s">
        <v>52</v>
      </c>
      <c r="C709" t="s">
        <v>174</v>
      </c>
      <c r="D709" t="s">
        <v>175</v>
      </c>
      <c r="E709" t="s">
        <v>114</v>
      </c>
      <c r="F709" t="s">
        <v>119</v>
      </c>
      <c r="G709">
        <v>0</v>
      </c>
    </row>
    <row r="710" spans="1:7" x14ac:dyDescent="0.35">
      <c r="A710">
        <v>2019</v>
      </c>
      <c r="B710" t="s">
        <v>60</v>
      </c>
      <c r="C710" t="s">
        <v>174</v>
      </c>
      <c r="D710" t="s">
        <v>175</v>
      </c>
      <c r="E710" t="s">
        <v>112</v>
      </c>
      <c r="F710" t="s">
        <v>119</v>
      </c>
      <c r="G710">
        <v>0</v>
      </c>
    </row>
    <row r="711" spans="1:7" x14ac:dyDescent="0.35">
      <c r="A711">
        <v>2019</v>
      </c>
      <c r="B711" t="s">
        <v>60</v>
      </c>
      <c r="C711" t="s">
        <v>174</v>
      </c>
      <c r="D711" t="s">
        <v>175</v>
      </c>
      <c r="E711" t="s">
        <v>91</v>
      </c>
      <c r="F711" t="s">
        <v>119</v>
      </c>
      <c r="G711">
        <v>1</v>
      </c>
    </row>
    <row r="712" spans="1:7" x14ac:dyDescent="0.35">
      <c r="A712">
        <v>2019</v>
      </c>
      <c r="B712" t="s">
        <v>60</v>
      </c>
      <c r="C712" t="s">
        <v>174</v>
      </c>
      <c r="D712" t="s">
        <v>175</v>
      </c>
      <c r="E712" t="s">
        <v>113</v>
      </c>
      <c r="F712" t="s">
        <v>119</v>
      </c>
      <c r="G712">
        <v>0</v>
      </c>
    </row>
    <row r="713" spans="1:7" x14ac:dyDescent="0.35">
      <c r="A713">
        <v>2019</v>
      </c>
      <c r="B713" t="s">
        <v>60</v>
      </c>
      <c r="C713" t="s">
        <v>174</v>
      </c>
      <c r="D713" t="s">
        <v>175</v>
      </c>
      <c r="E713" t="s">
        <v>114</v>
      </c>
      <c r="F713" t="s">
        <v>119</v>
      </c>
      <c r="G713">
        <v>0</v>
      </c>
    </row>
    <row r="714" spans="1:7" x14ac:dyDescent="0.35">
      <c r="A714">
        <v>2019</v>
      </c>
      <c r="B714" t="s">
        <v>53</v>
      </c>
      <c r="C714" t="s">
        <v>174</v>
      </c>
      <c r="D714" t="s">
        <v>175</v>
      </c>
      <c r="E714" t="s">
        <v>112</v>
      </c>
      <c r="F714" t="s">
        <v>119</v>
      </c>
      <c r="G714">
        <v>0</v>
      </c>
    </row>
    <row r="715" spans="1:7" x14ac:dyDescent="0.35">
      <c r="A715">
        <v>2019</v>
      </c>
      <c r="B715" t="s">
        <v>53</v>
      </c>
      <c r="C715" t="s">
        <v>174</v>
      </c>
      <c r="D715" t="s">
        <v>175</v>
      </c>
      <c r="E715" t="s">
        <v>91</v>
      </c>
      <c r="F715" t="s">
        <v>119</v>
      </c>
      <c r="G715">
        <v>0</v>
      </c>
    </row>
    <row r="716" spans="1:7" x14ac:dyDescent="0.35">
      <c r="A716">
        <v>2019</v>
      </c>
      <c r="B716" t="s">
        <v>53</v>
      </c>
      <c r="C716" t="s">
        <v>174</v>
      </c>
      <c r="D716" t="s">
        <v>175</v>
      </c>
      <c r="E716" t="s">
        <v>113</v>
      </c>
      <c r="F716" t="s">
        <v>119</v>
      </c>
      <c r="G716">
        <v>1</v>
      </c>
    </row>
    <row r="717" spans="1:7" x14ac:dyDescent="0.35">
      <c r="A717">
        <v>2019</v>
      </c>
      <c r="B717" t="s">
        <v>53</v>
      </c>
      <c r="C717" t="s">
        <v>174</v>
      </c>
      <c r="D717" t="s">
        <v>175</v>
      </c>
      <c r="E717" t="s">
        <v>114</v>
      </c>
      <c r="F717" t="s">
        <v>119</v>
      </c>
      <c r="G717">
        <v>0</v>
      </c>
    </row>
    <row r="718" spans="1:7" x14ac:dyDescent="0.35">
      <c r="A718">
        <v>2019</v>
      </c>
      <c r="B718" t="s">
        <v>61</v>
      </c>
      <c r="C718" t="s">
        <v>174</v>
      </c>
      <c r="D718" t="s">
        <v>175</v>
      </c>
      <c r="E718" t="s">
        <v>112</v>
      </c>
      <c r="F718" t="s">
        <v>119</v>
      </c>
      <c r="G718">
        <v>0</v>
      </c>
    </row>
    <row r="719" spans="1:7" x14ac:dyDescent="0.35">
      <c r="A719">
        <v>2019</v>
      </c>
      <c r="B719" t="s">
        <v>61</v>
      </c>
      <c r="C719" t="s">
        <v>174</v>
      </c>
      <c r="D719" t="s">
        <v>175</v>
      </c>
      <c r="E719" t="s">
        <v>91</v>
      </c>
      <c r="F719" t="s">
        <v>119</v>
      </c>
      <c r="G719">
        <v>5</v>
      </c>
    </row>
    <row r="720" spans="1:7" x14ac:dyDescent="0.35">
      <c r="A720">
        <v>2019</v>
      </c>
      <c r="B720" t="s">
        <v>61</v>
      </c>
      <c r="C720" t="s">
        <v>174</v>
      </c>
      <c r="D720" t="s">
        <v>175</v>
      </c>
      <c r="E720" t="s">
        <v>113</v>
      </c>
      <c r="F720" t="s">
        <v>119</v>
      </c>
      <c r="G720">
        <v>3</v>
      </c>
    </row>
    <row r="721" spans="1:7" x14ac:dyDescent="0.35">
      <c r="A721">
        <v>2019</v>
      </c>
      <c r="B721" t="s">
        <v>61</v>
      </c>
      <c r="C721" t="s">
        <v>174</v>
      </c>
      <c r="D721" t="s">
        <v>175</v>
      </c>
      <c r="E721" t="s">
        <v>114</v>
      </c>
      <c r="F721" t="s">
        <v>119</v>
      </c>
      <c r="G721">
        <v>0</v>
      </c>
    </row>
    <row r="722" spans="1:7" x14ac:dyDescent="0.35">
      <c r="A722">
        <v>2019</v>
      </c>
      <c r="B722" t="s">
        <v>54</v>
      </c>
      <c r="C722" t="s">
        <v>174</v>
      </c>
      <c r="D722" t="s">
        <v>175</v>
      </c>
      <c r="E722" t="s">
        <v>112</v>
      </c>
      <c r="F722" t="s">
        <v>119</v>
      </c>
      <c r="G722">
        <v>0</v>
      </c>
    </row>
    <row r="723" spans="1:7" x14ac:dyDescent="0.35">
      <c r="A723">
        <v>2019</v>
      </c>
      <c r="B723" t="s">
        <v>54</v>
      </c>
      <c r="C723" t="s">
        <v>174</v>
      </c>
      <c r="D723" t="s">
        <v>175</v>
      </c>
      <c r="E723" t="s">
        <v>91</v>
      </c>
      <c r="F723" t="s">
        <v>119</v>
      </c>
      <c r="G723">
        <v>0</v>
      </c>
    </row>
    <row r="724" spans="1:7" x14ac:dyDescent="0.35">
      <c r="A724">
        <v>2019</v>
      </c>
      <c r="B724" t="s">
        <v>54</v>
      </c>
      <c r="C724" t="s">
        <v>174</v>
      </c>
      <c r="D724" t="s">
        <v>175</v>
      </c>
      <c r="E724" t="s">
        <v>113</v>
      </c>
      <c r="F724" t="s">
        <v>119</v>
      </c>
      <c r="G724">
        <v>0</v>
      </c>
    </row>
    <row r="725" spans="1:7" x14ac:dyDescent="0.35">
      <c r="A725">
        <v>2019</v>
      </c>
      <c r="B725" t="s">
        <v>54</v>
      </c>
      <c r="C725" t="s">
        <v>174</v>
      </c>
      <c r="D725" t="s">
        <v>175</v>
      </c>
      <c r="E725" t="s">
        <v>114</v>
      </c>
      <c r="F725" t="s">
        <v>119</v>
      </c>
      <c r="G725">
        <v>0</v>
      </c>
    </row>
    <row r="726" spans="1:7" x14ac:dyDescent="0.35">
      <c r="A726">
        <v>2019</v>
      </c>
      <c r="B726" t="s">
        <v>62</v>
      </c>
      <c r="C726" t="s">
        <v>174</v>
      </c>
      <c r="D726" t="s">
        <v>175</v>
      </c>
      <c r="E726" t="s">
        <v>112</v>
      </c>
      <c r="F726" t="s">
        <v>119</v>
      </c>
      <c r="G726">
        <v>0</v>
      </c>
    </row>
    <row r="727" spans="1:7" x14ac:dyDescent="0.35">
      <c r="A727">
        <v>2019</v>
      </c>
      <c r="B727" t="s">
        <v>62</v>
      </c>
      <c r="C727" t="s">
        <v>174</v>
      </c>
      <c r="D727" t="s">
        <v>175</v>
      </c>
      <c r="E727" t="s">
        <v>91</v>
      </c>
      <c r="F727" t="s">
        <v>119</v>
      </c>
      <c r="G727">
        <v>1</v>
      </c>
    </row>
    <row r="728" spans="1:7" x14ac:dyDescent="0.35">
      <c r="A728">
        <v>2019</v>
      </c>
      <c r="B728" t="s">
        <v>62</v>
      </c>
      <c r="C728" t="s">
        <v>174</v>
      </c>
      <c r="D728" t="s">
        <v>175</v>
      </c>
      <c r="E728" t="s">
        <v>113</v>
      </c>
      <c r="F728" t="s">
        <v>119</v>
      </c>
      <c r="G728">
        <v>6</v>
      </c>
    </row>
    <row r="729" spans="1:7" x14ac:dyDescent="0.35">
      <c r="A729">
        <v>2019</v>
      </c>
      <c r="B729" t="s">
        <v>62</v>
      </c>
      <c r="C729" t="s">
        <v>174</v>
      </c>
      <c r="D729" t="s">
        <v>175</v>
      </c>
      <c r="E729" t="s">
        <v>114</v>
      </c>
      <c r="F729" t="s">
        <v>119</v>
      </c>
      <c r="G729">
        <v>0</v>
      </c>
    </row>
    <row r="730" spans="1:7" x14ac:dyDescent="0.35">
      <c r="A730">
        <v>2019</v>
      </c>
      <c r="B730" t="s">
        <v>28</v>
      </c>
      <c r="C730" t="s">
        <v>174</v>
      </c>
      <c r="D730" t="s">
        <v>175</v>
      </c>
      <c r="E730" t="s">
        <v>112</v>
      </c>
      <c r="F730" t="s">
        <v>119</v>
      </c>
      <c r="G730">
        <v>0</v>
      </c>
    </row>
    <row r="731" spans="1:7" x14ac:dyDescent="0.35">
      <c r="A731">
        <v>2019</v>
      </c>
      <c r="B731" t="s">
        <v>28</v>
      </c>
      <c r="C731" t="s">
        <v>174</v>
      </c>
      <c r="D731" t="s">
        <v>175</v>
      </c>
      <c r="E731" t="s">
        <v>91</v>
      </c>
      <c r="F731" t="s">
        <v>119</v>
      </c>
      <c r="G731">
        <v>0</v>
      </c>
    </row>
    <row r="732" spans="1:7" x14ac:dyDescent="0.35">
      <c r="A732">
        <v>2019</v>
      </c>
      <c r="B732" t="s">
        <v>28</v>
      </c>
      <c r="C732" t="s">
        <v>174</v>
      </c>
      <c r="D732" t="s">
        <v>175</v>
      </c>
      <c r="E732" t="s">
        <v>113</v>
      </c>
      <c r="F732" t="s">
        <v>119</v>
      </c>
      <c r="G732">
        <v>0</v>
      </c>
    </row>
    <row r="733" spans="1:7" x14ac:dyDescent="0.35">
      <c r="A733">
        <v>2019</v>
      </c>
      <c r="B733" t="s">
        <v>28</v>
      </c>
      <c r="C733" t="s">
        <v>174</v>
      </c>
      <c r="D733" t="s">
        <v>175</v>
      </c>
      <c r="E733" t="s">
        <v>114</v>
      </c>
      <c r="F733" t="s">
        <v>119</v>
      </c>
      <c r="G733">
        <v>0</v>
      </c>
    </row>
    <row r="734" spans="1:7" x14ac:dyDescent="0.35">
      <c r="A734">
        <v>2019</v>
      </c>
      <c r="B734" t="s">
        <v>43</v>
      </c>
      <c r="C734" t="s">
        <v>174</v>
      </c>
      <c r="D734" t="s">
        <v>175</v>
      </c>
      <c r="E734" t="s">
        <v>112</v>
      </c>
      <c r="F734" t="s">
        <v>119</v>
      </c>
      <c r="G734">
        <v>0</v>
      </c>
    </row>
    <row r="735" spans="1:7" x14ac:dyDescent="0.35">
      <c r="A735">
        <v>2019</v>
      </c>
      <c r="B735" t="s">
        <v>43</v>
      </c>
      <c r="C735" t="s">
        <v>174</v>
      </c>
      <c r="D735" t="s">
        <v>175</v>
      </c>
      <c r="E735" t="s">
        <v>91</v>
      </c>
      <c r="F735" t="s">
        <v>119</v>
      </c>
      <c r="G735">
        <v>0</v>
      </c>
    </row>
    <row r="736" spans="1:7" x14ac:dyDescent="0.35">
      <c r="A736">
        <v>2019</v>
      </c>
      <c r="B736" t="s">
        <v>43</v>
      </c>
      <c r="C736" t="s">
        <v>174</v>
      </c>
      <c r="D736" t="s">
        <v>175</v>
      </c>
      <c r="E736" t="s">
        <v>113</v>
      </c>
      <c r="F736" t="s">
        <v>119</v>
      </c>
      <c r="G736">
        <v>0</v>
      </c>
    </row>
    <row r="737" spans="1:7" x14ac:dyDescent="0.35">
      <c r="A737">
        <v>2019</v>
      </c>
      <c r="B737" t="s">
        <v>43</v>
      </c>
      <c r="C737" t="s">
        <v>174</v>
      </c>
      <c r="D737" t="s">
        <v>175</v>
      </c>
      <c r="E737" t="s">
        <v>114</v>
      </c>
      <c r="F737" t="s">
        <v>119</v>
      </c>
      <c r="G737">
        <v>0</v>
      </c>
    </row>
    <row r="738" spans="1:7" x14ac:dyDescent="0.35">
      <c r="A738">
        <v>2019</v>
      </c>
      <c r="B738" t="s">
        <v>17</v>
      </c>
      <c r="C738" t="s">
        <v>174</v>
      </c>
      <c r="D738" t="s">
        <v>175</v>
      </c>
      <c r="E738" t="s">
        <v>112</v>
      </c>
      <c r="F738" t="s">
        <v>120</v>
      </c>
      <c r="G738">
        <v>0</v>
      </c>
    </row>
    <row r="739" spans="1:7" x14ac:dyDescent="0.35">
      <c r="A739">
        <v>2019</v>
      </c>
      <c r="B739" t="s">
        <v>17</v>
      </c>
      <c r="C739" t="s">
        <v>174</v>
      </c>
      <c r="D739" t="s">
        <v>175</v>
      </c>
      <c r="E739" t="s">
        <v>91</v>
      </c>
      <c r="F739" t="s">
        <v>120</v>
      </c>
      <c r="G739">
        <v>1</v>
      </c>
    </row>
    <row r="740" spans="1:7" x14ac:dyDescent="0.35">
      <c r="A740">
        <v>2019</v>
      </c>
      <c r="B740" t="s">
        <v>17</v>
      </c>
      <c r="C740" t="s">
        <v>174</v>
      </c>
      <c r="D740" t="s">
        <v>175</v>
      </c>
      <c r="E740" t="s">
        <v>113</v>
      </c>
      <c r="F740" t="s">
        <v>120</v>
      </c>
      <c r="G740">
        <v>0</v>
      </c>
    </row>
    <row r="741" spans="1:7" x14ac:dyDescent="0.35">
      <c r="A741">
        <v>2019</v>
      </c>
      <c r="B741" t="s">
        <v>17</v>
      </c>
      <c r="C741" t="s">
        <v>174</v>
      </c>
      <c r="D741" t="s">
        <v>175</v>
      </c>
      <c r="E741" t="s">
        <v>114</v>
      </c>
      <c r="F741" t="s">
        <v>120</v>
      </c>
      <c r="G741">
        <v>0</v>
      </c>
    </row>
    <row r="742" spans="1:7" x14ac:dyDescent="0.35">
      <c r="A742">
        <v>2019</v>
      </c>
      <c r="B742" t="s">
        <v>18</v>
      </c>
      <c r="C742" t="s">
        <v>174</v>
      </c>
      <c r="D742" t="s">
        <v>175</v>
      </c>
      <c r="E742" t="s">
        <v>112</v>
      </c>
      <c r="F742" t="s">
        <v>120</v>
      </c>
      <c r="G742">
        <v>0</v>
      </c>
    </row>
    <row r="743" spans="1:7" x14ac:dyDescent="0.35">
      <c r="A743">
        <v>2019</v>
      </c>
      <c r="B743" t="s">
        <v>18</v>
      </c>
      <c r="C743" t="s">
        <v>174</v>
      </c>
      <c r="D743" t="s">
        <v>175</v>
      </c>
      <c r="E743" t="s">
        <v>91</v>
      </c>
      <c r="F743" t="s">
        <v>120</v>
      </c>
      <c r="G743">
        <v>0</v>
      </c>
    </row>
    <row r="744" spans="1:7" x14ac:dyDescent="0.35">
      <c r="A744">
        <v>2019</v>
      </c>
      <c r="B744" t="s">
        <v>18</v>
      </c>
      <c r="C744" t="s">
        <v>174</v>
      </c>
      <c r="D744" t="s">
        <v>175</v>
      </c>
      <c r="E744" t="s">
        <v>113</v>
      </c>
      <c r="F744" t="s">
        <v>120</v>
      </c>
      <c r="G744">
        <v>0</v>
      </c>
    </row>
    <row r="745" spans="1:7" x14ac:dyDescent="0.35">
      <c r="A745">
        <v>2019</v>
      </c>
      <c r="B745" t="s">
        <v>18</v>
      </c>
      <c r="C745" t="s">
        <v>174</v>
      </c>
      <c r="D745" t="s">
        <v>175</v>
      </c>
      <c r="E745" t="s">
        <v>114</v>
      </c>
      <c r="F745" t="s">
        <v>120</v>
      </c>
      <c r="G745">
        <v>0</v>
      </c>
    </row>
    <row r="746" spans="1:7" x14ac:dyDescent="0.35">
      <c r="A746">
        <v>2019</v>
      </c>
      <c r="B746" t="s">
        <v>19</v>
      </c>
      <c r="C746" t="s">
        <v>174</v>
      </c>
      <c r="D746" t="s">
        <v>175</v>
      </c>
      <c r="E746" t="s">
        <v>112</v>
      </c>
      <c r="F746" t="s">
        <v>120</v>
      </c>
      <c r="G746">
        <v>0</v>
      </c>
    </row>
    <row r="747" spans="1:7" x14ac:dyDescent="0.35">
      <c r="A747">
        <v>2019</v>
      </c>
      <c r="B747" t="s">
        <v>19</v>
      </c>
      <c r="C747" t="s">
        <v>174</v>
      </c>
      <c r="D747" t="s">
        <v>175</v>
      </c>
      <c r="E747" t="s">
        <v>91</v>
      </c>
      <c r="F747" t="s">
        <v>120</v>
      </c>
      <c r="G747">
        <v>0</v>
      </c>
    </row>
    <row r="748" spans="1:7" x14ac:dyDescent="0.35">
      <c r="A748">
        <v>2019</v>
      </c>
      <c r="B748" t="s">
        <v>19</v>
      </c>
      <c r="C748" t="s">
        <v>174</v>
      </c>
      <c r="D748" t="s">
        <v>175</v>
      </c>
      <c r="E748" t="s">
        <v>113</v>
      </c>
      <c r="F748" t="s">
        <v>120</v>
      </c>
      <c r="G748">
        <v>2</v>
      </c>
    </row>
    <row r="749" spans="1:7" x14ac:dyDescent="0.35">
      <c r="A749">
        <v>2019</v>
      </c>
      <c r="B749" t="s">
        <v>19</v>
      </c>
      <c r="C749" t="s">
        <v>174</v>
      </c>
      <c r="D749" t="s">
        <v>175</v>
      </c>
      <c r="E749" t="s">
        <v>114</v>
      </c>
      <c r="F749" t="s">
        <v>120</v>
      </c>
      <c r="G749">
        <v>0</v>
      </c>
    </row>
    <row r="750" spans="1:7" x14ac:dyDescent="0.35">
      <c r="A750">
        <v>2019</v>
      </c>
      <c r="B750" t="s">
        <v>20</v>
      </c>
      <c r="C750" t="s">
        <v>174</v>
      </c>
      <c r="D750" t="s">
        <v>175</v>
      </c>
      <c r="E750" t="s">
        <v>112</v>
      </c>
      <c r="F750" t="s">
        <v>120</v>
      </c>
      <c r="G750">
        <v>0</v>
      </c>
    </row>
    <row r="751" spans="1:7" x14ac:dyDescent="0.35">
      <c r="A751">
        <v>2019</v>
      </c>
      <c r="B751" t="s">
        <v>20</v>
      </c>
      <c r="C751" t="s">
        <v>174</v>
      </c>
      <c r="D751" t="s">
        <v>175</v>
      </c>
      <c r="E751" t="s">
        <v>91</v>
      </c>
      <c r="F751" t="s">
        <v>120</v>
      </c>
      <c r="G751">
        <v>0</v>
      </c>
    </row>
    <row r="752" spans="1:7" x14ac:dyDescent="0.35">
      <c r="A752">
        <v>2019</v>
      </c>
      <c r="B752" t="s">
        <v>20</v>
      </c>
      <c r="C752" t="s">
        <v>174</v>
      </c>
      <c r="D752" t="s">
        <v>175</v>
      </c>
      <c r="E752" t="s">
        <v>113</v>
      </c>
      <c r="F752" t="s">
        <v>120</v>
      </c>
      <c r="G752">
        <v>1</v>
      </c>
    </row>
    <row r="753" spans="1:7" x14ac:dyDescent="0.35">
      <c r="A753">
        <v>2019</v>
      </c>
      <c r="B753" t="s">
        <v>20</v>
      </c>
      <c r="C753" t="s">
        <v>174</v>
      </c>
      <c r="D753" t="s">
        <v>175</v>
      </c>
      <c r="E753" t="s">
        <v>114</v>
      </c>
      <c r="F753" t="s">
        <v>120</v>
      </c>
      <c r="G753">
        <v>0</v>
      </c>
    </row>
    <row r="754" spans="1:7" x14ac:dyDescent="0.35">
      <c r="A754">
        <v>2019</v>
      </c>
      <c r="B754" t="s">
        <v>21</v>
      </c>
      <c r="C754" t="s">
        <v>174</v>
      </c>
      <c r="D754" t="s">
        <v>175</v>
      </c>
      <c r="E754" t="s">
        <v>112</v>
      </c>
      <c r="F754" t="s">
        <v>120</v>
      </c>
      <c r="G754">
        <v>0</v>
      </c>
    </row>
    <row r="755" spans="1:7" x14ac:dyDescent="0.35">
      <c r="A755">
        <v>2019</v>
      </c>
      <c r="B755" t="s">
        <v>21</v>
      </c>
      <c r="C755" t="s">
        <v>174</v>
      </c>
      <c r="D755" t="s">
        <v>175</v>
      </c>
      <c r="E755" t="s">
        <v>91</v>
      </c>
      <c r="F755" t="s">
        <v>120</v>
      </c>
      <c r="G755">
        <v>0</v>
      </c>
    </row>
    <row r="756" spans="1:7" x14ac:dyDescent="0.35">
      <c r="A756">
        <v>2019</v>
      </c>
      <c r="B756" t="s">
        <v>21</v>
      </c>
      <c r="C756" t="s">
        <v>174</v>
      </c>
      <c r="D756" t="s">
        <v>175</v>
      </c>
      <c r="E756" t="s">
        <v>113</v>
      </c>
      <c r="F756" t="s">
        <v>120</v>
      </c>
      <c r="G756">
        <v>2</v>
      </c>
    </row>
    <row r="757" spans="1:7" x14ac:dyDescent="0.35">
      <c r="A757">
        <v>2019</v>
      </c>
      <c r="B757" t="s">
        <v>21</v>
      </c>
      <c r="C757" t="s">
        <v>174</v>
      </c>
      <c r="D757" t="s">
        <v>175</v>
      </c>
      <c r="E757" t="s">
        <v>114</v>
      </c>
      <c r="F757" t="s">
        <v>120</v>
      </c>
      <c r="G757">
        <v>0</v>
      </c>
    </row>
    <row r="758" spans="1:7" x14ac:dyDescent="0.35">
      <c r="A758">
        <v>2019</v>
      </c>
      <c r="B758" t="s">
        <v>22</v>
      </c>
      <c r="C758" t="s">
        <v>174</v>
      </c>
      <c r="D758" t="s">
        <v>175</v>
      </c>
      <c r="E758" t="s">
        <v>112</v>
      </c>
      <c r="F758" t="s">
        <v>120</v>
      </c>
      <c r="G758">
        <v>0</v>
      </c>
    </row>
    <row r="759" spans="1:7" x14ac:dyDescent="0.35">
      <c r="A759">
        <v>2019</v>
      </c>
      <c r="B759" t="s">
        <v>22</v>
      </c>
      <c r="C759" t="s">
        <v>174</v>
      </c>
      <c r="D759" t="s">
        <v>175</v>
      </c>
      <c r="E759" t="s">
        <v>91</v>
      </c>
      <c r="F759" t="s">
        <v>120</v>
      </c>
      <c r="G759">
        <v>0</v>
      </c>
    </row>
    <row r="760" spans="1:7" x14ac:dyDescent="0.35">
      <c r="A760">
        <v>2019</v>
      </c>
      <c r="B760" t="s">
        <v>22</v>
      </c>
      <c r="C760" t="s">
        <v>174</v>
      </c>
      <c r="D760" t="s">
        <v>175</v>
      </c>
      <c r="E760" t="s">
        <v>113</v>
      </c>
      <c r="F760" t="s">
        <v>120</v>
      </c>
      <c r="G760">
        <v>0</v>
      </c>
    </row>
    <row r="761" spans="1:7" x14ac:dyDescent="0.35">
      <c r="A761">
        <v>2019</v>
      </c>
      <c r="B761" t="s">
        <v>22</v>
      </c>
      <c r="C761" t="s">
        <v>174</v>
      </c>
      <c r="D761" t="s">
        <v>175</v>
      </c>
      <c r="E761" t="s">
        <v>114</v>
      </c>
      <c r="F761" t="s">
        <v>120</v>
      </c>
      <c r="G761">
        <v>0</v>
      </c>
    </row>
    <row r="762" spans="1:7" x14ac:dyDescent="0.35">
      <c r="A762">
        <v>2019</v>
      </c>
      <c r="B762" t="s">
        <v>23</v>
      </c>
      <c r="C762" t="s">
        <v>174</v>
      </c>
      <c r="D762" t="s">
        <v>175</v>
      </c>
      <c r="E762" t="s">
        <v>112</v>
      </c>
      <c r="F762" t="s">
        <v>120</v>
      </c>
      <c r="G762">
        <v>0</v>
      </c>
    </row>
    <row r="763" spans="1:7" x14ac:dyDescent="0.35">
      <c r="A763">
        <v>2019</v>
      </c>
      <c r="B763" t="s">
        <v>23</v>
      </c>
      <c r="C763" t="s">
        <v>174</v>
      </c>
      <c r="D763" t="s">
        <v>175</v>
      </c>
      <c r="E763" t="s">
        <v>91</v>
      </c>
      <c r="F763" t="s">
        <v>120</v>
      </c>
      <c r="G763">
        <v>0</v>
      </c>
    </row>
    <row r="764" spans="1:7" x14ac:dyDescent="0.35">
      <c r="A764">
        <v>2019</v>
      </c>
      <c r="B764" t="s">
        <v>23</v>
      </c>
      <c r="C764" t="s">
        <v>174</v>
      </c>
      <c r="D764" t="s">
        <v>175</v>
      </c>
      <c r="E764" t="s">
        <v>113</v>
      </c>
      <c r="F764" t="s">
        <v>120</v>
      </c>
      <c r="G764">
        <v>0</v>
      </c>
    </row>
    <row r="765" spans="1:7" x14ac:dyDescent="0.35">
      <c r="A765">
        <v>2019</v>
      </c>
      <c r="B765" t="s">
        <v>23</v>
      </c>
      <c r="C765" t="s">
        <v>174</v>
      </c>
      <c r="D765" t="s">
        <v>175</v>
      </c>
      <c r="E765" t="s">
        <v>114</v>
      </c>
      <c r="F765" t="s">
        <v>120</v>
      </c>
      <c r="G765">
        <v>0</v>
      </c>
    </row>
    <row r="766" spans="1:7" x14ac:dyDescent="0.35">
      <c r="A766">
        <v>2019</v>
      </c>
      <c r="B766" t="s">
        <v>24</v>
      </c>
      <c r="C766" t="s">
        <v>174</v>
      </c>
      <c r="D766" t="s">
        <v>175</v>
      </c>
      <c r="E766" t="s">
        <v>112</v>
      </c>
      <c r="F766" t="s">
        <v>120</v>
      </c>
      <c r="G766">
        <v>0</v>
      </c>
    </row>
    <row r="767" spans="1:7" x14ac:dyDescent="0.35">
      <c r="A767">
        <v>2019</v>
      </c>
      <c r="B767" t="s">
        <v>24</v>
      </c>
      <c r="C767" t="s">
        <v>174</v>
      </c>
      <c r="D767" t="s">
        <v>175</v>
      </c>
      <c r="E767" t="s">
        <v>91</v>
      </c>
      <c r="F767" t="s">
        <v>120</v>
      </c>
      <c r="G767">
        <v>1</v>
      </c>
    </row>
    <row r="768" spans="1:7" x14ac:dyDescent="0.35">
      <c r="A768">
        <v>2019</v>
      </c>
      <c r="B768" t="s">
        <v>24</v>
      </c>
      <c r="C768" t="s">
        <v>174</v>
      </c>
      <c r="D768" t="s">
        <v>175</v>
      </c>
      <c r="E768" t="s">
        <v>113</v>
      </c>
      <c r="F768" t="s">
        <v>120</v>
      </c>
      <c r="G768">
        <v>0</v>
      </c>
    </row>
    <row r="769" spans="1:7" x14ac:dyDescent="0.35">
      <c r="A769">
        <v>2019</v>
      </c>
      <c r="B769" t="s">
        <v>24</v>
      </c>
      <c r="C769" t="s">
        <v>174</v>
      </c>
      <c r="D769" t="s">
        <v>175</v>
      </c>
      <c r="E769" t="s">
        <v>114</v>
      </c>
      <c r="F769" t="s">
        <v>120</v>
      </c>
      <c r="G769">
        <v>0</v>
      </c>
    </row>
    <row r="770" spans="1:7" x14ac:dyDescent="0.35">
      <c r="A770">
        <v>2019</v>
      </c>
      <c r="B770" t="s">
        <v>25</v>
      </c>
      <c r="C770" t="s">
        <v>174</v>
      </c>
      <c r="D770" t="s">
        <v>175</v>
      </c>
      <c r="E770" t="s">
        <v>112</v>
      </c>
      <c r="F770" t="s">
        <v>120</v>
      </c>
      <c r="G770">
        <v>0</v>
      </c>
    </row>
    <row r="771" spans="1:7" x14ac:dyDescent="0.35">
      <c r="A771">
        <v>2019</v>
      </c>
      <c r="B771" t="s">
        <v>25</v>
      </c>
      <c r="C771" t="s">
        <v>174</v>
      </c>
      <c r="D771" t="s">
        <v>175</v>
      </c>
      <c r="E771" t="s">
        <v>91</v>
      </c>
      <c r="F771" t="s">
        <v>120</v>
      </c>
      <c r="G771">
        <v>0</v>
      </c>
    </row>
    <row r="772" spans="1:7" x14ac:dyDescent="0.35">
      <c r="A772">
        <v>2019</v>
      </c>
      <c r="B772" t="s">
        <v>25</v>
      </c>
      <c r="C772" t="s">
        <v>174</v>
      </c>
      <c r="D772" t="s">
        <v>175</v>
      </c>
      <c r="E772" t="s">
        <v>113</v>
      </c>
      <c r="F772" t="s">
        <v>120</v>
      </c>
      <c r="G772">
        <v>0</v>
      </c>
    </row>
    <row r="773" spans="1:7" x14ac:dyDescent="0.35">
      <c r="A773">
        <v>2019</v>
      </c>
      <c r="B773" t="s">
        <v>25</v>
      </c>
      <c r="C773" t="s">
        <v>174</v>
      </c>
      <c r="D773" t="s">
        <v>175</v>
      </c>
      <c r="E773" t="s">
        <v>114</v>
      </c>
      <c r="F773" t="s">
        <v>120</v>
      </c>
      <c r="G773">
        <v>0</v>
      </c>
    </row>
    <row r="774" spans="1:7" x14ac:dyDescent="0.35">
      <c r="A774">
        <v>2019</v>
      </c>
      <c r="B774" t="s">
        <v>26</v>
      </c>
      <c r="C774" t="s">
        <v>174</v>
      </c>
      <c r="D774" t="s">
        <v>175</v>
      </c>
      <c r="E774" t="s">
        <v>112</v>
      </c>
      <c r="F774" t="s">
        <v>120</v>
      </c>
      <c r="G774">
        <v>0</v>
      </c>
    </row>
    <row r="775" spans="1:7" x14ac:dyDescent="0.35">
      <c r="A775">
        <v>2019</v>
      </c>
      <c r="B775" t="s">
        <v>26</v>
      </c>
      <c r="C775" t="s">
        <v>174</v>
      </c>
      <c r="D775" t="s">
        <v>175</v>
      </c>
      <c r="E775" t="s">
        <v>91</v>
      </c>
      <c r="F775" t="s">
        <v>120</v>
      </c>
      <c r="G775">
        <v>0</v>
      </c>
    </row>
    <row r="776" spans="1:7" x14ac:dyDescent="0.35">
      <c r="A776">
        <v>2019</v>
      </c>
      <c r="B776" t="s">
        <v>26</v>
      </c>
      <c r="C776" t="s">
        <v>174</v>
      </c>
      <c r="D776" t="s">
        <v>175</v>
      </c>
      <c r="E776" t="s">
        <v>113</v>
      </c>
      <c r="F776" t="s">
        <v>120</v>
      </c>
      <c r="G776">
        <v>0</v>
      </c>
    </row>
    <row r="777" spans="1:7" x14ac:dyDescent="0.35">
      <c r="A777">
        <v>2019</v>
      </c>
      <c r="B777" t="s">
        <v>26</v>
      </c>
      <c r="C777" t="s">
        <v>174</v>
      </c>
      <c r="D777" t="s">
        <v>175</v>
      </c>
      <c r="E777" t="s">
        <v>114</v>
      </c>
      <c r="F777" t="s">
        <v>120</v>
      </c>
      <c r="G777">
        <v>0</v>
      </c>
    </row>
    <row r="778" spans="1:7" x14ac:dyDescent="0.35">
      <c r="A778">
        <v>2019</v>
      </c>
      <c r="B778" t="s">
        <v>27</v>
      </c>
      <c r="C778" t="s">
        <v>174</v>
      </c>
      <c r="D778" t="s">
        <v>175</v>
      </c>
      <c r="E778" t="s">
        <v>112</v>
      </c>
      <c r="F778" t="s">
        <v>120</v>
      </c>
      <c r="G778">
        <v>0</v>
      </c>
    </row>
    <row r="779" spans="1:7" x14ac:dyDescent="0.35">
      <c r="A779">
        <v>2019</v>
      </c>
      <c r="B779" t="s">
        <v>27</v>
      </c>
      <c r="C779" t="s">
        <v>174</v>
      </c>
      <c r="D779" t="s">
        <v>175</v>
      </c>
      <c r="E779" t="s">
        <v>91</v>
      </c>
      <c r="F779" t="s">
        <v>120</v>
      </c>
      <c r="G779">
        <v>0</v>
      </c>
    </row>
    <row r="780" spans="1:7" x14ac:dyDescent="0.35">
      <c r="A780">
        <v>2019</v>
      </c>
      <c r="B780" t="s">
        <v>27</v>
      </c>
      <c r="C780" t="s">
        <v>174</v>
      </c>
      <c r="D780" t="s">
        <v>175</v>
      </c>
      <c r="E780" t="s">
        <v>113</v>
      </c>
      <c r="F780" t="s">
        <v>120</v>
      </c>
      <c r="G780">
        <v>0</v>
      </c>
    </row>
    <row r="781" spans="1:7" x14ac:dyDescent="0.35">
      <c r="A781">
        <v>2019</v>
      </c>
      <c r="B781" t="s">
        <v>27</v>
      </c>
      <c r="C781" t="s">
        <v>174</v>
      </c>
      <c r="D781" t="s">
        <v>175</v>
      </c>
      <c r="E781" t="s">
        <v>114</v>
      </c>
      <c r="F781" t="s">
        <v>120</v>
      </c>
      <c r="G781">
        <v>0</v>
      </c>
    </row>
    <row r="782" spans="1:7" x14ac:dyDescent="0.35">
      <c r="A782">
        <v>2019</v>
      </c>
      <c r="B782" t="s">
        <v>29</v>
      </c>
      <c r="C782" t="s">
        <v>174</v>
      </c>
      <c r="D782" t="s">
        <v>175</v>
      </c>
      <c r="E782" t="s">
        <v>112</v>
      </c>
      <c r="F782" t="s">
        <v>120</v>
      </c>
      <c r="G782">
        <v>0</v>
      </c>
    </row>
    <row r="783" spans="1:7" x14ac:dyDescent="0.35">
      <c r="A783">
        <v>2019</v>
      </c>
      <c r="B783" t="s">
        <v>29</v>
      </c>
      <c r="C783" t="s">
        <v>174</v>
      </c>
      <c r="D783" t="s">
        <v>175</v>
      </c>
      <c r="E783" t="s">
        <v>91</v>
      </c>
      <c r="F783" t="s">
        <v>120</v>
      </c>
      <c r="G783">
        <v>0</v>
      </c>
    </row>
    <row r="784" spans="1:7" x14ac:dyDescent="0.35">
      <c r="A784">
        <v>2019</v>
      </c>
      <c r="B784" t="s">
        <v>29</v>
      </c>
      <c r="C784" t="s">
        <v>174</v>
      </c>
      <c r="D784" t="s">
        <v>175</v>
      </c>
      <c r="E784" t="s">
        <v>113</v>
      </c>
      <c r="F784" t="s">
        <v>120</v>
      </c>
      <c r="G784">
        <v>0</v>
      </c>
    </row>
    <row r="785" spans="1:7" x14ac:dyDescent="0.35">
      <c r="A785">
        <v>2019</v>
      </c>
      <c r="B785" t="s">
        <v>29</v>
      </c>
      <c r="C785" t="s">
        <v>174</v>
      </c>
      <c r="D785" t="s">
        <v>175</v>
      </c>
      <c r="E785" t="s">
        <v>114</v>
      </c>
      <c r="F785" t="s">
        <v>120</v>
      </c>
      <c r="G785">
        <v>0</v>
      </c>
    </row>
    <row r="786" spans="1:7" x14ac:dyDescent="0.35">
      <c r="A786">
        <v>2019</v>
      </c>
      <c r="B786" t="s">
        <v>30</v>
      </c>
      <c r="C786" t="s">
        <v>174</v>
      </c>
      <c r="D786" t="s">
        <v>175</v>
      </c>
      <c r="E786" t="s">
        <v>112</v>
      </c>
      <c r="F786" t="s">
        <v>120</v>
      </c>
      <c r="G786">
        <v>0</v>
      </c>
    </row>
    <row r="787" spans="1:7" x14ac:dyDescent="0.35">
      <c r="A787">
        <v>2019</v>
      </c>
      <c r="B787" t="s">
        <v>30</v>
      </c>
      <c r="C787" t="s">
        <v>174</v>
      </c>
      <c r="D787" t="s">
        <v>175</v>
      </c>
      <c r="E787" t="s">
        <v>91</v>
      </c>
      <c r="F787" t="s">
        <v>120</v>
      </c>
      <c r="G787">
        <v>0</v>
      </c>
    </row>
    <row r="788" spans="1:7" x14ac:dyDescent="0.35">
      <c r="A788">
        <v>2019</v>
      </c>
      <c r="B788" t="s">
        <v>30</v>
      </c>
      <c r="C788" t="s">
        <v>174</v>
      </c>
      <c r="D788" t="s">
        <v>175</v>
      </c>
      <c r="E788" t="s">
        <v>113</v>
      </c>
      <c r="F788" t="s">
        <v>120</v>
      </c>
      <c r="G788">
        <v>1</v>
      </c>
    </row>
    <row r="789" spans="1:7" x14ac:dyDescent="0.35">
      <c r="A789">
        <v>2019</v>
      </c>
      <c r="B789" t="s">
        <v>30</v>
      </c>
      <c r="C789" t="s">
        <v>174</v>
      </c>
      <c r="D789" t="s">
        <v>175</v>
      </c>
      <c r="E789" t="s">
        <v>114</v>
      </c>
      <c r="F789" t="s">
        <v>120</v>
      </c>
      <c r="G789">
        <v>0</v>
      </c>
    </row>
    <row r="790" spans="1:7" x14ac:dyDescent="0.35">
      <c r="A790">
        <v>2019</v>
      </c>
      <c r="B790" t="s">
        <v>31</v>
      </c>
      <c r="C790" t="s">
        <v>174</v>
      </c>
      <c r="D790" t="s">
        <v>175</v>
      </c>
      <c r="E790" t="s">
        <v>112</v>
      </c>
      <c r="F790" t="s">
        <v>120</v>
      </c>
      <c r="G790">
        <v>1</v>
      </c>
    </row>
    <row r="791" spans="1:7" x14ac:dyDescent="0.35">
      <c r="A791">
        <v>2019</v>
      </c>
      <c r="B791" t="s">
        <v>31</v>
      </c>
      <c r="C791" t="s">
        <v>174</v>
      </c>
      <c r="D791" t="s">
        <v>175</v>
      </c>
      <c r="E791" t="s">
        <v>91</v>
      </c>
      <c r="F791" t="s">
        <v>120</v>
      </c>
      <c r="G791">
        <v>0</v>
      </c>
    </row>
    <row r="792" spans="1:7" x14ac:dyDescent="0.35">
      <c r="A792">
        <v>2019</v>
      </c>
      <c r="B792" t="s">
        <v>31</v>
      </c>
      <c r="C792" t="s">
        <v>174</v>
      </c>
      <c r="D792" t="s">
        <v>175</v>
      </c>
      <c r="E792" t="s">
        <v>113</v>
      </c>
      <c r="F792" t="s">
        <v>120</v>
      </c>
      <c r="G792">
        <v>0</v>
      </c>
    </row>
    <row r="793" spans="1:7" x14ac:dyDescent="0.35">
      <c r="A793">
        <v>2019</v>
      </c>
      <c r="B793" t="s">
        <v>31</v>
      </c>
      <c r="C793" t="s">
        <v>174</v>
      </c>
      <c r="D793" t="s">
        <v>175</v>
      </c>
      <c r="E793" t="s">
        <v>114</v>
      </c>
      <c r="F793" t="s">
        <v>120</v>
      </c>
      <c r="G793">
        <v>0</v>
      </c>
    </row>
    <row r="794" spans="1:7" x14ac:dyDescent="0.35">
      <c r="A794">
        <v>2019</v>
      </c>
      <c r="B794" t="s">
        <v>32</v>
      </c>
      <c r="C794" t="s">
        <v>174</v>
      </c>
      <c r="D794" t="s">
        <v>175</v>
      </c>
      <c r="E794" t="s">
        <v>112</v>
      </c>
      <c r="F794" t="s">
        <v>120</v>
      </c>
      <c r="G794">
        <v>0</v>
      </c>
    </row>
    <row r="795" spans="1:7" x14ac:dyDescent="0.35">
      <c r="A795">
        <v>2019</v>
      </c>
      <c r="B795" t="s">
        <v>32</v>
      </c>
      <c r="C795" t="s">
        <v>174</v>
      </c>
      <c r="D795" t="s">
        <v>175</v>
      </c>
      <c r="E795" t="s">
        <v>91</v>
      </c>
      <c r="F795" t="s">
        <v>120</v>
      </c>
      <c r="G795">
        <v>0</v>
      </c>
    </row>
    <row r="796" spans="1:7" x14ac:dyDescent="0.35">
      <c r="A796">
        <v>2019</v>
      </c>
      <c r="B796" t="s">
        <v>32</v>
      </c>
      <c r="C796" t="s">
        <v>174</v>
      </c>
      <c r="D796" t="s">
        <v>175</v>
      </c>
      <c r="E796" t="s">
        <v>113</v>
      </c>
      <c r="F796" t="s">
        <v>120</v>
      </c>
      <c r="G796">
        <v>0</v>
      </c>
    </row>
    <row r="797" spans="1:7" x14ac:dyDescent="0.35">
      <c r="A797">
        <v>2019</v>
      </c>
      <c r="B797" t="s">
        <v>32</v>
      </c>
      <c r="C797" t="s">
        <v>174</v>
      </c>
      <c r="D797" t="s">
        <v>175</v>
      </c>
      <c r="E797" t="s">
        <v>114</v>
      </c>
      <c r="F797" t="s">
        <v>120</v>
      </c>
      <c r="G797">
        <v>0</v>
      </c>
    </row>
    <row r="798" spans="1:7" x14ac:dyDescent="0.35">
      <c r="A798">
        <v>2019</v>
      </c>
      <c r="B798" t="s">
        <v>63</v>
      </c>
      <c r="C798" t="s">
        <v>174</v>
      </c>
      <c r="D798" t="s">
        <v>175</v>
      </c>
      <c r="E798" t="s">
        <v>112</v>
      </c>
      <c r="F798" t="s">
        <v>120</v>
      </c>
      <c r="G798">
        <v>0</v>
      </c>
    </row>
    <row r="799" spans="1:7" x14ac:dyDescent="0.35">
      <c r="A799">
        <v>2019</v>
      </c>
      <c r="B799" t="s">
        <v>63</v>
      </c>
      <c r="C799" t="s">
        <v>174</v>
      </c>
      <c r="D799" t="s">
        <v>175</v>
      </c>
      <c r="E799" t="s">
        <v>91</v>
      </c>
      <c r="F799" t="s">
        <v>120</v>
      </c>
      <c r="G799">
        <v>11</v>
      </c>
    </row>
    <row r="800" spans="1:7" x14ac:dyDescent="0.35">
      <c r="A800">
        <v>2019</v>
      </c>
      <c r="B800" t="s">
        <v>63</v>
      </c>
      <c r="C800" t="s">
        <v>174</v>
      </c>
      <c r="D800" t="s">
        <v>175</v>
      </c>
      <c r="E800" t="s">
        <v>113</v>
      </c>
      <c r="F800" t="s">
        <v>120</v>
      </c>
      <c r="G800">
        <v>14</v>
      </c>
    </row>
    <row r="801" spans="1:7" x14ac:dyDescent="0.35">
      <c r="A801">
        <v>2019</v>
      </c>
      <c r="B801" t="s">
        <v>63</v>
      </c>
      <c r="C801" t="s">
        <v>174</v>
      </c>
      <c r="D801" t="s">
        <v>175</v>
      </c>
      <c r="E801" t="s">
        <v>114</v>
      </c>
      <c r="F801" t="s">
        <v>120</v>
      </c>
      <c r="G801">
        <v>0</v>
      </c>
    </row>
    <row r="802" spans="1:7" x14ac:dyDescent="0.35">
      <c r="A802">
        <v>2019</v>
      </c>
      <c r="B802" t="s">
        <v>57</v>
      </c>
      <c r="C802" t="s">
        <v>174</v>
      </c>
      <c r="D802" t="s">
        <v>175</v>
      </c>
      <c r="E802" t="s">
        <v>112</v>
      </c>
      <c r="F802" t="s">
        <v>120</v>
      </c>
      <c r="G802">
        <v>0</v>
      </c>
    </row>
    <row r="803" spans="1:7" x14ac:dyDescent="0.35">
      <c r="A803">
        <v>2019</v>
      </c>
      <c r="B803" t="s">
        <v>57</v>
      </c>
      <c r="C803" t="s">
        <v>174</v>
      </c>
      <c r="D803" t="s">
        <v>175</v>
      </c>
      <c r="E803" t="s">
        <v>91</v>
      </c>
      <c r="F803" t="s">
        <v>120</v>
      </c>
      <c r="G803">
        <v>0</v>
      </c>
    </row>
    <row r="804" spans="1:7" x14ac:dyDescent="0.35">
      <c r="A804">
        <v>2019</v>
      </c>
      <c r="B804" t="s">
        <v>57</v>
      </c>
      <c r="C804" t="s">
        <v>174</v>
      </c>
      <c r="D804" t="s">
        <v>175</v>
      </c>
      <c r="E804" t="s">
        <v>113</v>
      </c>
      <c r="F804" t="s">
        <v>120</v>
      </c>
      <c r="G804">
        <v>0</v>
      </c>
    </row>
    <row r="805" spans="1:7" x14ac:dyDescent="0.35">
      <c r="A805">
        <v>2019</v>
      </c>
      <c r="B805" t="s">
        <v>57</v>
      </c>
      <c r="C805" t="s">
        <v>174</v>
      </c>
      <c r="D805" t="s">
        <v>175</v>
      </c>
      <c r="E805" t="s">
        <v>114</v>
      </c>
      <c r="F805" t="s">
        <v>120</v>
      </c>
      <c r="G805">
        <v>0</v>
      </c>
    </row>
    <row r="806" spans="1:7" x14ac:dyDescent="0.35">
      <c r="A806">
        <v>2019</v>
      </c>
      <c r="B806" t="s">
        <v>33</v>
      </c>
      <c r="C806" t="s">
        <v>174</v>
      </c>
      <c r="D806" t="s">
        <v>175</v>
      </c>
      <c r="E806" t="s">
        <v>112</v>
      </c>
      <c r="F806" t="s">
        <v>120</v>
      </c>
      <c r="G806">
        <v>1</v>
      </c>
    </row>
    <row r="807" spans="1:7" x14ac:dyDescent="0.35">
      <c r="A807">
        <v>2019</v>
      </c>
      <c r="B807" t="s">
        <v>33</v>
      </c>
      <c r="C807" t="s">
        <v>174</v>
      </c>
      <c r="D807" t="s">
        <v>175</v>
      </c>
      <c r="E807" t="s">
        <v>91</v>
      </c>
      <c r="F807" t="s">
        <v>120</v>
      </c>
      <c r="G807">
        <v>0</v>
      </c>
    </row>
    <row r="808" spans="1:7" x14ac:dyDescent="0.35">
      <c r="A808">
        <v>2019</v>
      </c>
      <c r="B808" t="s">
        <v>33</v>
      </c>
      <c r="C808" t="s">
        <v>174</v>
      </c>
      <c r="D808" t="s">
        <v>175</v>
      </c>
      <c r="E808" t="s">
        <v>113</v>
      </c>
      <c r="F808" t="s">
        <v>120</v>
      </c>
      <c r="G808">
        <v>0</v>
      </c>
    </row>
    <row r="809" spans="1:7" x14ac:dyDescent="0.35">
      <c r="A809">
        <v>2019</v>
      </c>
      <c r="B809" t="s">
        <v>33</v>
      </c>
      <c r="C809" t="s">
        <v>174</v>
      </c>
      <c r="D809" t="s">
        <v>175</v>
      </c>
      <c r="E809" t="s">
        <v>114</v>
      </c>
      <c r="F809" t="s">
        <v>120</v>
      </c>
      <c r="G809">
        <v>0</v>
      </c>
    </row>
    <row r="810" spans="1:7" x14ac:dyDescent="0.35">
      <c r="A810">
        <v>2019</v>
      </c>
      <c r="B810" t="s">
        <v>34</v>
      </c>
      <c r="C810" t="s">
        <v>174</v>
      </c>
      <c r="D810" t="s">
        <v>175</v>
      </c>
      <c r="E810" t="s">
        <v>112</v>
      </c>
      <c r="F810" t="s">
        <v>120</v>
      </c>
      <c r="G810">
        <v>0</v>
      </c>
    </row>
    <row r="811" spans="1:7" x14ac:dyDescent="0.35">
      <c r="A811">
        <v>2019</v>
      </c>
      <c r="B811" t="s">
        <v>34</v>
      </c>
      <c r="C811" t="s">
        <v>174</v>
      </c>
      <c r="D811" t="s">
        <v>175</v>
      </c>
      <c r="E811" t="s">
        <v>91</v>
      </c>
      <c r="F811" t="s">
        <v>120</v>
      </c>
      <c r="G811">
        <v>0</v>
      </c>
    </row>
    <row r="812" spans="1:7" x14ac:dyDescent="0.35">
      <c r="A812">
        <v>2019</v>
      </c>
      <c r="B812" t="s">
        <v>34</v>
      </c>
      <c r="C812" t="s">
        <v>174</v>
      </c>
      <c r="D812" t="s">
        <v>175</v>
      </c>
      <c r="E812" t="s">
        <v>113</v>
      </c>
      <c r="F812" t="s">
        <v>120</v>
      </c>
      <c r="G812">
        <v>1</v>
      </c>
    </row>
    <row r="813" spans="1:7" x14ac:dyDescent="0.35">
      <c r="A813">
        <v>2019</v>
      </c>
      <c r="B813" t="s">
        <v>34</v>
      </c>
      <c r="C813" t="s">
        <v>174</v>
      </c>
      <c r="D813" t="s">
        <v>175</v>
      </c>
      <c r="E813" t="s">
        <v>114</v>
      </c>
      <c r="F813" t="s">
        <v>120</v>
      </c>
      <c r="G813">
        <v>0</v>
      </c>
    </row>
    <row r="814" spans="1:7" x14ac:dyDescent="0.35">
      <c r="A814">
        <v>2019</v>
      </c>
      <c r="B814" t="s">
        <v>35</v>
      </c>
      <c r="C814" t="s">
        <v>174</v>
      </c>
      <c r="D814" t="s">
        <v>175</v>
      </c>
      <c r="E814" t="s">
        <v>112</v>
      </c>
      <c r="F814" t="s">
        <v>120</v>
      </c>
      <c r="G814">
        <v>0</v>
      </c>
    </row>
    <row r="815" spans="1:7" x14ac:dyDescent="0.35">
      <c r="A815">
        <v>2019</v>
      </c>
      <c r="B815" t="s">
        <v>35</v>
      </c>
      <c r="C815" t="s">
        <v>174</v>
      </c>
      <c r="D815" t="s">
        <v>175</v>
      </c>
      <c r="E815" t="s">
        <v>91</v>
      </c>
      <c r="F815" t="s">
        <v>120</v>
      </c>
      <c r="G815">
        <v>0</v>
      </c>
    </row>
    <row r="816" spans="1:7" x14ac:dyDescent="0.35">
      <c r="A816">
        <v>2019</v>
      </c>
      <c r="B816" t="s">
        <v>35</v>
      </c>
      <c r="C816" t="s">
        <v>174</v>
      </c>
      <c r="D816" t="s">
        <v>175</v>
      </c>
      <c r="E816" t="s">
        <v>113</v>
      </c>
      <c r="F816" t="s">
        <v>120</v>
      </c>
      <c r="G816">
        <v>1</v>
      </c>
    </row>
    <row r="817" spans="1:7" x14ac:dyDescent="0.35">
      <c r="A817">
        <v>2019</v>
      </c>
      <c r="B817" t="s">
        <v>35</v>
      </c>
      <c r="C817" t="s">
        <v>174</v>
      </c>
      <c r="D817" t="s">
        <v>175</v>
      </c>
      <c r="E817" t="s">
        <v>114</v>
      </c>
      <c r="F817" t="s">
        <v>120</v>
      </c>
      <c r="G817">
        <v>0</v>
      </c>
    </row>
    <row r="818" spans="1:7" x14ac:dyDescent="0.35">
      <c r="A818">
        <v>2019</v>
      </c>
      <c r="B818" t="s">
        <v>36</v>
      </c>
      <c r="C818" t="s">
        <v>174</v>
      </c>
      <c r="D818" t="s">
        <v>175</v>
      </c>
      <c r="E818" t="s">
        <v>112</v>
      </c>
      <c r="F818" t="s">
        <v>120</v>
      </c>
      <c r="G818">
        <v>0</v>
      </c>
    </row>
    <row r="819" spans="1:7" x14ac:dyDescent="0.35">
      <c r="A819">
        <v>2019</v>
      </c>
      <c r="B819" t="s">
        <v>36</v>
      </c>
      <c r="C819" t="s">
        <v>174</v>
      </c>
      <c r="D819" t="s">
        <v>175</v>
      </c>
      <c r="E819" t="s">
        <v>91</v>
      </c>
      <c r="F819" t="s">
        <v>120</v>
      </c>
      <c r="G819">
        <v>0</v>
      </c>
    </row>
    <row r="820" spans="1:7" x14ac:dyDescent="0.35">
      <c r="A820">
        <v>2019</v>
      </c>
      <c r="B820" t="s">
        <v>36</v>
      </c>
      <c r="C820" t="s">
        <v>174</v>
      </c>
      <c r="D820" t="s">
        <v>175</v>
      </c>
      <c r="E820" t="s">
        <v>113</v>
      </c>
      <c r="F820" t="s">
        <v>120</v>
      </c>
      <c r="G820">
        <v>0</v>
      </c>
    </row>
    <row r="821" spans="1:7" x14ac:dyDescent="0.35">
      <c r="A821">
        <v>2019</v>
      </c>
      <c r="B821" t="s">
        <v>36</v>
      </c>
      <c r="C821" t="s">
        <v>174</v>
      </c>
      <c r="D821" t="s">
        <v>175</v>
      </c>
      <c r="E821" t="s">
        <v>114</v>
      </c>
      <c r="F821" t="s">
        <v>120</v>
      </c>
      <c r="G821">
        <v>0</v>
      </c>
    </row>
    <row r="822" spans="1:7" x14ac:dyDescent="0.35">
      <c r="A822">
        <v>2019</v>
      </c>
      <c r="B822" t="s">
        <v>37</v>
      </c>
      <c r="C822" t="s">
        <v>174</v>
      </c>
      <c r="D822" t="s">
        <v>175</v>
      </c>
      <c r="E822" t="s">
        <v>112</v>
      </c>
      <c r="F822" t="s">
        <v>120</v>
      </c>
      <c r="G822">
        <v>0</v>
      </c>
    </row>
    <row r="823" spans="1:7" x14ac:dyDescent="0.35">
      <c r="A823">
        <v>2019</v>
      </c>
      <c r="B823" t="s">
        <v>37</v>
      </c>
      <c r="C823" t="s">
        <v>174</v>
      </c>
      <c r="D823" t="s">
        <v>175</v>
      </c>
      <c r="E823" t="s">
        <v>91</v>
      </c>
      <c r="F823" t="s">
        <v>120</v>
      </c>
      <c r="G823">
        <v>0</v>
      </c>
    </row>
    <row r="824" spans="1:7" x14ac:dyDescent="0.35">
      <c r="A824">
        <v>2019</v>
      </c>
      <c r="B824" t="s">
        <v>37</v>
      </c>
      <c r="C824" t="s">
        <v>174</v>
      </c>
      <c r="D824" t="s">
        <v>175</v>
      </c>
      <c r="E824" t="s">
        <v>113</v>
      </c>
      <c r="F824" t="s">
        <v>120</v>
      </c>
      <c r="G824">
        <v>0</v>
      </c>
    </row>
    <row r="825" spans="1:7" x14ac:dyDescent="0.35">
      <c r="A825">
        <v>2019</v>
      </c>
      <c r="B825" t="s">
        <v>37</v>
      </c>
      <c r="C825" t="s">
        <v>174</v>
      </c>
      <c r="D825" t="s">
        <v>175</v>
      </c>
      <c r="E825" t="s">
        <v>114</v>
      </c>
      <c r="F825" t="s">
        <v>120</v>
      </c>
      <c r="G825">
        <v>0</v>
      </c>
    </row>
    <row r="826" spans="1:7" x14ac:dyDescent="0.35">
      <c r="A826">
        <v>2019</v>
      </c>
      <c r="B826" t="s">
        <v>55</v>
      </c>
      <c r="C826" t="s">
        <v>174</v>
      </c>
      <c r="D826" t="s">
        <v>175</v>
      </c>
      <c r="E826" t="s">
        <v>112</v>
      </c>
      <c r="F826" t="s">
        <v>120</v>
      </c>
      <c r="G826">
        <v>1</v>
      </c>
    </row>
    <row r="827" spans="1:7" x14ac:dyDescent="0.35">
      <c r="A827">
        <v>2019</v>
      </c>
      <c r="B827" t="s">
        <v>55</v>
      </c>
      <c r="C827" t="s">
        <v>174</v>
      </c>
      <c r="D827" t="s">
        <v>175</v>
      </c>
      <c r="E827" t="s">
        <v>91</v>
      </c>
      <c r="F827" t="s">
        <v>120</v>
      </c>
      <c r="G827">
        <v>0</v>
      </c>
    </row>
    <row r="828" spans="1:7" x14ac:dyDescent="0.35">
      <c r="A828">
        <v>2019</v>
      </c>
      <c r="B828" t="s">
        <v>55</v>
      </c>
      <c r="C828" t="s">
        <v>174</v>
      </c>
      <c r="D828" t="s">
        <v>175</v>
      </c>
      <c r="E828" t="s">
        <v>113</v>
      </c>
      <c r="F828" t="s">
        <v>120</v>
      </c>
      <c r="G828">
        <v>0</v>
      </c>
    </row>
    <row r="829" spans="1:7" x14ac:dyDescent="0.35">
      <c r="A829">
        <v>2019</v>
      </c>
      <c r="B829" t="s">
        <v>55</v>
      </c>
      <c r="C829" t="s">
        <v>174</v>
      </c>
      <c r="D829" t="s">
        <v>175</v>
      </c>
      <c r="E829" t="s">
        <v>114</v>
      </c>
      <c r="F829" t="s">
        <v>120</v>
      </c>
      <c r="G829">
        <v>0</v>
      </c>
    </row>
    <row r="830" spans="1:7" x14ac:dyDescent="0.35">
      <c r="A830">
        <v>2019</v>
      </c>
      <c r="B830" t="s">
        <v>38</v>
      </c>
      <c r="C830" t="s">
        <v>174</v>
      </c>
      <c r="D830" t="s">
        <v>175</v>
      </c>
      <c r="E830" t="s">
        <v>112</v>
      </c>
      <c r="F830" t="s">
        <v>120</v>
      </c>
      <c r="G830">
        <v>0</v>
      </c>
    </row>
    <row r="831" spans="1:7" x14ac:dyDescent="0.35">
      <c r="A831">
        <v>2019</v>
      </c>
      <c r="B831" t="s">
        <v>38</v>
      </c>
      <c r="C831" t="s">
        <v>174</v>
      </c>
      <c r="D831" t="s">
        <v>175</v>
      </c>
      <c r="E831" t="s">
        <v>91</v>
      </c>
      <c r="F831" t="s">
        <v>120</v>
      </c>
      <c r="G831">
        <v>0</v>
      </c>
    </row>
    <row r="832" spans="1:7" x14ac:dyDescent="0.35">
      <c r="A832">
        <v>2019</v>
      </c>
      <c r="B832" t="s">
        <v>38</v>
      </c>
      <c r="C832" t="s">
        <v>174</v>
      </c>
      <c r="D832" t="s">
        <v>175</v>
      </c>
      <c r="E832" t="s">
        <v>113</v>
      </c>
      <c r="F832" t="s">
        <v>120</v>
      </c>
      <c r="G832">
        <v>0</v>
      </c>
    </row>
    <row r="833" spans="1:7" x14ac:dyDescent="0.35">
      <c r="A833">
        <v>2019</v>
      </c>
      <c r="B833" t="s">
        <v>38</v>
      </c>
      <c r="C833" t="s">
        <v>174</v>
      </c>
      <c r="D833" t="s">
        <v>175</v>
      </c>
      <c r="E833" t="s">
        <v>114</v>
      </c>
      <c r="F833" t="s">
        <v>120</v>
      </c>
      <c r="G833">
        <v>0</v>
      </c>
    </row>
    <row r="834" spans="1:7" x14ac:dyDescent="0.35">
      <c r="A834">
        <v>2019</v>
      </c>
      <c r="B834" t="s">
        <v>39</v>
      </c>
      <c r="C834" t="s">
        <v>174</v>
      </c>
      <c r="D834" t="s">
        <v>175</v>
      </c>
      <c r="E834" t="s">
        <v>112</v>
      </c>
      <c r="F834" t="s">
        <v>120</v>
      </c>
      <c r="G834">
        <v>0</v>
      </c>
    </row>
    <row r="835" spans="1:7" x14ac:dyDescent="0.35">
      <c r="A835">
        <v>2019</v>
      </c>
      <c r="B835" t="s">
        <v>39</v>
      </c>
      <c r="C835" t="s">
        <v>174</v>
      </c>
      <c r="D835" t="s">
        <v>175</v>
      </c>
      <c r="E835" t="s">
        <v>91</v>
      </c>
      <c r="F835" t="s">
        <v>120</v>
      </c>
      <c r="G835">
        <v>0</v>
      </c>
    </row>
    <row r="836" spans="1:7" x14ac:dyDescent="0.35">
      <c r="A836">
        <v>2019</v>
      </c>
      <c r="B836" t="s">
        <v>39</v>
      </c>
      <c r="C836" t="s">
        <v>174</v>
      </c>
      <c r="D836" t="s">
        <v>175</v>
      </c>
      <c r="E836" t="s">
        <v>113</v>
      </c>
      <c r="F836" t="s">
        <v>120</v>
      </c>
      <c r="G836">
        <v>0</v>
      </c>
    </row>
    <row r="837" spans="1:7" x14ac:dyDescent="0.35">
      <c r="A837">
        <v>2019</v>
      </c>
      <c r="B837" t="s">
        <v>39</v>
      </c>
      <c r="C837" t="s">
        <v>174</v>
      </c>
      <c r="D837" t="s">
        <v>175</v>
      </c>
      <c r="E837" t="s">
        <v>114</v>
      </c>
      <c r="F837" t="s">
        <v>120</v>
      </c>
      <c r="G837">
        <v>0</v>
      </c>
    </row>
    <row r="838" spans="1:7" x14ac:dyDescent="0.35">
      <c r="A838">
        <v>2019</v>
      </c>
      <c r="B838" t="s">
        <v>40</v>
      </c>
      <c r="C838" t="s">
        <v>174</v>
      </c>
      <c r="D838" t="s">
        <v>175</v>
      </c>
      <c r="E838" t="s">
        <v>112</v>
      </c>
      <c r="F838" t="s">
        <v>120</v>
      </c>
      <c r="G838">
        <v>0</v>
      </c>
    </row>
    <row r="839" spans="1:7" x14ac:dyDescent="0.35">
      <c r="A839">
        <v>2019</v>
      </c>
      <c r="B839" t="s">
        <v>40</v>
      </c>
      <c r="C839" t="s">
        <v>174</v>
      </c>
      <c r="D839" t="s">
        <v>175</v>
      </c>
      <c r="E839" t="s">
        <v>91</v>
      </c>
      <c r="F839" t="s">
        <v>120</v>
      </c>
      <c r="G839">
        <v>0</v>
      </c>
    </row>
    <row r="840" spans="1:7" x14ac:dyDescent="0.35">
      <c r="A840">
        <v>2019</v>
      </c>
      <c r="B840" t="s">
        <v>40</v>
      </c>
      <c r="C840" t="s">
        <v>174</v>
      </c>
      <c r="D840" t="s">
        <v>175</v>
      </c>
      <c r="E840" t="s">
        <v>113</v>
      </c>
      <c r="F840" t="s">
        <v>120</v>
      </c>
      <c r="G840">
        <v>0</v>
      </c>
    </row>
    <row r="841" spans="1:7" x14ac:dyDescent="0.35">
      <c r="A841">
        <v>2019</v>
      </c>
      <c r="B841" t="s">
        <v>40</v>
      </c>
      <c r="C841" t="s">
        <v>174</v>
      </c>
      <c r="D841" t="s">
        <v>175</v>
      </c>
      <c r="E841" t="s">
        <v>114</v>
      </c>
      <c r="F841" t="s">
        <v>120</v>
      </c>
      <c r="G841">
        <v>0</v>
      </c>
    </row>
    <row r="842" spans="1:7" x14ac:dyDescent="0.35">
      <c r="A842">
        <v>2019</v>
      </c>
      <c r="B842" t="s">
        <v>41</v>
      </c>
      <c r="C842" t="s">
        <v>174</v>
      </c>
      <c r="D842" t="s">
        <v>175</v>
      </c>
      <c r="E842" t="s">
        <v>112</v>
      </c>
      <c r="F842" t="s">
        <v>120</v>
      </c>
      <c r="G842">
        <v>0</v>
      </c>
    </row>
    <row r="843" spans="1:7" x14ac:dyDescent="0.35">
      <c r="A843">
        <v>2019</v>
      </c>
      <c r="B843" t="s">
        <v>41</v>
      </c>
      <c r="C843" t="s">
        <v>174</v>
      </c>
      <c r="D843" t="s">
        <v>175</v>
      </c>
      <c r="E843" t="s">
        <v>91</v>
      </c>
      <c r="F843" t="s">
        <v>120</v>
      </c>
      <c r="G843">
        <v>0</v>
      </c>
    </row>
    <row r="844" spans="1:7" x14ac:dyDescent="0.35">
      <c r="A844">
        <v>2019</v>
      </c>
      <c r="B844" t="s">
        <v>41</v>
      </c>
      <c r="C844" t="s">
        <v>174</v>
      </c>
      <c r="D844" t="s">
        <v>175</v>
      </c>
      <c r="E844" t="s">
        <v>113</v>
      </c>
      <c r="F844" t="s">
        <v>120</v>
      </c>
      <c r="G844">
        <v>1</v>
      </c>
    </row>
    <row r="845" spans="1:7" x14ac:dyDescent="0.35">
      <c r="A845">
        <v>2019</v>
      </c>
      <c r="B845" t="s">
        <v>41</v>
      </c>
      <c r="C845" t="s">
        <v>174</v>
      </c>
      <c r="D845" t="s">
        <v>175</v>
      </c>
      <c r="E845" t="s">
        <v>114</v>
      </c>
      <c r="F845" t="s">
        <v>120</v>
      </c>
      <c r="G845">
        <v>0</v>
      </c>
    </row>
    <row r="846" spans="1:7" x14ac:dyDescent="0.35">
      <c r="A846">
        <v>2019</v>
      </c>
      <c r="B846" t="s">
        <v>58</v>
      </c>
      <c r="C846" t="s">
        <v>174</v>
      </c>
      <c r="D846" t="s">
        <v>175</v>
      </c>
      <c r="E846" t="s">
        <v>112</v>
      </c>
      <c r="F846" t="s">
        <v>120</v>
      </c>
      <c r="G846">
        <v>0</v>
      </c>
    </row>
    <row r="847" spans="1:7" x14ac:dyDescent="0.35">
      <c r="A847">
        <v>2019</v>
      </c>
      <c r="B847" t="s">
        <v>58</v>
      </c>
      <c r="C847" t="s">
        <v>174</v>
      </c>
      <c r="D847" t="s">
        <v>175</v>
      </c>
      <c r="E847" t="s">
        <v>91</v>
      </c>
      <c r="F847" t="s">
        <v>120</v>
      </c>
      <c r="G847">
        <v>0</v>
      </c>
    </row>
    <row r="848" spans="1:7" x14ac:dyDescent="0.35">
      <c r="A848">
        <v>2019</v>
      </c>
      <c r="B848" t="s">
        <v>58</v>
      </c>
      <c r="C848" t="s">
        <v>174</v>
      </c>
      <c r="D848" t="s">
        <v>175</v>
      </c>
      <c r="E848" t="s">
        <v>113</v>
      </c>
      <c r="F848" t="s">
        <v>120</v>
      </c>
      <c r="G848">
        <v>1</v>
      </c>
    </row>
    <row r="849" spans="1:7" x14ac:dyDescent="0.35">
      <c r="A849">
        <v>2019</v>
      </c>
      <c r="B849" t="s">
        <v>58</v>
      </c>
      <c r="C849" t="s">
        <v>174</v>
      </c>
      <c r="D849" t="s">
        <v>175</v>
      </c>
      <c r="E849" t="s">
        <v>114</v>
      </c>
      <c r="F849" t="s">
        <v>120</v>
      </c>
      <c r="G849">
        <v>0</v>
      </c>
    </row>
    <row r="850" spans="1:7" x14ac:dyDescent="0.35">
      <c r="A850">
        <v>2019</v>
      </c>
      <c r="B850" t="s">
        <v>42</v>
      </c>
      <c r="C850" t="s">
        <v>174</v>
      </c>
      <c r="D850" t="s">
        <v>175</v>
      </c>
      <c r="E850" t="s">
        <v>112</v>
      </c>
      <c r="F850" t="s">
        <v>120</v>
      </c>
      <c r="G850">
        <v>0</v>
      </c>
    </row>
    <row r="851" spans="1:7" x14ac:dyDescent="0.35">
      <c r="A851">
        <v>2019</v>
      </c>
      <c r="B851" t="s">
        <v>42</v>
      </c>
      <c r="C851" t="s">
        <v>174</v>
      </c>
      <c r="D851" t="s">
        <v>175</v>
      </c>
      <c r="E851" t="s">
        <v>91</v>
      </c>
      <c r="F851" t="s">
        <v>120</v>
      </c>
      <c r="G851">
        <v>0</v>
      </c>
    </row>
    <row r="852" spans="1:7" x14ac:dyDescent="0.35">
      <c r="A852">
        <v>2019</v>
      </c>
      <c r="B852" t="s">
        <v>42</v>
      </c>
      <c r="C852" t="s">
        <v>174</v>
      </c>
      <c r="D852" t="s">
        <v>175</v>
      </c>
      <c r="E852" t="s">
        <v>113</v>
      </c>
      <c r="F852" t="s">
        <v>120</v>
      </c>
      <c r="G852">
        <v>0</v>
      </c>
    </row>
    <row r="853" spans="1:7" x14ac:dyDescent="0.35">
      <c r="A853">
        <v>2019</v>
      </c>
      <c r="B853" t="s">
        <v>42</v>
      </c>
      <c r="C853" t="s">
        <v>174</v>
      </c>
      <c r="D853" t="s">
        <v>175</v>
      </c>
      <c r="E853" t="s">
        <v>114</v>
      </c>
      <c r="F853" t="s">
        <v>120</v>
      </c>
      <c r="G853">
        <v>0</v>
      </c>
    </row>
    <row r="854" spans="1:7" x14ac:dyDescent="0.35">
      <c r="A854">
        <v>2019</v>
      </c>
      <c r="B854" t="s">
        <v>44</v>
      </c>
      <c r="C854" t="s">
        <v>174</v>
      </c>
      <c r="D854" t="s">
        <v>175</v>
      </c>
      <c r="E854" t="s">
        <v>112</v>
      </c>
      <c r="F854" t="s">
        <v>120</v>
      </c>
      <c r="G854">
        <v>0</v>
      </c>
    </row>
    <row r="855" spans="1:7" x14ac:dyDescent="0.35">
      <c r="A855">
        <v>2019</v>
      </c>
      <c r="B855" t="s">
        <v>44</v>
      </c>
      <c r="C855" t="s">
        <v>174</v>
      </c>
      <c r="D855" t="s">
        <v>175</v>
      </c>
      <c r="E855" t="s">
        <v>91</v>
      </c>
      <c r="F855" t="s">
        <v>120</v>
      </c>
      <c r="G855">
        <v>0</v>
      </c>
    </row>
    <row r="856" spans="1:7" x14ac:dyDescent="0.35">
      <c r="A856">
        <v>2019</v>
      </c>
      <c r="B856" t="s">
        <v>44</v>
      </c>
      <c r="C856" t="s">
        <v>174</v>
      </c>
      <c r="D856" t="s">
        <v>175</v>
      </c>
      <c r="E856" t="s">
        <v>113</v>
      </c>
      <c r="F856" t="s">
        <v>120</v>
      </c>
      <c r="G856">
        <v>0</v>
      </c>
    </row>
    <row r="857" spans="1:7" x14ac:dyDescent="0.35">
      <c r="A857">
        <v>2019</v>
      </c>
      <c r="B857" t="s">
        <v>44</v>
      </c>
      <c r="C857" t="s">
        <v>174</v>
      </c>
      <c r="D857" t="s">
        <v>175</v>
      </c>
      <c r="E857" t="s">
        <v>114</v>
      </c>
      <c r="F857" t="s">
        <v>120</v>
      </c>
      <c r="G857">
        <v>0</v>
      </c>
    </row>
    <row r="858" spans="1:7" x14ac:dyDescent="0.35">
      <c r="A858">
        <v>2019</v>
      </c>
      <c r="B858" t="s">
        <v>45</v>
      </c>
      <c r="C858" t="s">
        <v>174</v>
      </c>
      <c r="D858" t="s">
        <v>175</v>
      </c>
      <c r="E858" t="s">
        <v>112</v>
      </c>
      <c r="F858" t="s">
        <v>120</v>
      </c>
      <c r="G858">
        <v>0</v>
      </c>
    </row>
    <row r="859" spans="1:7" x14ac:dyDescent="0.35">
      <c r="A859">
        <v>2019</v>
      </c>
      <c r="B859" t="s">
        <v>45</v>
      </c>
      <c r="C859" t="s">
        <v>174</v>
      </c>
      <c r="D859" t="s">
        <v>175</v>
      </c>
      <c r="E859" t="s">
        <v>91</v>
      </c>
      <c r="F859" t="s">
        <v>120</v>
      </c>
      <c r="G859">
        <v>0</v>
      </c>
    </row>
    <row r="860" spans="1:7" x14ac:dyDescent="0.35">
      <c r="A860">
        <v>2019</v>
      </c>
      <c r="B860" t="s">
        <v>45</v>
      </c>
      <c r="C860" t="s">
        <v>174</v>
      </c>
      <c r="D860" t="s">
        <v>175</v>
      </c>
      <c r="E860" t="s">
        <v>113</v>
      </c>
      <c r="F860" t="s">
        <v>120</v>
      </c>
      <c r="G860">
        <v>0</v>
      </c>
    </row>
    <row r="861" spans="1:7" x14ac:dyDescent="0.35">
      <c r="A861">
        <v>2019</v>
      </c>
      <c r="B861" t="s">
        <v>45</v>
      </c>
      <c r="C861" t="s">
        <v>174</v>
      </c>
      <c r="D861" t="s">
        <v>175</v>
      </c>
      <c r="E861" t="s">
        <v>114</v>
      </c>
      <c r="F861" t="s">
        <v>120</v>
      </c>
      <c r="G861">
        <v>0</v>
      </c>
    </row>
    <row r="862" spans="1:7" x14ac:dyDescent="0.35">
      <c r="A862">
        <v>2019</v>
      </c>
      <c r="B862" t="s">
        <v>46</v>
      </c>
      <c r="C862" t="s">
        <v>174</v>
      </c>
      <c r="D862" t="s">
        <v>175</v>
      </c>
      <c r="E862" t="s">
        <v>112</v>
      </c>
      <c r="F862" t="s">
        <v>120</v>
      </c>
      <c r="G862">
        <v>0</v>
      </c>
    </row>
    <row r="863" spans="1:7" x14ac:dyDescent="0.35">
      <c r="A863">
        <v>2019</v>
      </c>
      <c r="B863" t="s">
        <v>46</v>
      </c>
      <c r="C863" t="s">
        <v>174</v>
      </c>
      <c r="D863" t="s">
        <v>175</v>
      </c>
      <c r="E863" t="s">
        <v>91</v>
      </c>
      <c r="F863" t="s">
        <v>120</v>
      </c>
      <c r="G863">
        <v>0</v>
      </c>
    </row>
    <row r="864" spans="1:7" x14ac:dyDescent="0.35">
      <c r="A864">
        <v>2019</v>
      </c>
      <c r="B864" t="s">
        <v>46</v>
      </c>
      <c r="C864" t="s">
        <v>174</v>
      </c>
      <c r="D864" t="s">
        <v>175</v>
      </c>
      <c r="E864" t="s">
        <v>113</v>
      </c>
      <c r="F864" t="s">
        <v>120</v>
      </c>
      <c r="G864">
        <v>0</v>
      </c>
    </row>
    <row r="865" spans="1:7" x14ac:dyDescent="0.35">
      <c r="A865">
        <v>2019</v>
      </c>
      <c r="B865" t="s">
        <v>46</v>
      </c>
      <c r="C865" t="s">
        <v>174</v>
      </c>
      <c r="D865" t="s">
        <v>175</v>
      </c>
      <c r="E865" t="s">
        <v>114</v>
      </c>
      <c r="F865" t="s">
        <v>120</v>
      </c>
      <c r="G865">
        <v>0</v>
      </c>
    </row>
    <row r="866" spans="1:7" x14ac:dyDescent="0.35">
      <c r="A866">
        <v>2019</v>
      </c>
      <c r="B866" t="s">
        <v>47</v>
      </c>
      <c r="C866" t="s">
        <v>174</v>
      </c>
      <c r="D866" t="s">
        <v>175</v>
      </c>
      <c r="E866" t="s">
        <v>112</v>
      </c>
      <c r="F866" t="s">
        <v>120</v>
      </c>
      <c r="G866">
        <v>0</v>
      </c>
    </row>
    <row r="867" spans="1:7" x14ac:dyDescent="0.35">
      <c r="A867">
        <v>2019</v>
      </c>
      <c r="B867" t="s">
        <v>47</v>
      </c>
      <c r="C867" t="s">
        <v>174</v>
      </c>
      <c r="D867" t="s">
        <v>175</v>
      </c>
      <c r="E867" t="s">
        <v>91</v>
      </c>
      <c r="F867" t="s">
        <v>120</v>
      </c>
      <c r="G867">
        <v>0</v>
      </c>
    </row>
    <row r="868" spans="1:7" x14ac:dyDescent="0.35">
      <c r="A868">
        <v>2019</v>
      </c>
      <c r="B868" t="s">
        <v>47</v>
      </c>
      <c r="C868" t="s">
        <v>174</v>
      </c>
      <c r="D868" t="s">
        <v>175</v>
      </c>
      <c r="E868" t="s">
        <v>113</v>
      </c>
      <c r="F868" t="s">
        <v>120</v>
      </c>
      <c r="G868">
        <v>1</v>
      </c>
    </row>
    <row r="869" spans="1:7" x14ac:dyDescent="0.35">
      <c r="A869">
        <v>2019</v>
      </c>
      <c r="B869" t="s">
        <v>47</v>
      </c>
      <c r="C869" t="s">
        <v>174</v>
      </c>
      <c r="D869" t="s">
        <v>175</v>
      </c>
      <c r="E869" t="s">
        <v>114</v>
      </c>
      <c r="F869" t="s">
        <v>120</v>
      </c>
      <c r="G869">
        <v>0</v>
      </c>
    </row>
    <row r="870" spans="1:7" x14ac:dyDescent="0.35">
      <c r="A870">
        <v>2019</v>
      </c>
      <c r="B870" t="s">
        <v>48</v>
      </c>
      <c r="C870" t="s">
        <v>174</v>
      </c>
      <c r="D870" t="s">
        <v>175</v>
      </c>
      <c r="E870" t="s">
        <v>112</v>
      </c>
      <c r="F870" t="s">
        <v>120</v>
      </c>
      <c r="G870">
        <v>1</v>
      </c>
    </row>
    <row r="871" spans="1:7" x14ac:dyDescent="0.35">
      <c r="A871">
        <v>2019</v>
      </c>
      <c r="B871" t="s">
        <v>48</v>
      </c>
      <c r="C871" t="s">
        <v>174</v>
      </c>
      <c r="D871" t="s">
        <v>175</v>
      </c>
      <c r="E871" t="s">
        <v>91</v>
      </c>
      <c r="F871" t="s">
        <v>120</v>
      </c>
      <c r="G871">
        <v>0</v>
      </c>
    </row>
    <row r="872" spans="1:7" x14ac:dyDescent="0.35">
      <c r="A872">
        <v>2019</v>
      </c>
      <c r="B872" t="s">
        <v>48</v>
      </c>
      <c r="C872" t="s">
        <v>174</v>
      </c>
      <c r="D872" t="s">
        <v>175</v>
      </c>
      <c r="E872" t="s">
        <v>113</v>
      </c>
      <c r="F872" t="s">
        <v>120</v>
      </c>
      <c r="G872">
        <v>0</v>
      </c>
    </row>
    <row r="873" spans="1:7" x14ac:dyDescent="0.35">
      <c r="A873">
        <v>2019</v>
      </c>
      <c r="B873" t="s">
        <v>48</v>
      </c>
      <c r="C873" t="s">
        <v>174</v>
      </c>
      <c r="D873" t="s">
        <v>175</v>
      </c>
      <c r="E873" t="s">
        <v>114</v>
      </c>
      <c r="F873" t="s">
        <v>120</v>
      </c>
      <c r="G873">
        <v>0</v>
      </c>
    </row>
    <row r="874" spans="1:7" x14ac:dyDescent="0.35">
      <c r="A874">
        <v>2019</v>
      </c>
      <c r="B874" t="s">
        <v>49</v>
      </c>
      <c r="C874" t="s">
        <v>174</v>
      </c>
      <c r="D874" t="s">
        <v>175</v>
      </c>
      <c r="E874" t="s">
        <v>112</v>
      </c>
      <c r="F874" t="s">
        <v>120</v>
      </c>
      <c r="G874">
        <v>0</v>
      </c>
    </row>
    <row r="875" spans="1:7" x14ac:dyDescent="0.35">
      <c r="A875">
        <v>2019</v>
      </c>
      <c r="B875" t="s">
        <v>49</v>
      </c>
      <c r="C875" t="s">
        <v>174</v>
      </c>
      <c r="D875" t="s">
        <v>175</v>
      </c>
      <c r="E875" t="s">
        <v>91</v>
      </c>
      <c r="F875" t="s">
        <v>120</v>
      </c>
      <c r="G875">
        <v>0</v>
      </c>
    </row>
    <row r="876" spans="1:7" x14ac:dyDescent="0.35">
      <c r="A876">
        <v>2019</v>
      </c>
      <c r="B876" t="s">
        <v>49</v>
      </c>
      <c r="C876" t="s">
        <v>174</v>
      </c>
      <c r="D876" t="s">
        <v>175</v>
      </c>
      <c r="E876" t="s">
        <v>113</v>
      </c>
      <c r="F876" t="s">
        <v>120</v>
      </c>
      <c r="G876">
        <v>0</v>
      </c>
    </row>
    <row r="877" spans="1:7" x14ac:dyDescent="0.35">
      <c r="A877">
        <v>2019</v>
      </c>
      <c r="B877" t="s">
        <v>49</v>
      </c>
      <c r="C877" t="s">
        <v>174</v>
      </c>
      <c r="D877" t="s">
        <v>175</v>
      </c>
      <c r="E877" t="s">
        <v>114</v>
      </c>
      <c r="F877" t="s">
        <v>120</v>
      </c>
      <c r="G877">
        <v>0</v>
      </c>
    </row>
    <row r="878" spans="1:7" x14ac:dyDescent="0.35">
      <c r="A878">
        <v>2019</v>
      </c>
      <c r="B878" t="s">
        <v>59</v>
      </c>
      <c r="C878" t="s">
        <v>174</v>
      </c>
      <c r="D878" t="s">
        <v>175</v>
      </c>
      <c r="E878" t="s">
        <v>112</v>
      </c>
      <c r="F878" t="s">
        <v>120</v>
      </c>
      <c r="G878">
        <v>0</v>
      </c>
    </row>
    <row r="879" spans="1:7" x14ac:dyDescent="0.35">
      <c r="A879">
        <v>2019</v>
      </c>
      <c r="B879" t="s">
        <v>59</v>
      </c>
      <c r="C879" t="s">
        <v>174</v>
      </c>
      <c r="D879" t="s">
        <v>175</v>
      </c>
      <c r="E879" t="s">
        <v>91</v>
      </c>
      <c r="F879" t="s">
        <v>120</v>
      </c>
      <c r="G879">
        <v>2</v>
      </c>
    </row>
    <row r="880" spans="1:7" x14ac:dyDescent="0.35">
      <c r="A880">
        <v>2019</v>
      </c>
      <c r="B880" t="s">
        <v>59</v>
      </c>
      <c r="C880" t="s">
        <v>174</v>
      </c>
      <c r="D880" t="s">
        <v>175</v>
      </c>
      <c r="E880" t="s">
        <v>113</v>
      </c>
      <c r="F880" t="s">
        <v>120</v>
      </c>
      <c r="G880">
        <v>1</v>
      </c>
    </row>
    <row r="881" spans="1:7" x14ac:dyDescent="0.35">
      <c r="A881">
        <v>2019</v>
      </c>
      <c r="B881" t="s">
        <v>59</v>
      </c>
      <c r="C881" t="s">
        <v>174</v>
      </c>
      <c r="D881" t="s">
        <v>175</v>
      </c>
      <c r="E881" t="s">
        <v>114</v>
      </c>
      <c r="F881" t="s">
        <v>120</v>
      </c>
      <c r="G881">
        <v>0</v>
      </c>
    </row>
    <row r="882" spans="1:7" x14ac:dyDescent="0.35">
      <c r="A882">
        <v>2019</v>
      </c>
      <c r="B882" t="s">
        <v>50</v>
      </c>
      <c r="C882" t="s">
        <v>174</v>
      </c>
      <c r="D882" t="s">
        <v>175</v>
      </c>
      <c r="E882" t="s">
        <v>112</v>
      </c>
      <c r="F882" t="s">
        <v>120</v>
      </c>
      <c r="G882">
        <v>2</v>
      </c>
    </row>
    <row r="883" spans="1:7" x14ac:dyDescent="0.35">
      <c r="A883">
        <v>2019</v>
      </c>
      <c r="B883" t="s">
        <v>50</v>
      </c>
      <c r="C883" t="s">
        <v>174</v>
      </c>
      <c r="D883" t="s">
        <v>175</v>
      </c>
      <c r="E883" t="s">
        <v>91</v>
      </c>
      <c r="F883" t="s">
        <v>120</v>
      </c>
      <c r="G883">
        <v>1</v>
      </c>
    </row>
    <row r="884" spans="1:7" x14ac:dyDescent="0.35">
      <c r="A884">
        <v>2019</v>
      </c>
      <c r="B884" t="s">
        <v>50</v>
      </c>
      <c r="C884" t="s">
        <v>174</v>
      </c>
      <c r="D884" t="s">
        <v>175</v>
      </c>
      <c r="E884" t="s">
        <v>113</v>
      </c>
      <c r="F884" t="s">
        <v>120</v>
      </c>
      <c r="G884">
        <v>0</v>
      </c>
    </row>
    <row r="885" spans="1:7" x14ac:dyDescent="0.35">
      <c r="A885">
        <v>2019</v>
      </c>
      <c r="B885" t="s">
        <v>50</v>
      </c>
      <c r="C885" t="s">
        <v>174</v>
      </c>
      <c r="D885" t="s">
        <v>175</v>
      </c>
      <c r="E885" t="s">
        <v>114</v>
      </c>
      <c r="F885" t="s">
        <v>120</v>
      </c>
      <c r="G885">
        <v>0</v>
      </c>
    </row>
    <row r="886" spans="1:7" x14ac:dyDescent="0.35">
      <c r="A886">
        <v>2019</v>
      </c>
      <c r="B886" t="s">
        <v>51</v>
      </c>
      <c r="C886" t="s">
        <v>174</v>
      </c>
      <c r="D886" t="s">
        <v>175</v>
      </c>
      <c r="E886" t="s">
        <v>112</v>
      </c>
      <c r="F886" t="s">
        <v>120</v>
      </c>
      <c r="G886">
        <v>0</v>
      </c>
    </row>
    <row r="887" spans="1:7" x14ac:dyDescent="0.35">
      <c r="A887">
        <v>2019</v>
      </c>
      <c r="B887" t="s">
        <v>51</v>
      </c>
      <c r="C887" t="s">
        <v>174</v>
      </c>
      <c r="D887" t="s">
        <v>175</v>
      </c>
      <c r="E887" t="s">
        <v>91</v>
      </c>
      <c r="F887" t="s">
        <v>120</v>
      </c>
      <c r="G887">
        <v>0</v>
      </c>
    </row>
    <row r="888" spans="1:7" x14ac:dyDescent="0.35">
      <c r="A888">
        <v>2019</v>
      </c>
      <c r="B888" t="s">
        <v>51</v>
      </c>
      <c r="C888" t="s">
        <v>174</v>
      </c>
      <c r="D888" t="s">
        <v>175</v>
      </c>
      <c r="E888" t="s">
        <v>113</v>
      </c>
      <c r="F888" t="s">
        <v>120</v>
      </c>
      <c r="G888">
        <v>0</v>
      </c>
    </row>
    <row r="889" spans="1:7" x14ac:dyDescent="0.35">
      <c r="A889">
        <v>2019</v>
      </c>
      <c r="B889" t="s">
        <v>51</v>
      </c>
      <c r="C889" t="s">
        <v>174</v>
      </c>
      <c r="D889" t="s">
        <v>175</v>
      </c>
      <c r="E889" t="s">
        <v>114</v>
      </c>
      <c r="F889" t="s">
        <v>120</v>
      </c>
      <c r="G889">
        <v>0</v>
      </c>
    </row>
    <row r="890" spans="1:7" x14ac:dyDescent="0.35">
      <c r="A890">
        <v>2019</v>
      </c>
      <c r="B890" t="s">
        <v>52</v>
      </c>
      <c r="C890" t="s">
        <v>174</v>
      </c>
      <c r="D890" t="s">
        <v>175</v>
      </c>
      <c r="E890" t="s">
        <v>112</v>
      </c>
      <c r="F890" t="s">
        <v>120</v>
      </c>
      <c r="G890">
        <v>0</v>
      </c>
    </row>
    <row r="891" spans="1:7" x14ac:dyDescent="0.35">
      <c r="A891">
        <v>2019</v>
      </c>
      <c r="B891" t="s">
        <v>52</v>
      </c>
      <c r="C891" t="s">
        <v>174</v>
      </c>
      <c r="D891" t="s">
        <v>175</v>
      </c>
      <c r="E891" t="s">
        <v>91</v>
      </c>
      <c r="F891" t="s">
        <v>120</v>
      </c>
      <c r="G891">
        <v>0</v>
      </c>
    </row>
    <row r="892" spans="1:7" x14ac:dyDescent="0.35">
      <c r="A892">
        <v>2019</v>
      </c>
      <c r="B892" t="s">
        <v>52</v>
      </c>
      <c r="C892" t="s">
        <v>174</v>
      </c>
      <c r="D892" t="s">
        <v>175</v>
      </c>
      <c r="E892" t="s">
        <v>113</v>
      </c>
      <c r="F892" t="s">
        <v>120</v>
      </c>
      <c r="G892">
        <v>0</v>
      </c>
    </row>
    <row r="893" spans="1:7" x14ac:dyDescent="0.35">
      <c r="A893">
        <v>2019</v>
      </c>
      <c r="B893" t="s">
        <v>52</v>
      </c>
      <c r="C893" t="s">
        <v>174</v>
      </c>
      <c r="D893" t="s">
        <v>175</v>
      </c>
      <c r="E893" t="s">
        <v>114</v>
      </c>
      <c r="F893" t="s">
        <v>120</v>
      </c>
      <c r="G893">
        <v>0</v>
      </c>
    </row>
    <row r="894" spans="1:7" x14ac:dyDescent="0.35">
      <c r="A894">
        <v>2019</v>
      </c>
      <c r="B894" t="s">
        <v>60</v>
      </c>
      <c r="C894" t="s">
        <v>174</v>
      </c>
      <c r="D894" t="s">
        <v>175</v>
      </c>
      <c r="E894" t="s">
        <v>112</v>
      </c>
      <c r="F894" t="s">
        <v>120</v>
      </c>
      <c r="G894">
        <v>0</v>
      </c>
    </row>
    <row r="895" spans="1:7" x14ac:dyDescent="0.35">
      <c r="A895">
        <v>2019</v>
      </c>
      <c r="B895" t="s">
        <v>60</v>
      </c>
      <c r="C895" t="s">
        <v>174</v>
      </c>
      <c r="D895" t="s">
        <v>175</v>
      </c>
      <c r="E895" t="s">
        <v>91</v>
      </c>
      <c r="F895" t="s">
        <v>120</v>
      </c>
      <c r="G895">
        <v>0</v>
      </c>
    </row>
    <row r="896" spans="1:7" x14ac:dyDescent="0.35">
      <c r="A896">
        <v>2019</v>
      </c>
      <c r="B896" t="s">
        <v>60</v>
      </c>
      <c r="C896" t="s">
        <v>174</v>
      </c>
      <c r="D896" t="s">
        <v>175</v>
      </c>
      <c r="E896" t="s">
        <v>113</v>
      </c>
      <c r="F896" t="s">
        <v>120</v>
      </c>
      <c r="G896">
        <v>1</v>
      </c>
    </row>
    <row r="897" spans="1:7" x14ac:dyDescent="0.35">
      <c r="A897">
        <v>2019</v>
      </c>
      <c r="B897" t="s">
        <v>60</v>
      </c>
      <c r="C897" t="s">
        <v>174</v>
      </c>
      <c r="D897" t="s">
        <v>175</v>
      </c>
      <c r="E897" t="s">
        <v>114</v>
      </c>
      <c r="F897" t="s">
        <v>120</v>
      </c>
      <c r="G897">
        <v>0</v>
      </c>
    </row>
    <row r="898" spans="1:7" x14ac:dyDescent="0.35">
      <c r="A898">
        <v>2019</v>
      </c>
      <c r="B898" t="s">
        <v>53</v>
      </c>
      <c r="C898" t="s">
        <v>174</v>
      </c>
      <c r="D898" t="s">
        <v>175</v>
      </c>
      <c r="E898" t="s">
        <v>112</v>
      </c>
      <c r="F898" t="s">
        <v>120</v>
      </c>
      <c r="G898">
        <v>0</v>
      </c>
    </row>
    <row r="899" spans="1:7" x14ac:dyDescent="0.35">
      <c r="A899">
        <v>2019</v>
      </c>
      <c r="B899" t="s">
        <v>53</v>
      </c>
      <c r="C899" t="s">
        <v>174</v>
      </c>
      <c r="D899" t="s">
        <v>175</v>
      </c>
      <c r="E899" t="s">
        <v>91</v>
      </c>
      <c r="F899" t="s">
        <v>120</v>
      </c>
      <c r="G899">
        <v>0</v>
      </c>
    </row>
    <row r="900" spans="1:7" x14ac:dyDescent="0.35">
      <c r="A900">
        <v>2019</v>
      </c>
      <c r="B900" t="s">
        <v>53</v>
      </c>
      <c r="C900" t="s">
        <v>174</v>
      </c>
      <c r="D900" t="s">
        <v>175</v>
      </c>
      <c r="E900" t="s">
        <v>113</v>
      </c>
      <c r="F900" t="s">
        <v>120</v>
      </c>
      <c r="G900">
        <v>0</v>
      </c>
    </row>
    <row r="901" spans="1:7" x14ac:dyDescent="0.35">
      <c r="A901">
        <v>2019</v>
      </c>
      <c r="B901" t="s">
        <v>53</v>
      </c>
      <c r="C901" t="s">
        <v>174</v>
      </c>
      <c r="D901" t="s">
        <v>175</v>
      </c>
      <c r="E901" t="s">
        <v>114</v>
      </c>
      <c r="F901" t="s">
        <v>120</v>
      </c>
      <c r="G901">
        <v>0</v>
      </c>
    </row>
    <row r="902" spans="1:7" x14ac:dyDescent="0.35">
      <c r="A902">
        <v>2019</v>
      </c>
      <c r="B902" t="s">
        <v>61</v>
      </c>
      <c r="C902" t="s">
        <v>174</v>
      </c>
      <c r="D902" t="s">
        <v>175</v>
      </c>
      <c r="E902" t="s">
        <v>112</v>
      </c>
      <c r="F902" t="s">
        <v>120</v>
      </c>
      <c r="G902">
        <v>0</v>
      </c>
    </row>
    <row r="903" spans="1:7" x14ac:dyDescent="0.35">
      <c r="A903">
        <v>2019</v>
      </c>
      <c r="B903" t="s">
        <v>61</v>
      </c>
      <c r="C903" t="s">
        <v>174</v>
      </c>
      <c r="D903" t="s">
        <v>175</v>
      </c>
      <c r="E903" t="s">
        <v>91</v>
      </c>
      <c r="F903" t="s">
        <v>120</v>
      </c>
      <c r="G903">
        <v>8</v>
      </c>
    </row>
    <row r="904" spans="1:7" x14ac:dyDescent="0.35">
      <c r="A904">
        <v>2019</v>
      </c>
      <c r="B904" t="s">
        <v>61</v>
      </c>
      <c r="C904" t="s">
        <v>174</v>
      </c>
      <c r="D904" t="s">
        <v>175</v>
      </c>
      <c r="E904" t="s">
        <v>113</v>
      </c>
      <c r="F904" t="s">
        <v>120</v>
      </c>
      <c r="G904">
        <v>1</v>
      </c>
    </row>
    <row r="905" spans="1:7" x14ac:dyDescent="0.35">
      <c r="A905">
        <v>2019</v>
      </c>
      <c r="B905" t="s">
        <v>61</v>
      </c>
      <c r="C905" t="s">
        <v>174</v>
      </c>
      <c r="D905" t="s">
        <v>175</v>
      </c>
      <c r="E905" t="s">
        <v>114</v>
      </c>
      <c r="F905" t="s">
        <v>120</v>
      </c>
      <c r="G905">
        <v>0</v>
      </c>
    </row>
    <row r="906" spans="1:7" x14ac:dyDescent="0.35">
      <c r="A906">
        <v>2019</v>
      </c>
      <c r="B906" t="s">
        <v>54</v>
      </c>
      <c r="C906" t="s">
        <v>174</v>
      </c>
      <c r="D906" t="s">
        <v>175</v>
      </c>
      <c r="E906" t="s">
        <v>112</v>
      </c>
      <c r="F906" t="s">
        <v>120</v>
      </c>
      <c r="G906">
        <v>0</v>
      </c>
    </row>
    <row r="907" spans="1:7" x14ac:dyDescent="0.35">
      <c r="A907">
        <v>2019</v>
      </c>
      <c r="B907" t="s">
        <v>54</v>
      </c>
      <c r="C907" t="s">
        <v>174</v>
      </c>
      <c r="D907" t="s">
        <v>175</v>
      </c>
      <c r="E907" t="s">
        <v>91</v>
      </c>
      <c r="F907" t="s">
        <v>120</v>
      </c>
      <c r="G907">
        <v>0</v>
      </c>
    </row>
    <row r="908" spans="1:7" x14ac:dyDescent="0.35">
      <c r="A908">
        <v>2019</v>
      </c>
      <c r="B908" t="s">
        <v>54</v>
      </c>
      <c r="C908" t="s">
        <v>174</v>
      </c>
      <c r="D908" t="s">
        <v>175</v>
      </c>
      <c r="E908" t="s">
        <v>113</v>
      </c>
      <c r="F908" t="s">
        <v>120</v>
      </c>
      <c r="G908">
        <v>0</v>
      </c>
    </row>
    <row r="909" spans="1:7" x14ac:dyDescent="0.35">
      <c r="A909">
        <v>2019</v>
      </c>
      <c r="B909" t="s">
        <v>54</v>
      </c>
      <c r="C909" t="s">
        <v>174</v>
      </c>
      <c r="D909" t="s">
        <v>175</v>
      </c>
      <c r="E909" t="s">
        <v>114</v>
      </c>
      <c r="F909" t="s">
        <v>120</v>
      </c>
      <c r="G909">
        <v>0</v>
      </c>
    </row>
    <row r="910" spans="1:7" x14ac:dyDescent="0.35">
      <c r="A910">
        <v>2019</v>
      </c>
      <c r="B910" t="s">
        <v>62</v>
      </c>
      <c r="C910" t="s">
        <v>174</v>
      </c>
      <c r="D910" t="s">
        <v>175</v>
      </c>
      <c r="E910" t="s">
        <v>112</v>
      </c>
      <c r="F910" t="s">
        <v>120</v>
      </c>
      <c r="G910">
        <v>2</v>
      </c>
    </row>
    <row r="911" spans="1:7" x14ac:dyDescent="0.35">
      <c r="A911">
        <v>2019</v>
      </c>
      <c r="B911" t="s">
        <v>62</v>
      </c>
      <c r="C911" t="s">
        <v>174</v>
      </c>
      <c r="D911" t="s">
        <v>175</v>
      </c>
      <c r="E911" t="s">
        <v>91</v>
      </c>
      <c r="F911" t="s">
        <v>120</v>
      </c>
      <c r="G911">
        <v>1</v>
      </c>
    </row>
    <row r="912" spans="1:7" x14ac:dyDescent="0.35">
      <c r="A912">
        <v>2019</v>
      </c>
      <c r="B912" t="s">
        <v>62</v>
      </c>
      <c r="C912" t="s">
        <v>174</v>
      </c>
      <c r="D912" t="s">
        <v>175</v>
      </c>
      <c r="E912" t="s">
        <v>113</v>
      </c>
      <c r="F912" t="s">
        <v>120</v>
      </c>
      <c r="G912">
        <v>1</v>
      </c>
    </row>
    <row r="913" spans="1:7" x14ac:dyDescent="0.35">
      <c r="A913">
        <v>2019</v>
      </c>
      <c r="B913" t="s">
        <v>62</v>
      </c>
      <c r="C913" t="s">
        <v>174</v>
      </c>
      <c r="D913" t="s">
        <v>175</v>
      </c>
      <c r="E913" t="s">
        <v>114</v>
      </c>
      <c r="F913" t="s">
        <v>120</v>
      </c>
      <c r="G913">
        <v>0</v>
      </c>
    </row>
    <row r="914" spans="1:7" x14ac:dyDescent="0.35">
      <c r="A914">
        <v>2019</v>
      </c>
      <c r="B914" t="s">
        <v>28</v>
      </c>
      <c r="C914" t="s">
        <v>174</v>
      </c>
      <c r="D914" t="s">
        <v>175</v>
      </c>
      <c r="E914" t="s">
        <v>112</v>
      </c>
      <c r="F914" t="s">
        <v>120</v>
      </c>
      <c r="G914">
        <v>0</v>
      </c>
    </row>
    <row r="915" spans="1:7" x14ac:dyDescent="0.35">
      <c r="A915">
        <v>2019</v>
      </c>
      <c r="B915" t="s">
        <v>28</v>
      </c>
      <c r="C915" t="s">
        <v>174</v>
      </c>
      <c r="D915" t="s">
        <v>175</v>
      </c>
      <c r="E915" t="s">
        <v>91</v>
      </c>
      <c r="F915" t="s">
        <v>120</v>
      </c>
      <c r="G915">
        <v>0</v>
      </c>
    </row>
    <row r="916" spans="1:7" x14ac:dyDescent="0.35">
      <c r="A916">
        <v>2019</v>
      </c>
      <c r="B916" t="s">
        <v>28</v>
      </c>
      <c r="C916" t="s">
        <v>174</v>
      </c>
      <c r="D916" t="s">
        <v>175</v>
      </c>
      <c r="E916" t="s">
        <v>113</v>
      </c>
      <c r="F916" t="s">
        <v>120</v>
      </c>
      <c r="G916">
        <v>0</v>
      </c>
    </row>
    <row r="917" spans="1:7" x14ac:dyDescent="0.35">
      <c r="A917">
        <v>2019</v>
      </c>
      <c r="B917" t="s">
        <v>28</v>
      </c>
      <c r="C917" t="s">
        <v>174</v>
      </c>
      <c r="D917" t="s">
        <v>175</v>
      </c>
      <c r="E917" t="s">
        <v>114</v>
      </c>
      <c r="F917" t="s">
        <v>120</v>
      </c>
      <c r="G917">
        <v>0</v>
      </c>
    </row>
    <row r="918" spans="1:7" x14ac:dyDescent="0.35">
      <c r="A918">
        <v>2019</v>
      </c>
      <c r="B918" t="s">
        <v>43</v>
      </c>
      <c r="C918" t="s">
        <v>174</v>
      </c>
      <c r="D918" t="s">
        <v>175</v>
      </c>
      <c r="E918" t="s">
        <v>112</v>
      </c>
      <c r="F918" t="s">
        <v>120</v>
      </c>
      <c r="G918">
        <v>0</v>
      </c>
    </row>
    <row r="919" spans="1:7" x14ac:dyDescent="0.35">
      <c r="A919">
        <v>2019</v>
      </c>
      <c r="B919" t="s">
        <v>43</v>
      </c>
      <c r="C919" t="s">
        <v>174</v>
      </c>
      <c r="D919" t="s">
        <v>175</v>
      </c>
      <c r="E919" t="s">
        <v>91</v>
      </c>
      <c r="F919" t="s">
        <v>120</v>
      </c>
      <c r="G919">
        <v>0</v>
      </c>
    </row>
    <row r="920" spans="1:7" x14ac:dyDescent="0.35">
      <c r="A920">
        <v>2019</v>
      </c>
      <c r="B920" t="s">
        <v>43</v>
      </c>
      <c r="C920" t="s">
        <v>174</v>
      </c>
      <c r="D920" t="s">
        <v>175</v>
      </c>
      <c r="E920" t="s">
        <v>113</v>
      </c>
      <c r="F920" t="s">
        <v>120</v>
      </c>
      <c r="G920">
        <v>0</v>
      </c>
    </row>
    <row r="921" spans="1:7" x14ac:dyDescent="0.35">
      <c r="A921">
        <v>2019</v>
      </c>
      <c r="B921" t="s">
        <v>43</v>
      </c>
      <c r="C921" t="s">
        <v>174</v>
      </c>
      <c r="D921" t="s">
        <v>175</v>
      </c>
      <c r="E921" t="s">
        <v>114</v>
      </c>
      <c r="F921" t="s">
        <v>120</v>
      </c>
      <c r="G921">
        <v>0</v>
      </c>
    </row>
    <row r="922" spans="1:7" x14ac:dyDescent="0.35">
      <c r="A922">
        <v>2019</v>
      </c>
      <c r="B922" t="s">
        <v>17</v>
      </c>
      <c r="C922" t="s">
        <v>174</v>
      </c>
      <c r="D922" t="s">
        <v>175</v>
      </c>
      <c r="E922" t="s">
        <v>112</v>
      </c>
      <c r="F922" t="s">
        <v>80</v>
      </c>
      <c r="G922">
        <v>0</v>
      </c>
    </row>
    <row r="923" spans="1:7" x14ac:dyDescent="0.35">
      <c r="A923">
        <v>2019</v>
      </c>
      <c r="B923" t="s">
        <v>17</v>
      </c>
      <c r="C923" t="s">
        <v>174</v>
      </c>
      <c r="D923" t="s">
        <v>175</v>
      </c>
      <c r="E923" t="s">
        <v>91</v>
      </c>
      <c r="F923" t="s">
        <v>80</v>
      </c>
      <c r="G923">
        <v>0</v>
      </c>
    </row>
    <row r="924" spans="1:7" x14ac:dyDescent="0.35">
      <c r="A924">
        <v>2019</v>
      </c>
      <c r="B924" t="s">
        <v>17</v>
      </c>
      <c r="C924" t="s">
        <v>174</v>
      </c>
      <c r="D924" t="s">
        <v>175</v>
      </c>
      <c r="E924" t="s">
        <v>113</v>
      </c>
      <c r="F924" t="s">
        <v>80</v>
      </c>
      <c r="G924">
        <v>0</v>
      </c>
    </row>
    <row r="925" spans="1:7" x14ac:dyDescent="0.35">
      <c r="A925">
        <v>2019</v>
      </c>
      <c r="B925" t="s">
        <v>17</v>
      </c>
      <c r="C925" t="s">
        <v>174</v>
      </c>
      <c r="D925" t="s">
        <v>175</v>
      </c>
      <c r="E925" t="s">
        <v>114</v>
      </c>
      <c r="F925" t="s">
        <v>80</v>
      </c>
      <c r="G925">
        <v>0</v>
      </c>
    </row>
    <row r="926" spans="1:7" x14ac:dyDescent="0.35">
      <c r="A926">
        <v>2019</v>
      </c>
      <c r="B926" t="s">
        <v>18</v>
      </c>
      <c r="C926" t="s">
        <v>174</v>
      </c>
      <c r="D926" t="s">
        <v>175</v>
      </c>
      <c r="E926" t="s">
        <v>112</v>
      </c>
      <c r="F926" t="s">
        <v>80</v>
      </c>
      <c r="G926">
        <v>0</v>
      </c>
    </row>
    <row r="927" spans="1:7" x14ac:dyDescent="0.35">
      <c r="A927">
        <v>2019</v>
      </c>
      <c r="B927" t="s">
        <v>18</v>
      </c>
      <c r="C927" t="s">
        <v>174</v>
      </c>
      <c r="D927" t="s">
        <v>175</v>
      </c>
      <c r="E927" t="s">
        <v>91</v>
      </c>
      <c r="F927" t="s">
        <v>80</v>
      </c>
      <c r="G927">
        <v>0</v>
      </c>
    </row>
    <row r="928" spans="1:7" x14ac:dyDescent="0.35">
      <c r="A928">
        <v>2019</v>
      </c>
      <c r="B928" t="s">
        <v>18</v>
      </c>
      <c r="C928" t="s">
        <v>174</v>
      </c>
      <c r="D928" t="s">
        <v>175</v>
      </c>
      <c r="E928" t="s">
        <v>113</v>
      </c>
      <c r="F928" t="s">
        <v>80</v>
      </c>
      <c r="G928">
        <v>0</v>
      </c>
    </row>
    <row r="929" spans="1:7" x14ac:dyDescent="0.35">
      <c r="A929">
        <v>2019</v>
      </c>
      <c r="B929" t="s">
        <v>18</v>
      </c>
      <c r="C929" t="s">
        <v>174</v>
      </c>
      <c r="D929" t="s">
        <v>175</v>
      </c>
      <c r="E929" t="s">
        <v>114</v>
      </c>
      <c r="F929" t="s">
        <v>80</v>
      </c>
      <c r="G929">
        <v>0</v>
      </c>
    </row>
    <row r="930" spans="1:7" x14ac:dyDescent="0.35">
      <c r="A930">
        <v>2019</v>
      </c>
      <c r="B930" t="s">
        <v>19</v>
      </c>
      <c r="C930" t="s">
        <v>174</v>
      </c>
      <c r="D930" t="s">
        <v>175</v>
      </c>
      <c r="E930" t="s">
        <v>112</v>
      </c>
      <c r="F930" t="s">
        <v>80</v>
      </c>
      <c r="G930">
        <v>0</v>
      </c>
    </row>
    <row r="931" spans="1:7" x14ac:dyDescent="0.35">
      <c r="A931">
        <v>2019</v>
      </c>
      <c r="B931" t="s">
        <v>19</v>
      </c>
      <c r="C931" t="s">
        <v>174</v>
      </c>
      <c r="D931" t="s">
        <v>175</v>
      </c>
      <c r="E931" t="s">
        <v>91</v>
      </c>
      <c r="F931" t="s">
        <v>80</v>
      </c>
      <c r="G931">
        <v>0</v>
      </c>
    </row>
    <row r="932" spans="1:7" x14ac:dyDescent="0.35">
      <c r="A932">
        <v>2019</v>
      </c>
      <c r="B932" t="s">
        <v>19</v>
      </c>
      <c r="C932" t="s">
        <v>174</v>
      </c>
      <c r="D932" t="s">
        <v>175</v>
      </c>
      <c r="E932" t="s">
        <v>113</v>
      </c>
      <c r="F932" t="s">
        <v>80</v>
      </c>
      <c r="G932">
        <v>0</v>
      </c>
    </row>
    <row r="933" spans="1:7" x14ac:dyDescent="0.35">
      <c r="A933">
        <v>2019</v>
      </c>
      <c r="B933" t="s">
        <v>19</v>
      </c>
      <c r="C933" t="s">
        <v>174</v>
      </c>
      <c r="D933" t="s">
        <v>175</v>
      </c>
      <c r="E933" t="s">
        <v>114</v>
      </c>
      <c r="F933" t="s">
        <v>80</v>
      </c>
      <c r="G933">
        <v>0</v>
      </c>
    </row>
    <row r="934" spans="1:7" x14ac:dyDescent="0.35">
      <c r="A934">
        <v>2019</v>
      </c>
      <c r="B934" t="s">
        <v>20</v>
      </c>
      <c r="C934" t="s">
        <v>174</v>
      </c>
      <c r="D934" t="s">
        <v>175</v>
      </c>
      <c r="E934" t="s">
        <v>112</v>
      </c>
      <c r="F934" t="s">
        <v>80</v>
      </c>
      <c r="G934">
        <v>0</v>
      </c>
    </row>
    <row r="935" spans="1:7" x14ac:dyDescent="0.35">
      <c r="A935">
        <v>2019</v>
      </c>
      <c r="B935" t="s">
        <v>20</v>
      </c>
      <c r="C935" t="s">
        <v>174</v>
      </c>
      <c r="D935" t="s">
        <v>175</v>
      </c>
      <c r="E935" t="s">
        <v>91</v>
      </c>
      <c r="F935" t="s">
        <v>80</v>
      </c>
      <c r="G935">
        <v>0</v>
      </c>
    </row>
    <row r="936" spans="1:7" x14ac:dyDescent="0.35">
      <c r="A936">
        <v>2019</v>
      </c>
      <c r="B936" t="s">
        <v>20</v>
      </c>
      <c r="C936" t="s">
        <v>174</v>
      </c>
      <c r="D936" t="s">
        <v>175</v>
      </c>
      <c r="E936" t="s">
        <v>113</v>
      </c>
      <c r="F936" t="s">
        <v>80</v>
      </c>
      <c r="G936">
        <v>0</v>
      </c>
    </row>
    <row r="937" spans="1:7" x14ac:dyDescent="0.35">
      <c r="A937">
        <v>2019</v>
      </c>
      <c r="B937" t="s">
        <v>20</v>
      </c>
      <c r="C937" t="s">
        <v>174</v>
      </c>
      <c r="D937" t="s">
        <v>175</v>
      </c>
      <c r="E937" t="s">
        <v>114</v>
      </c>
      <c r="F937" t="s">
        <v>80</v>
      </c>
      <c r="G937">
        <v>0</v>
      </c>
    </row>
    <row r="938" spans="1:7" x14ac:dyDescent="0.35">
      <c r="A938">
        <v>2019</v>
      </c>
      <c r="B938" t="s">
        <v>21</v>
      </c>
      <c r="C938" t="s">
        <v>174</v>
      </c>
      <c r="D938" t="s">
        <v>175</v>
      </c>
      <c r="E938" t="s">
        <v>112</v>
      </c>
      <c r="F938" t="s">
        <v>80</v>
      </c>
      <c r="G938">
        <v>0</v>
      </c>
    </row>
    <row r="939" spans="1:7" x14ac:dyDescent="0.35">
      <c r="A939">
        <v>2019</v>
      </c>
      <c r="B939" t="s">
        <v>21</v>
      </c>
      <c r="C939" t="s">
        <v>174</v>
      </c>
      <c r="D939" t="s">
        <v>175</v>
      </c>
      <c r="E939" t="s">
        <v>91</v>
      </c>
      <c r="F939" t="s">
        <v>80</v>
      </c>
      <c r="G939">
        <v>0</v>
      </c>
    </row>
    <row r="940" spans="1:7" x14ac:dyDescent="0.35">
      <c r="A940">
        <v>2019</v>
      </c>
      <c r="B940" t="s">
        <v>21</v>
      </c>
      <c r="C940" t="s">
        <v>174</v>
      </c>
      <c r="D940" t="s">
        <v>175</v>
      </c>
      <c r="E940" t="s">
        <v>113</v>
      </c>
      <c r="F940" t="s">
        <v>80</v>
      </c>
      <c r="G940">
        <v>0</v>
      </c>
    </row>
    <row r="941" spans="1:7" x14ac:dyDescent="0.35">
      <c r="A941">
        <v>2019</v>
      </c>
      <c r="B941" t="s">
        <v>21</v>
      </c>
      <c r="C941" t="s">
        <v>174</v>
      </c>
      <c r="D941" t="s">
        <v>175</v>
      </c>
      <c r="E941" t="s">
        <v>114</v>
      </c>
      <c r="F941" t="s">
        <v>80</v>
      </c>
      <c r="G941">
        <v>0</v>
      </c>
    </row>
    <row r="942" spans="1:7" x14ac:dyDescent="0.35">
      <c r="A942">
        <v>2019</v>
      </c>
      <c r="B942" t="s">
        <v>22</v>
      </c>
      <c r="C942" t="s">
        <v>174</v>
      </c>
      <c r="D942" t="s">
        <v>175</v>
      </c>
      <c r="E942" t="s">
        <v>112</v>
      </c>
      <c r="F942" t="s">
        <v>80</v>
      </c>
      <c r="G942">
        <v>0</v>
      </c>
    </row>
    <row r="943" spans="1:7" x14ac:dyDescent="0.35">
      <c r="A943">
        <v>2019</v>
      </c>
      <c r="B943" t="s">
        <v>22</v>
      </c>
      <c r="C943" t="s">
        <v>174</v>
      </c>
      <c r="D943" t="s">
        <v>175</v>
      </c>
      <c r="E943" t="s">
        <v>91</v>
      </c>
      <c r="F943" t="s">
        <v>80</v>
      </c>
      <c r="G943">
        <v>0</v>
      </c>
    </row>
    <row r="944" spans="1:7" x14ac:dyDescent="0.35">
      <c r="A944">
        <v>2019</v>
      </c>
      <c r="B944" t="s">
        <v>22</v>
      </c>
      <c r="C944" t="s">
        <v>174</v>
      </c>
      <c r="D944" t="s">
        <v>175</v>
      </c>
      <c r="E944" t="s">
        <v>113</v>
      </c>
      <c r="F944" t="s">
        <v>80</v>
      </c>
      <c r="G944">
        <v>0</v>
      </c>
    </row>
    <row r="945" spans="1:7" x14ac:dyDescent="0.35">
      <c r="A945">
        <v>2019</v>
      </c>
      <c r="B945" t="s">
        <v>22</v>
      </c>
      <c r="C945" t="s">
        <v>174</v>
      </c>
      <c r="D945" t="s">
        <v>175</v>
      </c>
      <c r="E945" t="s">
        <v>114</v>
      </c>
      <c r="F945" t="s">
        <v>80</v>
      </c>
      <c r="G945">
        <v>0</v>
      </c>
    </row>
    <row r="946" spans="1:7" x14ac:dyDescent="0.35">
      <c r="A946">
        <v>2019</v>
      </c>
      <c r="B946" t="s">
        <v>23</v>
      </c>
      <c r="C946" t="s">
        <v>174</v>
      </c>
      <c r="D946" t="s">
        <v>175</v>
      </c>
      <c r="E946" t="s">
        <v>112</v>
      </c>
      <c r="F946" t="s">
        <v>80</v>
      </c>
      <c r="G946">
        <v>0</v>
      </c>
    </row>
    <row r="947" spans="1:7" x14ac:dyDescent="0.35">
      <c r="A947">
        <v>2019</v>
      </c>
      <c r="B947" t="s">
        <v>23</v>
      </c>
      <c r="C947" t="s">
        <v>174</v>
      </c>
      <c r="D947" t="s">
        <v>175</v>
      </c>
      <c r="E947" t="s">
        <v>91</v>
      </c>
      <c r="F947" t="s">
        <v>80</v>
      </c>
      <c r="G947">
        <v>0</v>
      </c>
    </row>
    <row r="948" spans="1:7" x14ac:dyDescent="0.35">
      <c r="A948">
        <v>2019</v>
      </c>
      <c r="B948" t="s">
        <v>23</v>
      </c>
      <c r="C948" t="s">
        <v>174</v>
      </c>
      <c r="D948" t="s">
        <v>175</v>
      </c>
      <c r="E948" t="s">
        <v>113</v>
      </c>
      <c r="F948" t="s">
        <v>80</v>
      </c>
      <c r="G948">
        <v>0</v>
      </c>
    </row>
    <row r="949" spans="1:7" x14ac:dyDescent="0.35">
      <c r="A949">
        <v>2019</v>
      </c>
      <c r="B949" t="s">
        <v>23</v>
      </c>
      <c r="C949" t="s">
        <v>174</v>
      </c>
      <c r="D949" t="s">
        <v>175</v>
      </c>
      <c r="E949" t="s">
        <v>114</v>
      </c>
      <c r="F949" t="s">
        <v>80</v>
      </c>
      <c r="G949">
        <v>0</v>
      </c>
    </row>
    <row r="950" spans="1:7" x14ac:dyDescent="0.35">
      <c r="A950">
        <v>2019</v>
      </c>
      <c r="B950" t="s">
        <v>24</v>
      </c>
      <c r="C950" t="s">
        <v>174</v>
      </c>
      <c r="D950" t="s">
        <v>175</v>
      </c>
      <c r="E950" t="s">
        <v>112</v>
      </c>
      <c r="F950" t="s">
        <v>80</v>
      </c>
      <c r="G950">
        <v>0</v>
      </c>
    </row>
    <row r="951" spans="1:7" x14ac:dyDescent="0.35">
      <c r="A951">
        <v>2019</v>
      </c>
      <c r="B951" t="s">
        <v>24</v>
      </c>
      <c r="C951" t="s">
        <v>174</v>
      </c>
      <c r="D951" t="s">
        <v>175</v>
      </c>
      <c r="E951" t="s">
        <v>91</v>
      </c>
      <c r="F951" t="s">
        <v>80</v>
      </c>
      <c r="G951">
        <v>0</v>
      </c>
    </row>
    <row r="952" spans="1:7" x14ac:dyDescent="0.35">
      <c r="A952">
        <v>2019</v>
      </c>
      <c r="B952" t="s">
        <v>24</v>
      </c>
      <c r="C952" t="s">
        <v>174</v>
      </c>
      <c r="D952" t="s">
        <v>175</v>
      </c>
      <c r="E952" t="s">
        <v>113</v>
      </c>
      <c r="F952" t="s">
        <v>80</v>
      </c>
      <c r="G952">
        <v>0</v>
      </c>
    </row>
    <row r="953" spans="1:7" x14ac:dyDescent="0.35">
      <c r="A953">
        <v>2019</v>
      </c>
      <c r="B953" t="s">
        <v>24</v>
      </c>
      <c r="C953" t="s">
        <v>174</v>
      </c>
      <c r="D953" t="s">
        <v>175</v>
      </c>
      <c r="E953" t="s">
        <v>114</v>
      </c>
      <c r="F953" t="s">
        <v>80</v>
      </c>
      <c r="G953">
        <v>0</v>
      </c>
    </row>
    <row r="954" spans="1:7" x14ac:dyDescent="0.35">
      <c r="A954">
        <v>2019</v>
      </c>
      <c r="B954" t="s">
        <v>25</v>
      </c>
      <c r="C954" t="s">
        <v>174</v>
      </c>
      <c r="D954" t="s">
        <v>175</v>
      </c>
      <c r="E954" t="s">
        <v>112</v>
      </c>
      <c r="F954" t="s">
        <v>80</v>
      </c>
      <c r="G954">
        <v>0</v>
      </c>
    </row>
    <row r="955" spans="1:7" x14ac:dyDescent="0.35">
      <c r="A955">
        <v>2019</v>
      </c>
      <c r="B955" t="s">
        <v>25</v>
      </c>
      <c r="C955" t="s">
        <v>174</v>
      </c>
      <c r="D955" t="s">
        <v>175</v>
      </c>
      <c r="E955" t="s">
        <v>91</v>
      </c>
      <c r="F955" t="s">
        <v>80</v>
      </c>
      <c r="G955">
        <v>0</v>
      </c>
    </row>
    <row r="956" spans="1:7" x14ac:dyDescent="0.35">
      <c r="A956">
        <v>2019</v>
      </c>
      <c r="B956" t="s">
        <v>25</v>
      </c>
      <c r="C956" t="s">
        <v>174</v>
      </c>
      <c r="D956" t="s">
        <v>175</v>
      </c>
      <c r="E956" t="s">
        <v>113</v>
      </c>
      <c r="F956" t="s">
        <v>80</v>
      </c>
      <c r="G956">
        <v>0</v>
      </c>
    </row>
    <row r="957" spans="1:7" x14ac:dyDescent="0.35">
      <c r="A957">
        <v>2019</v>
      </c>
      <c r="B957" t="s">
        <v>25</v>
      </c>
      <c r="C957" t="s">
        <v>174</v>
      </c>
      <c r="D957" t="s">
        <v>175</v>
      </c>
      <c r="E957" t="s">
        <v>114</v>
      </c>
      <c r="F957" t="s">
        <v>80</v>
      </c>
      <c r="G957">
        <v>0</v>
      </c>
    </row>
    <row r="958" spans="1:7" x14ac:dyDescent="0.35">
      <c r="A958">
        <v>2019</v>
      </c>
      <c r="B958" t="s">
        <v>26</v>
      </c>
      <c r="C958" t="s">
        <v>174</v>
      </c>
      <c r="D958" t="s">
        <v>175</v>
      </c>
      <c r="E958" t="s">
        <v>112</v>
      </c>
      <c r="F958" t="s">
        <v>80</v>
      </c>
      <c r="G958">
        <v>0</v>
      </c>
    </row>
    <row r="959" spans="1:7" x14ac:dyDescent="0.35">
      <c r="A959">
        <v>2019</v>
      </c>
      <c r="B959" t="s">
        <v>26</v>
      </c>
      <c r="C959" t="s">
        <v>174</v>
      </c>
      <c r="D959" t="s">
        <v>175</v>
      </c>
      <c r="E959" t="s">
        <v>91</v>
      </c>
      <c r="F959" t="s">
        <v>80</v>
      </c>
      <c r="G959">
        <v>0</v>
      </c>
    </row>
    <row r="960" spans="1:7" x14ac:dyDescent="0.35">
      <c r="A960">
        <v>2019</v>
      </c>
      <c r="B960" t="s">
        <v>26</v>
      </c>
      <c r="C960" t="s">
        <v>174</v>
      </c>
      <c r="D960" t="s">
        <v>175</v>
      </c>
      <c r="E960" t="s">
        <v>113</v>
      </c>
      <c r="F960" t="s">
        <v>80</v>
      </c>
      <c r="G960">
        <v>0</v>
      </c>
    </row>
    <row r="961" spans="1:7" x14ac:dyDescent="0.35">
      <c r="A961">
        <v>2019</v>
      </c>
      <c r="B961" t="s">
        <v>26</v>
      </c>
      <c r="C961" t="s">
        <v>174</v>
      </c>
      <c r="D961" t="s">
        <v>175</v>
      </c>
      <c r="E961" t="s">
        <v>114</v>
      </c>
      <c r="F961" t="s">
        <v>80</v>
      </c>
      <c r="G961">
        <v>0</v>
      </c>
    </row>
    <row r="962" spans="1:7" x14ac:dyDescent="0.35">
      <c r="A962">
        <v>2019</v>
      </c>
      <c r="B962" t="s">
        <v>27</v>
      </c>
      <c r="C962" t="s">
        <v>174</v>
      </c>
      <c r="D962" t="s">
        <v>175</v>
      </c>
      <c r="E962" t="s">
        <v>112</v>
      </c>
      <c r="F962" t="s">
        <v>80</v>
      </c>
      <c r="G962">
        <v>1</v>
      </c>
    </row>
    <row r="963" spans="1:7" x14ac:dyDescent="0.35">
      <c r="A963">
        <v>2019</v>
      </c>
      <c r="B963" t="s">
        <v>27</v>
      </c>
      <c r="C963" t="s">
        <v>174</v>
      </c>
      <c r="D963" t="s">
        <v>175</v>
      </c>
      <c r="E963" t="s">
        <v>91</v>
      </c>
      <c r="F963" t="s">
        <v>80</v>
      </c>
      <c r="G963">
        <v>0</v>
      </c>
    </row>
    <row r="964" spans="1:7" x14ac:dyDescent="0.35">
      <c r="A964">
        <v>2019</v>
      </c>
      <c r="B964" t="s">
        <v>27</v>
      </c>
      <c r="C964" t="s">
        <v>174</v>
      </c>
      <c r="D964" t="s">
        <v>175</v>
      </c>
      <c r="E964" t="s">
        <v>113</v>
      </c>
      <c r="F964" t="s">
        <v>80</v>
      </c>
      <c r="G964">
        <v>0</v>
      </c>
    </row>
    <row r="965" spans="1:7" x14ac:dyDescent="0.35">
      <c r="A965">
        <v>2019</v>
      </c>
      <c r="B965" t="s">
        <v>27</v>
      </c>
      <c r="C965" t="s">
        <v>174</v>
      </c>
      <c r="D965" t="s">
        <v>175</v>
      </c>
      <c r="E965" t="s">
        <v>114</v>
      </c>
      <c r="F965" t="s">
        <v>80</v>
      </c>
      <c r="G965">
        <v>0</v>
      </c>
    </row>
    <row r="966" spans="1:7" x14ac:dyDescent="0.35">
      <c r="A966">
        <v>2019</v>
      </c>
      <c r="B966" t="s">
        <v>29</v>
      </c>
      <c r="C966" t="s">
        <v>174</v>
      </c>
      <c r="D966" t="s">
        <v>175</v>
      </c>
      <c r="E966" t="s">
        <v>112</v>
      </c>
      <c r="F966" t="s">
        <v>80</v>
      </c>
      <c r="G966">
        <v>0</v>
      </c>
    </row>
    <row r="967" spans="1:7" x14ac:dyDescent="0.35">
      <c r="A967">
        <v>2019</v>
      </c>
      <c r="B967" t="s">
        <v>29</v>
      </c>
      <c r="C967" t="s">
        <v>174</v>
      </c>
      <c r="D967" t="s">
        <v>175</v>
      </c>
      <c r="E967" t="s">
        <v>91</v>
      </c>
      <c r="F967" t="s">
        <v>80</v>
      </c>
      <c r="G967">
        <v>0</v>
      </c>
    </row>
    <row r="968" spans="1:7" x14ac:dyDescent="0.35">
      <c r="A968">
        <v>2019</v>
      </c>
      <c r="B968" t="s">
        <v>29</v>
      </c>
      <c r="C968" t="s">
        <v>174</v>
      </c>
      <c r="D968" t="s">
        <v>175</v>
      </c>
      <c r="E968" t="s">
        <v>113</v>
      </c>
      <c r="F968" t="s">
        <v>80</v>
      </c>
      <c r="G968">
        <v>0</v>
      </c>
    </row>
    <row r="969" spans="1:7" x14ac:dyDescent="0.35">
      <c r="A969">
        <v>2019</v>
      </c>
      <c r="B969" t="s">
        <v>29</v>
      </c>
      <c r="C969" t="s">
        <v>174</v>
      </c>
      <c r="D969" t="s">
        <v>175</v>
      </c>
      <c r="E969" t="s">
        <v>114</v>
      </c>
      <c r="F969" t="s">
        <v>80</v>
      </c>
      <c r="G969">
        <v>0</v>
      </c>
    </row>
    <row r="970" spans="1:7" x14ac:dyDescent="0.35">
      <c r="A970">
        <v>2019</v>
      </c>
      <c r="B970" t="s">
        <v>30</v>
      </c>
      <c r="C970" t="s">
        <v>174</v>
      </c>
      <c r="D970" t="s">
        <v>175</v>
      </c>
      <c r="E970" t="s">
        <v>112</v>
      </c>
      <c r="F970" t="s">
        <v>80</v>
      </c>
      <c r="G970">
        <v>0</v>
      </c>
    </row>
    <row r="971" spans="1:7" x14ac:dyDescent="0.35">
      <c r="A971">
        <v>2019</v>
      </c>
      <c r="B971" t="s">
        <v>30</v>
      </c>
      <c r="C971" t="s">
        <v>174</v>
      </c>
      <c r="D971" t="s">
        <v>175</v>
      </c>
      <c r="E971" t="s">
        <v>91</v>
      </c>
      <c r="F971" t="s">
        <v>80</v>
      </c>
      <c r="G971">
        <v>0</v>
      </c>
    </row>
    <row r="972" spans="1:7" x14ac:dyDescent="0.35">
      <c r="A972">
        <v>2019</v>
      </c>
      <c r="B972" t="s">
        <v>30</v>
      </c>
      <c r="C972" t="s">
        <v>174</v>
      </c>
      <c r="D972" t="s">
        <v>175</v>
      </c>
      <c r="E972" t="s">
        <v>113</v>
      </c>
      <c r="F972" t="s">
        <v>80</v>
      </c>
      <c r="G972">
        <v>0</v>
      </c>
    </row>
    <row r="973" spans="1:7" x14ac:dyDescent="0.35">
      <c r="A973">
        <v>2019</v>
      </c>
      <c r="B973" t="s">
        <v>30</v>
      </c>
      <c r="C973" t="s">
        <v>174</v>
      </c>
      <c r="D973" t="s">
        <v>175</v>
      </c>
      <c r="E973" t="s">
        <v>114</v>
      </c>
      <c r="F973" t="s">
        <v>80</v>
      </c>
      <c r="G973">
        <v>0</v>
      </c>
    </row>
    <row r="974" spans="1:7" x14ac:dyDescent="0.35">
      <c r="A974">
        <v>2019</v>
      </c>
      <c r="B974" t="s">
        <v>31</v>
      </c>
      <c r="C974" t="s">
        <v>174</v>
      </c>
      <c r="D974" t="s">
        <v>175</v>
      </c>
      <c r="E974" t="s">
        <v>112</v>
      </c>
      <c r="F974" t="s">
        <v>80</v>
      </c>
      <c r="G974">
        <v>0</v>
      </c>
    </row>
    <row r="975" spans="1:7" x14ac:dyDescent="0.35">
      <c r="A975">
        <v>2019</v>
      </c>
      <c r="B975" t="s">
        <v>31</v>
      </c>
      <c r="C975" t="s">
        <v>174</v>
      </c>
      <c r="D975" t="s">
        <v>175</v>
      </c>
      <c r="E975" t="s">
        <v>91</v>
      </c>
      <c r="F975" t="s">
        <v>80</v>
      </c>
      <c r="G975">
        <v>0</v>
      </c>
    </row>
    <row r="976" spans="1:7" x14ac:dyDescent="0.35">
      <c r="A976">
        <v>2019</v>
      </c>
      <c r="B976" t="s">
        <v>31</v>
      </c>
      <c r="C976" t="s">
        <v>174</v>
      </c>
      <c r="D976" t="s">
        <v>175</v>
      </c>
      <c r="E976" t="s">
        <v>113</v>
      </c>
      <c r="F976" t="s">
        <v>80</v>
      </c>
      <c r="G976">
        <v>0</v>
      </c>
    </row>
    <row r="977" spans="1:7" x14ac:dyDescent="0.35">
      <c r="A977">
        <v>2019</v>
      </c>
      <c r="B977" t="s">
        <v>31</v>
      </c>
      <c r="C977" t="s">
        <v>174</v>
      </c>
      <c r="D977" t="s">
        <v>175</v>
      </c>
      <c r="E977" t="s">
        <v>114</v>
      </c>
      <c r="F977" t="s">
        <v>80</v>
      </c>
      <c r="G977">
        <v>0</v>
      </c>
    </row>
    <row r="978" spans="1:7" x14ac:dyDescent="0.35">
      <c r="A978">
        <v>2019</v>
      </c>
      <c r="B978" t="s">
        <v>32</v>
      </c>
      <c r="C978" t="s">
        <v>174</v>
      </c>
      <c r="D978" t="s">
        <v>175</v>
      </c>
      <c r="E978" t="s">
        <v>112</v>
      </c>
      <c r="F978" t="s">
        <v>80</v>
      </c>
      <c r="G978">
        <v>0</v>
      </c>
    </row>
    <row r="979" spans="1:7" x14ac:dyDescent="0.35">
      <c r="A979">
        <v>2019</v>
      </c>
      <c r="B979" t="s">
        <v>32</v>
      </c>
      <c r="C979" t="s">
        <v>174</v>
      </c>
      <c r="D979" t="s">
        <v>175</v>
      </c>
      <c r="E979" t="s">
        <v>91</v>
      </c>
      <c r="F979" t="s">
        <v>80</v>
      </c>
      <c r="G979">
        <v>0</v>
      </c>
    </row>
    <row r="980" spans="1:7" x14ac:dyDescent="0.35">
      <c r="A980">
        <v>2019</v>
      </c>
      <c r="B980" t="s">
        <v>32</v>
      </c>
      <c r="C980" t="s">
        <v>174</v>
      </c>
      <c r="D980" t="s">
        <v>175</v>
      </c>
      <c r="E980" t="s">
        <v>113</v>
      </c>
      <c r="F980" t="s">
        <v>80</v>
      </c>
      <c r="G980">
        <v>0</v>
      </c>
    </row>
    <row r="981" spans="1:7" x14ac:dyDescent="0.35">
      <c r="A981">
        <v>2019</v>
      </c>
      <c r="B981" t="s">
        <v>32</v>
      </c>
      <c r="C981" t="s">
        <v>174</v>
      </c>
      <c r="D981" t="s">
        <v>175</v>
      </c>
      <c r="E981" t="s">
        <v>114</v>
      </c>
      <c r="F981" t="s">
        <v>80</v>
      </c>
      <c r="G981">
        <v>0</v>
      </c>
    </row>
    <row r="982" spans="1:7" x14ac:dyDescent="0.35">
      <c r="A982">
        <v>2019</v>
      </c>
      <c r="B982" t="s">
        <v>63</v>
      </c>
      <c r="C982" t="s">
        <v>174</v>
      </c>
      <c r="D982" t="s">
        <v>175</v>
      </c>
      <c r="E982" t="s">
        <v>112</v>
      </c>
      <c r="F982" t="s">
        <v>80</v>
      </c>
      <c r="G982">
        <v>0</v>
      </c>
    </row>
    <row r="983" spans="1:7" x14ac:dyDescent="0.35">
      <c r="A983">
        <v>2019</v>
      </c>
      <c r="B983" t="s">
        <v>63</v>
      </c>
      <c r="C983" t="s">
        <v>174</v>
      </c>
      <c r="D983" t="s">
        <v>175</v>
      </c>
      <c r="E983" t="s">
        <v>91</v>
      </c>
      <c r="F983" t="s">
        <v>80</v>
      </c>
      <c r="G983">
        <v>1</v>
      </c>
    </row>
    <row r="984" spans="1:7" x14ac:dyDescent="0.35">
      <c r="A984">
        <v>2019</v>
      </c>
      <c r="B984" t="s">
        <v>63</v>
      </c>
      <c r="C984" t="s">
        <v>174</v>
      </c>
      <c r="D984" t="s">
        <v>175</v>
      </c>
      <c r="E984" t="s">
        <v>113</v>
      </c>
      <c r="F984" t="s">
        <v>80</v>
      </c>
      <c r="G984">
        <v>1</v>
      </c>
    </row>
    <row r="985" spans="1:7" x14ac:dyDescent="0.35">
      <c r="A985">
        <v>2019</v>
      </c>
      <c r="B985" t="s">
        <v>63</v>
      </c>
      <c r="C985" t="s">
        <v>174</v>
      </c>
      <c r="D985" t="s">
        <v>175</v>
      </c>
      <c r="E985" t="s">
        <v>114</v>
      </c>
      <c r="F985" t="s">
        <v>80</v>
      </c>
      <c r="G985">
        <v>0</v>
      </c>
    </row>
    <row r="986" spans="1:7" x14ac:dyDescent="0.35">
      <c r="A986">
        <v>2019</v>
      </c>
      <c r="B986" t="s">
        <v>57</v>
      </c>
      <c r="C986" t="s">
        <v>174</v>
      </c>
      <c r="D986" t="s">
        <v>175</v>
      </c>
      <c r="E986" t="s">
        <v>112</v>
      </c>
      <c r="F986" t="s">
        <v>80</v>
      </c>
      <c r="G986">
        <v>0</v>
      </c>
    </row>
    <row r="987" spans="1:7" x14ac:dyDescent="0.35">
      <c r="A987">
        <v>2019</v>
      </c>
      <c r="B987" t="s">
        <v>57</v>
      </c>
      <c r="C987" t="s">
        <v>174</v>
      </c>
      <c r="D987" t="s">
        <v>175</v>
      </c>
      <c r="E987" t="s">
        <v>91</v>
      </c>
      <c r="F987" t="s">
        <v>80</v>
      </c>
      <c r="G987">
        <v>0</v>
      </c>
    </row>
    <row r="988" spans="1:7" x14ac:dyDescent="0.35">
      <c r="A988">
        <v>2019</v>
      </c>
      <c r="B988" t="s">
        <v>57</v>
      </c>
      <c r="C988" t="s">
        <v>174</v>
      </c>
      <c r="D988" t="s">
        <v>175</v>
      </c>
      <c r="E988" t="s">
        <v>113</v>
      </c>
      <c r="F988" t="s">
        <v>80</v>
      </c>
      <c r="G988">
        <v>1</v>
      </c>
    </row>
    <row r="989" spans="1:7" x14ac:dyDescent="0.35">
      <c r="A989">
        <v>2019</v>
      </c>
      <c r="B989" t="s">
        <v>57</v>
      </c>
      <c r="C989" t="s">
        <v>174</v>
      </c>
      <c r="D989" t="s">
        <v>175</v>
      </c>
      <c r="E989" t="s">
        <v>114</v>
      </c>
      <c r="F989" t="s">
        <v>80</v>
      </c>
      <c r="G989">
        <v>0</v>
      </c>
    </row>
    <row r="990" spans="1:7" x14ac:dyDescent="0.35">
      <c r="A990">
        <v>2019</v>
      </c>
      <c r="B990" t="s">
        <v>33</v>
      </c>
      <c r="C990" t="s">
        <v>174</v>
      </c>
      <c r="D990" t="s">
        <v>175</v>
      </c>
      <c r="E990" t="s">
        <v>112</v>
      </c>
      <c r="F990" t="s">
        <v>80</v>
      </c>
      <c r="G990">
        <v>0</v>
      </c>
    </row>
    <row r="991" spans="1:7" x14ac:dyDescent="0.35">
      <c r="A991">
        <v>2019</v>
      </c>
      <c r="B991" t="s">
        <v>33</v>
      </c>
      <c r="C991" t="s">
        <v>174</v>
      </c>
      <c r="D991" t="s">
        <v>175</v>
      </c>
      <c r="E991" t="s">
        <v>91</v>
      </c>
      <c r="F991" t="s">
        <v>80</v>
      </c>
      <c r="G991">
        <v>0</v>
      </c>
    </row>
    <row r="992" spans="1:7" x14ac:dyDescent="0.35">
      <c r="A992">
        <v>2019</v>
      </c>
      <c r="B992" t="s">
        <v>33</v>
      </c>
      <c r="C992" t="s">
        <v>174</v>
      </c>
      <c r="D992" t="s">
        <v>175</v>
      </c>
      <c r="E992" t="s">
        <v>113</v>
      </c>
      <c r="F992" t="s">
        <v>80</v>
      </c>
      <c r="G992">
        <v>0</v>
      </c>
    </row>
    <row r="993" spans="1:7" x14ac:dyDescent="0.35">
      <c r="A993">
        <v>2019</v>
      </c>
      <c r="B993" t="s">
        <v>33</v>
      </c>
      <c r="C993" t="s">
        <v>174</v>
      </c>
      <c r="D993" t="s">
        <v>175</v>
      </c>
      <c r="E993" t="s">
        <v>114</v>
      </c>
      <c r="F993" t="s">
        <v>80</v>
      </c>
      <c r="G993">
        <v>0</v>
      </c>
    </row>
    <row r="994" spans="1:7" x14ac:dyDescent="0.35">
      <c r="A994">
        <v>2019</v>
      </c>
      <c r="B994" t="s">
        <v>34</v>
      </c>
      <c r="C994" t="s">
        <v>174</v>
      </c>
      <c r="D994" t="s">
        <v>175</v>
      </c>
      <c r="E994" t="s">
        <v>112</v>
      </c>
      <c r="F994" t="s">
        <v>80</v>
      </c>
      <c r="G994">
        <v>0</v>
      </c>
    </row>
    <row r="995" spans="1:7" x14ac:dyDescent="0.35">
      <c r="A995">
        <v>2019</v>
      </c>
      <c r="B995" t="s">
        <v>34</v>
      </c>
      <c r="C995" t="s">
        <v>174</v>
      </c>
      <c r="D995" t="s">
        <v>175</v>
      </c>
      <c r="E995" t="s">
        <v>91</v>
      </c>
      <c r="F995" t="s">
        <v>80</v>
      </c>
      <c r="G995">
        <v>0</v>
      </c>
    </row>
    <row r="996" spans="1:7" x14ac:dyDescent="0.35">
      <c r="A996">
        <v>2019</v>
      </c>
      <c r="B996" t="s">
        <v>34</v>
      </c>
      <c r="C996" t="s">
        <v>174</v>
      </c>
      <c r="D996" t="s">
        <v>175</v>
      </c>
      <c r="E996" t="s">
        <v>113</v>
      </c>
      <c r="F996" t="s">
        <v>80</v>
      </c>
      <c r="G996">
        <v>0</v>
      </c>
    </row>
    <row r="997" spans="1:7" x14ac:dyDescent="0.35">
      <c r="A997">
        <v>2019</v>
      </c>
      <c r="B997" t="s">
        <v>34</v>
      </c>
      <c r="C997" t="s">
        <v>174</v>
      </c>
      <c r="D997" t="s">
        <v>175</v>
      </c>
      <c r="E997" t="s">
        <v>114</v>
      </c>
      <c r="F997" t="s">
        <v>80</v>
      </c>
      <c r="G997">
        <v>0</v>
      </c>
    </row>
    <row r="998" spans="1:7" x14ac:dyDescent="0.35">
      <c r="A998">
        <v>2019</v>
      </c>
      <c r="B998" t="s">
        <v>35</v>
      </c>
      <c r="C998" t="s">
        <v>174</v>
      </c>
      <c r="D998" t="s">
        <v>175</v>
      </c>
      <c r="E998" t="s">
        <v>112</v>
      </c>
      <c r="F998" t="s">
        <v>80</v>
      </c>
      <c r="G998">
        <v>0</v>
      </c>
    </row>
    <row r="999" spans="1:7" x14ac:dyDescent="0.35">
      <c r="A999">
        <v>2019</v>
      </c>
      <c r="B999" t="s">
        <v>35</v>
      </c>
      <c r="C999" t="s">
        <v>174</v>
      </c>
      <c r="D999" t="s">
        <v>175</v>
      </c>
      <c r="E999" t="s">
        <v>91</v>
      </c>
      <c r="F999" t="s">
        <v>80</v>
      </c>
      <c r="G999">
        <v>0</v>
      </c>
    </row>
    <row r="1000" spans="1:7" x14ac:dyDescent="0.35">
      <c r="A1000">
        <v>2019</v>
      </c>
      <c r="B1000" t="s">
        <v>35</v>
      </c>
      <c r="C1000" t="s">
        <v>174</v>
      </c>
      <c r="D1000" t="s">
        <v>175</v>
      </c>
      <c r="E1000" t="s">
        <v>113</v>
      </c>
      <c r="F1000" t="s">
        <v>80</v>
      </c>
      <c r="G1000">
        <v>0</v>
      </c>
    </row>
    <row r="1001" spans="1:7" x14ac:dyDescent="0.35">
      <c r="A1001">
        <v>2019</v>
      </c>
      <c r="B1001" t="s">
        <v>35</v>
      </c>
      <c r="C1001" t="s">
        <v>174</v>
      </c>
      <c r="D1001" t="s">
        <v>175</v>
      </c>
      <c r="E1001" t="s">
        <v>114</v>
      </c>
      <c r="F1001" t="s">
        <v>80</v>
      </c>
      <c r="G1001">
        <v>0</v>
      </c>
    </row>
    <row r="1002" spans="1:7" x14ac:dyDescent="0.35">
      <c r="A1002">
        <v>2019</v>
      </c>
      <c r="B1002" t="s">
        <v>36</v>
      </c>
      <c r="C1002" t="s">
        <v>174</v>
      </c>
      <c r="D1002" t="s">
        <v>175</v>
      </c>
      <c r="E1002" t="s">
        <v>112</v>
      </c>
      <c r="F1002" t="s">
        <v>80</v>
      </c>
      <c r="G1002">
        <v>0</v>
      </c>
    </row>
    <row r="1003" spans="1:7" x14ac:dyDescent="0.35">
      <c r="A1003">
        <v>2019</v>
      </c>
      <c r="B1003" t="s">
        <v>36</v>
      </c>
      <c r="C1003" t="s">
        <v>174</v>
      </c>
      <c r="D1003" t="s">
        <v>175</v>
      </c>
      <c r="E1003" t="s">
        <v>91</v>
      </c>
      <c r="F1003" t="s">
        <v>80</v>
      </c>
      <c r="G1003">
        <v>0</v>
      </c>
    </row>
    <row r="1004" spans="1:7" x14ac:dyDescent="0.35">
      <c r="A1004">
        <v>2019</v>
      </c>
      <c r="B1004" t="s">
        <v>36</v>
      </c>
      <c r="C1004" t="s">
        <v>174</v>
      </c>
      <c r="D1004" t="s">
        <v>175</v>
      </c>
      <c r="E1004" t="s">
        <v>113</v>
      </c>
      <c r="F1004" t="s">
        <v>80</v>
      </c>
      <c r="G1004">
        <v>0</v>
      </c>
    </row>
    <row r="1005" spans="1:7" x14ac:dyDescent="0.35">
      <c r="A1005">
        <v>2019</v>
      </c>
      <c r="B1005" t="s">
        <v>36</v>
      </c>
      <c r="C1005" t="s">
        <v>174</v>
      </c>
      <c r="D1005" t="s">
        <v>175</v>
      </c>
      <c r="E1005" t="s">
        <v>114</v>
      </c>
      <c r="F1005" t="s">
        <v>80</v>
      </c>
      <c r="G1005">
        <v>0</v>
      </c>
    </row>
    <row r="1006" spans="1:7" x14ac:dyDescent="0.35">
      <c r="A1006">
        <v>2019</v>
      </c>
      <c r="B1006" t="s">
        <v>37</v>
      </c>
      <c r="C1006" t="s">
        <v>174</v>
      </c>
      <c r="D1006" t="s">
        <v>175</v>
      </c>
      <c r="E1006" t="s">
        <v>112</v>
      </c>
      <c r="F1006" t="s">
        <v>80</v>
      </c>
      <c r="G1006">
        <v>0</v>
      </c>
    </row>
    <row r="1007" spans="1:7" x14ac:dyDescent="0.35">
      <c r="A1007">
        <v>2019</v>
      </c>
      <c r="B1007" t="s">
        <v>37</v>
      </c>
      <c r="C1007" t="s">
        <v>174</v>
      </c>
      <c r="D1007" t="s">
        <v>175</v>
      </c>
      <c r="E1007" t="s">
        <v>91</v>
      </c>
      <c r="F1007" t="s">
        <v>80</v>
      </c>
      <c r="G1007">
        <v>0</v>
      </c>
    </row>
    <row r="1008" spans="1:7" x14ac:dyDescent="0.35">
      <c r="A1008">
        <v>2019</v>
      </c>
      <c r="B1008" t="s">
        <v>37</v>
      </c>
      <c r="C1008" t="s">
        <v>174</v>
      </c>
      <c r="D1008" t="s">
        <v>175</v>
      </c>
      <c r="E1008" t="s">
        <v>113</v>
      </c>
      <c r="F1008" t="s">
        <v>80</v>
      </c>
      <c r="G1008">
        <v>0</v>
      </c>
    </row>
    <row r="1009" spans="1:7" x14ac:dyDescent="0.35">
      <c r="A1009">
        <v>2019</v>
      </c>
      <c r="B1009" t="s">
        <v>37</v>
      </c>
      <c r="C1009" t="s">
        <v>174</v>
      </c>
      <c r="D1009" t="s">
        <v>175</v>
      </c>
      <c r="E1009" t="s">
        <v>114</v>
      </c>
      <c r="F1009" t="s">
        <v>80</v>
      </c>
      <c r="G1009">
        <v>0</v>
      </c>
    </row>
    <row r="1010" spans="1:7" x14ac:dyDescent="0.35">
      <c r="A1010">
        <v>2019</v>
      </c>
      <c r="B1010" t="s">
        <v>55</v>
      </c>
      <c r="C1010" t="s">
        <v>174</v>
      </c>
      <c r="D1010" t="s">
        <v>175</v>
      </c>
      <c r="E1010" t="s">
        <v>112</v>
      </c>
      <c r="F1010" t="s">
        <v>80</v>
      </c>
      <c r="G1010">
        <v>0</v>
      </c>
    </row>
    <row r="1011" spans="1:7" x14ac:dyDescent="0.35">
      <c r="A1011">
        <v>2019</v>
      </c>
      <c r="B1011" t="s">
        <v>55</v>
      </c>
      <c r="C1011" t="s">
        <v>174</v>
      </c>
      <c r="D1011" t="s">
        <v>175</v>
      </c>
      <c r="E1011" t="s">
        <v>91</v>
      </c>
      <c r="F1011" t="s">
        <v>80</v>
      </c>
      <c r="G1011">
        <v>0</v>
      </c>
    </row>
    <row r="1012" spans="1:7" x14ac:dyDescent="0.35">
      <c r="A1012">
        <v>2019</v>
      </c>
      <c r="B1012" t="s">
        <v>55</v>
      </c>
      <c r="C1012" t="s">
        <v>174</v>
      </c>
      <c r="D1012" t="s">
        <v>175</v>
      </c>
      <c r="E1012" t="s">
        <v>113</v>
      </c>
      <c r="F1012" t="s">
        <v>80</v>
      </c>
      <c r="G1012">
        <v>0</v>
      </c>
    </row>
    <row r="1013" spans="1:7" x14ac:dyDescent="0.35">
      <c r="A1013">
        <v>2019</v>
      </c>
      <c r="B1013" t="s">
        <v>55</v>
      </c>
      <c r="C1013" t="s">
        <v>174</v>
      </c>
      <c r="D1013" t="s">
        <v>175</v>
      </c>
      <c r="E1013" t="s">
        <v>114</v>
      </c>
      <c r="F1013" t="s">
        <v>80</v>
      </c>
      <c r="G1013">
        <v>0</v>
      </c>
    </row>
    <row r="1014" spans="1:7" x14ac:dyDescent="0.35">
      <c r="A1014">
        <v>2019</v>
      </c>
      <c r="B1014" t="s">
        <v>38</v>
      </c>
      <c r="C1014" t="s">
        <v>174</v>
      </c>
      <c r="D1014" t="s">
        <v>175</v>
      </c>
      <c r="E1014" t="s">
        <v>112</v>
      </c>
      <c r="F1014" t="s">
        <v>80</v>
      </c>
      <c r="G1014">
        <v>0</v>
      </c>
    </row>
    <row r="1015" spans="1:7" x14ac:dyDescent="0.35">
      <c r="A1015">
        <v>2019</v>
      </c>
      <c r="B1015" t="s">
        <v>38</v>
      </c>
      <c r="C1015" t="s">
        <v>174</v>
      </c>
      <c r="D1015" t="s">
        <v>175</v>
      </c>
      <c r="E1015" t="s">
        <v>91</v>
      </c>
      <c r="F1015" t="s">
        <v>80</v>
      </c>
      <c r="G1015">
        <v>0</v>
      </c>
    </row>
    <row r="1016" spans="1:7" x14ac:dyDescent="0.35">
      <c r="A1016">
        <v>2019</v>
      </c>
      <c r="B1016" t="s">
        <v>38</v>
      </c>
      <c r="C1016" t="s">
        <v>174</v>
      </c>
      <c r="D1016" t="s">
        <v>175</v>
      </c>
      <c r="E1016" t="s">
        <v>113</v>
      </c>
      <c r="F1016" t="s">
        <v>80</v>
      </c>
      <c r="G1016">
        <v>0</v>
      </c>
    </row>
    <row r="1017" spans="1:7" x14ac:dyDescent="0.35">
      <c r="A1017">
        <v>2019</v>
      </c>
      <c r="B1017" t="s">
        <v>38</v>
      </c>
      <c r="C1017" t="s">
        <v>174</v>
      </c>
      <c r="D1017" t="s">
        <v>175</v>
      </c>
      <c r="E1017" t="s">
        <v>114</v>
      </c>
      <c r="F1017" t="s">
        <v>80</v>
      </c>
      <c r="G1017">
        <v>0</v>
      </c>
    </row>
    <row r="1018" spans="1:7" x14ac:dyDescent="0.35">
      <c r="A1018">
        <v>2019</v>
      </c>
      <c r="B1018" t="s">
        <v>39</v>
      </c>
      <c r="C1018" t="s">
        <v>174</v>
      </c>
      <c r="D1018" t="s">
        <v>175</v>
      </c>
      <c r="E1018" t="s">
        <v>112</v>
      </c>
      <c r="F1018" t="s">
        <v>80</v>
      </c>
      <c r="G1018">
        <v>0</v>
      </c>
    </row>
    <row r="1019" spans="1:7" x14ac:dyDescent="0.35">
      <c r="A1019">
        <v>2019</v>
      </c>
      <c r="B1019" t="s">
        <v>39</v>
      </c>
      <c r="C1019" t="s">
        <v>174</v>
      </c>
      <c r="D1019" t="s">
        <v>175</v>
      </c>
      <c r="E1019" t="s">
        <v>91</v>
      </c>
      <c r="F1019" t="s">
        <v>80</v>
      </c>
      <c r="G1019">
        <v>0</v>
      </c>
    </row>
    <row r="1020" spans="1:7" x14ac:dyDescent="0.35">
      <c r="A1020">
        <v>2019</v>
      </c>
      <c r="B1020" t="s">
        <v>39</v>
      </c>
      <c r="C1020" t="s">
        <v>174</v>
      </c>
      <c r="D1020" t="s">
        <v>175</v>
      </c>
      <c r="E1020" t="s">
        <v>113</v>
      </c>
      <c r="F1020" t="s">
        <v>80</v>
      </c>
      <c r="G1020">
        <v>0</v>
      </c>
    </row>
    <row r="1021" spans="1:7" x14ac:dyDescent="0.35">
      <c r="A1021">
        <v>2019</v>
      </c>
      <c r="B1021" t="s">
        <v>39</v>
      </c>
      <c r="C1021" t="s">
        <v>174</v>
      </c>
      <c r="D1021" t="s">
        <v>175</v>
      </c>
      <c r="E1021" t="s">
        <v>114</v>
      </c>
      <c r="F1021" t="s">
        <v>80</v>
      </c>
      <c r="G1021">
        <v>0</v>
      </c>
    </row>
    <row r="1022" spans="1:7" x14ac:dyDescent="0.35">
      <c r="A1022">
        <v>2019</v>
      </c>
      <c r="B1022" t="s">
        <v>40</v>
      </c>
      <c r="C1022" t="s">
        <v>174</v>
      </c>
      <c r="D1022" t="s">
        <v>175</v>
      </c>
      <c r="E1022" t="s">
        <v>112</v>
      </c>
      <c r="F1022" t="s">
        <v>80</v>
      </c>
      <c r="G1022">
        <v>0</v>
      </c>
    </row>
    <row r="1023" spans="1:7" x14ac:dyDescent="0.35">
      <c r="A1023">
        <v>2019</v>
      </c>
      <c r="B1023" t="s">
        <v>40</v>
      </c>
      <c r="C1023" t="s">
        <v>174</v>
      </c>
      <c r="D1023" t="s">
        <v>175</v>
      </c>
      <c r="E1023" t="s">
        <v>91</v>
      </c>
      <c r="F1023" t="s">
        <v>80</v>
      </c>
      <c r="G1023">
        <v>0</v>
      </c>
    </row>
    <row r="1024" spans="1:7" x14ac:dyDescent="0.35">
      <c r="A1024">
        <v>2019</v>
      </c>
      <c r="B1024" t="s">
        <v>40</v>
      </c>
      <c r="C1024" t="s">
        <v>174</v>
      </c>
      <c r="D1024" t="s">
        <v>175</v>
      </c>
      <c r="E1024" t="s">
        <v>113</v>
      </c>
      <c r="F1024" t="s">
        <v>80</v>
      </c>
      <c r="G1024">
        <v>0</v>
      </c>
    </row>
    <row r="1025" spans="1:7" x14ac:dyDescent="0.35">
      <c r="A1025">
        <v>2019</v>
      </c>
      <c r="B1025" t="s">
        <v>40</v>
      </c>
      <c r="C1025" t="s">
        <v>174</v>
      </c>
      <c r="D1025" t="s">
        <v>175</v>
      </c>
      <c r="E1025" t="s">
        <v>114</v>
      </c>
      <c r="F1025" t="s">
        <v>80</v>
      </c>
      <c r="G1025">
        <v>0</v>
      </c>
    </row>
    <row r="1026" spans="1:7" x14ac:dyDescent="0.35">
      <c r="A1026">
        <v>2019</v>
      </c>
      <c r="B1026" t="s">
        <v>41</v>
      </c>
      <c r="C1026" t="s">
        <v>174</v>
      </c>
      <c r="D1026" t="s">
        <v>175</v>
      </c>
      <c r="E1026" t="s">
        <v>112</v>
      </c>
      <c r="F1026" t="s">
        <v>80</v>
      </c>
      <c r="G1026">
        <v>0</v>
      </c>
    </row>
    <row r="1027" spans="1:7" x14ac:dyDescent="0.35">
      <c r="A1027">
        <v>2019</v>
      </c>
      <c r="B1027" t="s">
        <v>41</v>
      </c>
      <c r="C1027" t="s">
        <v>174</v>
      </c>
      <c r="D1027" t="s">
        <v>175</v>
      </c>
      <c r="E1027" t="s">
        <v>91</v>
      </c>
      <c r="F1027" t="s">
        <v>80</v>
      </c>
      <c r="G1027">
        <v>0</v>
      </c>
    </row>
    <row r="1028" spans="1:7" x14ac:dyDescent="0.35">
      <c r="A1028">
        <v>2019</v>
      </c>
      <c r="B1028" t="s">
        <v>41</v>
      </c>
      <c r="C1028" t="s">
        <v>174</v>
      </c>
      <c r="D1028" t="s">
        <v>175</v>
      </c>
      <c r="E1028" t="s">
        <v>113</v>
      </c>
      <c r="F1028" t="s">
        <v>80</v>
      </c>
      <c r="G1028">
        <v>0</v>
      </c>
    </row>
    <row r="1029" spans="1:7" x14ac:dyDescent="0.35">
      <c r="A1029">
        <v>2019</v>
      </c>
      <c r="B1029" t="s">
        <v>41</v>
      </c>
      <c r="C1029" t="s">
        <v>174</v>
      </c>
      <c r="D1029" t="s">
        <v>175</v>
      </c>
      <c r="E1029" t="s">
        <v>114</v>
      </c>
      <c r="F1029" t="s">
        <v>80</v>
      </c>
      <c r="G1029">
        <v>0</v>
      </c>
    </row>
    <row r="1030" spans="1:7" x14ac:dyDescent="0.35">
      <c r="A1030">
        <v>2019</v>
      </c>
      <c r="B1030" t="s">
        <v>58</v>
      </c>
      <c r="C1030" t="s">
        <v>174</v>
      </c>
      <c r="D1030" t="s">
        <v>175</v>
      </c>
      <c r="E1030" t="s">
        <v>112</v>
      </c>
      <c r="F1030" t="s">
        <v>80</v>
      </c>
      <c r="G1030">
        <v>0</v>
      </c>
    </row>
    <row r="1031" spans="1:7" x14ac:dyDescent="0.35">
      <c r="A1031">
        <v>2019</v>
      </c>
      <c r="B1031" t="s">
        <v>58</v>
      </c>
      <c r="C1031" t="s">
        <v>174</v>
      </c>
      <c r="D1031" t="s">
        <v>175</v>
      </c>
      <c r="E1031" t="s">
        <v>91</v>
      </c>
      <c r="F1031" t="s">
        <v>80</v>
      </c>
      <c r="G1031">
        <v>0</v>
      </c>
    </row>
    <row r="1032" spans="1:7" x14ac:dyDescent="0.35">
      <c r="A1032">
        <v>2019</v>
      </c>
      <c r="B1032" t="s">
        <v>58</v>
      </c>
      <c r="C1032" t="s">
        <v>174</v>
      </c>
      <c r="D1032" t="s">
        <v>175</v>
      </c>
      <c r="E1032" t="s">
        <v>113</v>
      </c>
      <c r="F1032" t="s">
        <v>80</v>
      </c>
      <c r="G1032">
        <v>0</v>
      </c>
    </row>
    <row r="1033" spans="1:7" x14ac:dyDescent="0.35">
      <c r="A1033">
        <v>2019</v>
      </c>
      <c r="B1033" t="s">
        <v>58</v>
      </c>
      <c r="C1033" t="s">
        <v>174</v>
      </c>
      <c r="D1033" t="s">
        <v>175</v>
      </c>
      <c r="E1033" t="s">
        <v>114</v>
      </c>
      <c r="F1033" t="s">
        <v>80</v>
      </c>
      <c r="G1033">
        <v>0</v>
      </c>
    </row>
    <row r="1034" spans="1:7" x14ac:dyDescent="0.35">
      <c r="A1034">
        <v>2019</v>
      </c>
      <c r="B1034" t="s">
        <v>42</v>
      </c>
      <c r="C1034" t="s">
        <v>174</v>
      </c>
      <c r="D1034" t="s">
        <v>175</v>
      </c>
      <c r="E1034" t="s">
        <v>112</v>
      </c>
      <c r="F1034" t="s">
        <v>80</v>
      </c>
      <c r="G1034">
        <v>0</v>
      </c>
    </row>
    <row r="1035" spans="1:7" x14ac:dyDescent="0.35">
      <c r="A1035">
        <v>2019</v>
      </c>
      <c r="B1035" t="s">
        <v>42</v>
      </c>
      <c r="C1035" t="s">
        <v>174</v>
      </c>
      <c r="D1035" t="s">
        <v>175</v>
      </c>
      <c r="E1035" t="s">
        <v>91</v>
      </c>
      <c r="F1035" t="s">
        <v>80</v>
      </c>
      <c r="G1035">
        <v>0</v>
      </c>
    </row>
    <row r="1036" spans="1:7" x14ac:dyDescent="0.35">
      <c r="A1036">
        <v>2019</v>
      </c>
      <c r="B1036" t="s">
        <v>42</v>
      </c>
      <c r="C1036" t="s">
        <v>174</v>
      </c>
      <c r="D1036" t="s">
        <v>175</v>
      </c>
      <c r="E1036" t="s">
        <v>113</v>
      </c>
      <c r="F1036" t="s">
        <v>80</v>
      </c>
      <c r="G1036">
        <v>0</v>
      </c>
    </row>
    <row r="1037" spans="1:7" x14ac:dyDescent="0.35">
      <c r="A1037">
        <v>2019</v>
      </c>
      <c r="B1037" t="s">
        <v>42</v>
      </c>
      <c r="C1037" t="s">
        <v>174</v>
      </c>
      <c r="D1037" t="s">
        <v>175</v>
      </c>
      <c r="E1037" t="s">
        <v>114</v>
      </c>
      <c r="F1037" t="s">
        <v>80</v>
      </c>
      <c r="G1037">
        <v>0</v>
      </c>
    </row>
    <row r="1038" spans="1:7" x14ac:dyDescent="0.35">
      <c r="A1038">
        <v>2019</v>
      </c>
      <c r="B1038" t="s">
        <v>44</v>
      </c>
      <c r="C1038" t="s">
        <v>174</v>
      </c>
      <c r="D1038" t="s">
        <v>175</v>
      </c>
      <c r="E1038" t="s">
        <v>112</v>
      </c>
      <c r="F1038" t="s">
        <v>80</v>
      </c>
      <c r="G1038">
        <v>0</v>
      </c>
    </row>
    <row r="1039" spans="1:7" x14ac:dyDescent="0.35">
      <c r="A1039">
        <v>2019</v>
      </c>
      <c r="B1039" t="s">
        <v>44</v>
      </c>
      <c r="C1039" t="s">
        <v>174</v>
      </c>
      <c r="D1039" t="s">
        <v>175</v>
      </c>
      <c r="E1039" t="s">
        <v>91</v>
      </c>
      <c r="F1039" t="s">
        <v>80</v>
      </c>
      <c r="G1039">
        <v>0</v>
      </c>
    </row>
    <row r="1040" spans="1:7" x14ac:dyDescent="0.35">
      <c r="A1040">
        <v>2019</v>
      </c>
      <c r="B1040" t="s">
        <v>44</v>
      </c>
      <c r="C1040" t="s">
        <v>174</v>
      </c>
      <c r="D1040" t="s">
        <v>175</v>
      </c>
      <c r="E1040" t="s">
        <v>113</v>
      </c>
      <c r="F1040" t="s">
        <v>80</v>
      </c>
      <c r="G1040">
        <v>0</v>
      </c>
    </row>
    <row r="1041" spans="1:7" x14ac:dyDescent="0.35">
      <c r="A1041">
        <v>2019</v>
      </c>
      <c r="B1041" t="s">
        <v>44</v>
      </c>
      <c r="C1041" t="s">
        <v>174</v>
      </c>
      <c r="D1041" t="s">
        <v>175</v>
      </c>
      <c r="E1041" t="s">
        <v>114</v>
      </c>
      <c r="F1041" t="s">
        <v>80</v>
      </c>
      <c r="G1041">
        <v>0</v>
      </c>
    </row>
    <row r="1042" spans="1:7" x14ac:dyDescent="0.35">
      <c r="A1042">
        <v>2019</v>
      </c>
      <c r="B1042" t="s">
        <v>45</v>
      </c>
      <c r="C1042" t="s">
        <v>174</v>
      </c>
      <c r="D1042" t="s">
        <v>175</v>
      </c>
      <c r="E1042" t="s">
        <v>112</v>
      </c>
      <c r="F1042" t="s">
        <v>80</v>
      </c>
      <c r="G1042">
        <v>0</v>
      </c>
    </row>
    <row r="1043" spans="1:7" x14ac:dyDescent="0.35">
      <c r="A1043">
        <v>2019</v>
      </c>
      <c r="B1043" t="s">
        <v>45</v>
      </c>
      <c r="C1043" t="s">
        <v>174</v>
      </c>
      <c r="D1043" t="s">
        <v>175</v>
      </c>
      <c r="E1043" t="s">
        <v>91</v>
      </c>
      <c r="F1043" t="s">
        <v>80</v>
      </c>
      <c r="G1043">
        <v>0</v>
      </c>
    </row>
    <row r="1044" spans="1:7" x14ac:dyDescent="0.35">
      <c r="A1044">
        <v>2019</v>
      </c>
      <c r="B1044" t="s">
        <v>45</v>
      </c>
      <c r="C1044" t="s">
        <v>174</v>
      </c>
      <c r="D1044" t="s">
        <v>175</v>
      </c>
      <c r="E1044" t="s">
        <v>113</v>
      </c>
      <c r="F1044" t="s">
        <v>80</v>
      </c>
      <c r="G1044">
        <v>0</v>
      </c>
    </row>
    <row r="1045" spans="1:7" x14ac:dyDescent="0.35">
      <c r="A1045">
        <v>2019</v>
      </c>
      <c r="B1045" t="s">
        <v>45</v>
      </c>
      <c r="C1045" t="s">
        <v>174</v>
      </c>
      <c r="D1045" t="s">
        <v>175</v>
      </c>
      <c r="E1045" t="s">
        <v>114</v>
      </c>
      <c r="F1045" t="s">
        <v>80</v>
      </c>
      <c r="G1045">
        <v>0</v>
      </c>
    </row>
    <row r="1046" spans="1:7" x14ac:dyDescent="0.35">
      <c r="A1046">
        <v>2019</v>
      </c>
      <c r="B1046" t="s">
        <v>46</v>
      </c>
      <c r="C1046" t="s">
        <v>174</v>
      </c>
      <c r="D1046" t="s">
        <v>175</v>
      </c>
      <c r="E1046" t="s">
        <v>112</v>
      </c>
      <c r="F1046" t="s">
        <v>80</v>
      </c>
      <c r="G1046">
        <v>0</v>
      </c>
    </row>
    <row r="1047" spans="1:7" x14ac:dyDescent="0.35">
      <c r="A1047">
        <v>2019</v>
      </c>
      <c r="B1047" t="s">
        <v>46</v>
      </c>
      <c r="C1047" t="s">
        <v>174</v>
      </c>
      <c r="D1047" t="s">
        <v>175</v>
      </c>
      <c r="E1047" t="s">
        <v>91</v>
      </c>
      <c r="F1047" t="s">
        <v>80</v>
      </c>
      <c r="G1047">
        <v>0</v>
      </c>
    </row>
    <row r="1048" spans="1:7" x14ac:dyDescent="0.35">
      <c r="A1048">
        <v>2019</v>
      </c>
      <c r="B1048" t="s">
        <v>46</v>
      </c>
      <c r="C1048" t="s">
        <v>174</v>
      </c>
      <c r="D1048" t="s">
        <v>175</v>
      </c>
      <c r="E1048" t="s">
        <v>113</v>
      </c>
      <c r="F1048" t="s">
        <v>80</v>
      </c>
      <c r="G1048">
        <v>0</v>
      </c>
    </row>
    <row r="1049" spans="1:7" x14ac:dyDescent="0.35">
      <c r="A1049">
        <v>2019</v>
      </c>
      <c r="B1049" t="s">
        <v>46</v>
      </c>
      <c r="C1049" t="s">
        <v>174</v>
      </c>
      <c r="D1049" t="s">
        <v>175</v>
      </c>
      <c r="E1049" t="s">
        <v>114</v>
      </c>
      <c r="F1049" t="s">
        <v>80</v>
      </c>
      <c r="G1049">
        <v>0</v>
      </c>
    </row>
    <row r="1050" spans="1:7" x14ac:dyDescent="0.35">
      <c r="A1050">
        <v>2019</v>
      </c>
      <c r="B1050" t="s">
        <v>47</v>
      </c>
      <c r="C1050" t="s">
        <v>174</v>
      </c>
      <c r="D1050" t="s">
        <v>175</v>
      </c>
      <c r="E1050" t="s">
        <v>112</v>
      </c>
      <c r="F1050" t="s">
        <v>80</v>
      </c>
      <c r="G1050">
        <v>0</v>
      </c>
    </row>
    <row r="1051" spans="1:7" x14ac:dyDescent="0.35">
      <c r="A1051">
        <v>2019</v>
      </c>
      <c r="B1051" t="s">
        <v>47</v>
      </c>
      <c r="C1051" t="s">
        <v>174</v>
      </c>
      <c r="D1051" t="s">
        <v>175</v>
      </c>
      <c r="E1051" t="s">
        <v>91</v>
      </c>
      <c r="F1051" t="s">
        <v>80</v>
      </c>
      <c r="G1051">
        <v>0</v>
      </c>
    </row>
    <row r="1052" spans="1:7" x14ac:dyDescent="0.35">
      <c r="A1052">
        <v>2019</v>
      </c>
      <c r="B1052" t="s">
        <v>47</v>
      </c>
      <c r="C1052" t="s">
        <v>174</v>
      </c>
      <c r="D1052" t="s">
        <v>175</v>
      </c>
      <c r="E1052" t="s">
        <v>113</v>
      </c>
      <c r="F1052" t="s">
        <v>80</v>
      </c>
      <c r="G1052">
        <v>0</v>
      </c>
    </row>
    <row r="1053" spans="1:7" x14ac:dyDescent="0.35">
      <c r="A1053">
        <v>2019</v>
      </c>
      <c r="B1053" t="s">
        <v>47</v>
      </c>
      <c r="C1053" t="s">
        <v>174</v>
      </c>
      <c r="D1053" t="s">
        <v>175</v>
      </c>
      <c r="E1053" t="s">
        <v>114</v>
      </c>
      <c r="F1053" t="s">
        <v>80</v>
      </c>
      <c r="G1053">
        <v>0</v>
      </c>
    </row>
    <row r="1054" spans="1:7" x14ac:dyDescent="0.35">
      <c r="A1054">
        <v>2019</v>
      </c>
      <c r="B1054" t="s">
        <v>48</v>
      </c>
      <c r="C1054" t="s">
        <v>174</v>
      </c>
      <c r="D1054" t="s">
        <v>175</v>
      </c>
      <c r="E1054" t="s">
        <v>112</v>
      </c>
      <c r="F1054" t="s">
        <v>80</v>
      </c>
      <c r="G1054">
        <v>0</v>
      </c>
    </row>
    <row r="1055" spans="1:7" x14ac:dyDescent="0.35">
      <c r="A1055">
        <v>2019</v>
      </c>
      <c r="B1055" t="s">
        <v>48</v>
      </c>
      <c r="C1055" t="s">
        <v>174</v>
      </c>
      <c r="D1055" t="s">
        <v>175</v>
      </c>
      <c r="E1055" t="s">
        <v>91</v>
      </c>
      <c r="F1055" t="s">
        <v>80</v>
      </c>
      <c r="G1055">
        <v>0</v>
      </c>
    </row>
    <row r="1056" spans="1:7" x14ac:dyDescent="0.35">
      <c r="A1056">
        <v>2019</v>
      </c>
      <c r="B1056" t="s">
        <v>48</v>
      </c>
      <c r="C1056" t="s">
        <v>174</v>
      </c>
      <c r="D1056" t="s">
        <v>175</v>
      </c>
      <c r="E1056" t="s">
        <v>113</v>
      </c>
      <c r="F1056" t="s">
        <v>80</v>
      </c>
      <c r="G1056">
        <v>0</v>
      </c>
    </row>
    <row r="1057" spans="1:7" x14ac:dyDescent="0.35">
      <c r="A1057">
        <v>2019</v>
      </c>
      <c r="B1057" t="s">
        <v>48</v>
      </c>
      <c r="C1057" t="s">
        <v>174</v>
      </c>
      <c r="D1057" t="s">
        <v>175</v>
      </c>
      <c r="E1057" t="s">
        <v>114</v>
      </c>
      <c r="F1057" t="s">
        <v>80</v>
      </c>
      <c r="G1057">
        <v>0</v>
      </c>
    </row>
    <row r="1058" spans="1:7" x14ac:dyDescent="0.35">
      <c r="A1058">
        <v>2019</v>
      </c>
      <c r="B1058" t="s">
        <v>49</v>
      </c>
      <c r="C1058" t="s">
        <v>174</v>
      </c>
      <c r="D1058" t="s">
        <v>175</v>
      </c>
      <c r="E1058" t="s">
        <v>112</v>
      </c>
      <c r="F1058" t="s">
        <v>80</v>
      </c>
      <c r="G1058">
        <v>0</v>
      </c>
    </row>
    <row r="1059" spans="1:7" x14ac:dyDescent="0.35">
      <c r="A1059">
        <v>2019</v>
      </c>
      <c r="B1059" t="s">
        <v>49</v>
      </c>
      <c r="C1059" t="s">
        <v>174</v>
      </c>
      <c r="D1059" t="s">
        <v>175</v>
      </c>
      <c r="E1059" t="s">
        <v>91</v>
      </c>
      <c r="F1059" t="s">
        <v>80</v>
      </c>
      <c r="G1059">
        <v>0</v>
      </c>
    </row>
    <row r="1060" spans="1:7" x14ac:dyDescent="0.35">
      <c r="A1060">
        <v>2019</v>
      </c>
      <c r="B1060" t="s">
        <v>49</v>
      </c>
      <c r="C1060" t="s">
        <v>174</v>
      </c>
      <c r="D1060" t="s">
        <v>175</v>
      </c>
      <c r="E1060" t="s">
        <v>113</v>
      </c>
      <c r="F1060" t="s">
        <v>80</v>
      </c>
      <c r="G1060">
        <v>0</v>
      </c>
    </row>
    <row r="1061" spans="1:7" x14ac:dyDescent="0.35">
      <c r="A1061">
        <v>2019</v>
      </c>
      <c r="B1061" t="s">
        <v>49</v>
      </c>
      <c r="C1061" t="s">
        <v>174</v>
      </c>
      <c r="D1061" t="s">
        <v>175</v>
      </c>
      <c r="E1061" t="s">
        <v>114</v>
      </c>
      <c r="F1061" t="s">
        <v>80</v>
      </c>
      <c r="G1061">
        <v>0</v>
      </c>
    </row>
    <row r="1062" spans="1:7" x14ac:dyDescent="0.35">
      <c r="A1062">
        <v>2019</v>
      </c>
      <c r="B1062" t="s">
        <v>59</v>
      </c>
      <c r="C1062" t="s">
        <v>174</v>
      </c>
      <c r="D1062" t="s">
        <v>175</v>
      </c>
      <c r="E1062" t="s">
        <v>112</v>
      </c>
      <c r="F1062" t="s">
        <v>80</v>
      </c>
      <c r="G1062">
        <v>0</v>
      </c>
    </row>
    <row r="1063" spans="1:7" x14ac:dyDescent="0.35">
      <c r="A1063">
        <v>2019</v>
      </c>
      <c r="B1063" t="s">
        <v>59</v>
      </c>
      <c r="C1063" t="s">
        <v>174</v>
      </c>
      <c r="D1063" t="s">
        <v>175</v>
      </c>
      <c r="E1063" t="s">
        <v>91</v>
      </c>
      <c r="F1063" t="s">
        <v>80</v>
      </c>
      <c r="G1063">
        <v>0</v>
      </c>
    </row>
    <row r="1064" spans="1:7" x14ac:dyDescent="0.35">
      <c r="A1064">
        <v>2019</v>
      </c>
      <c r="B1064" t="s">
        <v>59</v>
      </c>
      <c r="C1064" t="s">
        <v>174</v>
      </c>
      <c r="D1064" t="s">
        <v>175</v>
      </c>
      <c r="E1064" t="s">
        <v>113</v>
      </c>
      <c r="F1064" t="s">
        <v>80</v>
      </c>
      <c r="G1064">
        <v>0</v>
      </c>
    </row>
    <row r="1065" spans="1:7" x14ac:dyDescent="0.35">
      <c r="A1065">
        <v>2019</v>
      </c>
      <c r="B1065" t="s">
        <v>59</v>
      </c>
      <c r="C1065" t="s">
        <v>174</v>
      </c>
      <c r="D1065" t="s">
        <v>175</v>
      </c>
      <c r="E1065" t="s">
        <v>114</v>
      </c>
      <c r="F1065" t="s">
        <v>80</v>
      </c>
      <c r="G1065">
        <v>0</v>
      </c>
    </row>
    <row r="1066" spans="1:7" x14ac:dyDescent="0.35">
      <c r="A1066">
        <v>2019</v>
      </c>
      <c r="B1066" t="s">
        <v>50</v>
      </c>
      <c r="C1066" t="s">
        <v>174</v>
      </c>
      <c r="D1066" t="s">
        <v>175</v>
      </c>
      <c r="E1066" t="s">
        <v>112</v>
      </c>
      <c r="F1066" t="s">
        <v>80</v>
      </c>
      <c r="G1066">
        <v>0</v>
      </c>
    </row>
    <row r="1067" spans="1:7" x14ac:dyDescent="0.35">
      <c r="A1067">
        <v>2019</v>
      </c>
      <c r="B1067" t="s">
        <v>50</v>
      </c>
      <c r="C1067" t="s">
        <v>174</v>
      </c>
      <c r="D1067" t="s">
        <v>175</v>
      </c>
      <c r="E1067" t="s">
        <v>91</v>
      </c>
      <c r="F1067" t="s">
        <v>80</v>
      </c>
      <c r="G1067">
        <v>0</v>
      </c>
    </row>
    <row r="1068" spans="1:7" x14ac:dyDescent="0.35">
      <c r="A1068">
        <v>2019</v>
      </c>
      <c r="B1068" t="s">
        <v>50</v>
      </c>
      <c r="C1068" t="s">
        <v>174</v>
      </c>
      <c r="D1068" t="s">
        <v>175</v>
      </c>
      <c r="E1068" t="s">
        <v>113</v>
      </c>
      <c r="F1068" t="s">
        <v>80</v>
      </c>
      <c r="G1068">
        <v>0</v>
      </c>
    </row>
    <row r="1069" spans="1:7" x14ac:dyDescent="0.35">
      <c r="A1069">
        <v>2019</v>
      </c>
      <c r="B1069" t="s">
        <v>50</v>
      </c>
      <c r="C1069" t="s">
        <v>174</v>
      </c>
      <c r="D1069" t="s">
        <v>175</v>
      </c>
      <c r="E1069" t="s">
        <v>114</v>
      </c>
      <c r="F1069" t="s">
        <v>80</v>
      </c>
      <c r="G1069">
        <v>0</v>
      </c>
    </row>
    <row r="1070" spans="1:7" x14ac:dyDescent="0.35">
      <c r="A1070">
        <v>2019</v>
      </c>
      <c r="B1070" t="s">
        <v>51</v>
      </c>
      <c r="C1070" t="s">
        <v>174</v>
      </c>
      <c r="D1070" t="s">
        <v>175</v>
      </c>
      <c r="E1070" t="s">
        <v>112</v>
      </c>
      <c r="F1070" t="s">
        <v>80</v>
      </c>
      <c r="G1070">
        <v>0</v>
      </c>
    </row>
    <row r="1071" spans="1:7" x14ac:dyDescent="0.35">
      <c r="A1071">
        <v>2019</v>
      </c>
      <c r="B1071" t="s">
        <v>51</v>
      </c>
      <c r="C1071" t="s">
        <v>174</v>
      </c>
      <c r="D1071" t="s">
        <v>175</v>
      </c>
      <c r="E1071" t="s">
        <v>91</v>
      </c>
      <c r="F1071" t="s">
        <v>80</v>
      </c>
      <c r="G1071">
        <v>0</v>
      </c>
    </row>
    <row r="1072" spans="1:7" x14ac:dyDescent="0.35">
      <c r="A1072">
        <v>2019</v>
      </c>
      <c r="B1072" t="s">
        <v>51</v>
      </c>
      <c r="C1072" t="s">
        <v>174</v>
      </c>
      <c r="D1072" t="s">
        <v>175</v>
      </c>
      <c r="E1072" t="s">
        <v>113</v>
      </c>
      <c r="F1072" t="s">
        <v>80</v>
      </c>
      <c r="G1072">
        <v>0</v>
      </c>
    </row>
    <row r="1073" spans="1:7" x14ac:dyDescent="0.35">
      <c r="A1073">
        <v>2019</v>
      </c>
      <c r="B1073" t="s">
        <v>51</v>
      </c>
      <c r="C1073" t="s">
        <v>174</v>
      </c>
      <c r="D1073" t="s">
        <v>175</v>
      </c>
      <c r="E1073" t="s">
        <v>114</v>
      </c>
      <c r="F1073" t="s">
        <v>80</v>
      </c>
      <c r="G1073">
        <v>0</v>
      </c>
    </row>
    <row r="1074" spans="1:7" x14ac:dyDescent="0.35">
      <c r="A1074">
        <v>2019</v>
      </c>
      <c r="B1074" t="s">
        <v>52</v>
      </c>
      <c r="C1074" t="s">
        <v>174</v>
      </c>
      <c r="D1074" t="s">
        <v>175</v>
      </c>
      <c r="E1074" t="s">
        <v>112</v>
      </c>
      <c r="F1074" t="s">
        <v>80</v>
      </c>
      <c r="G1074">
        <v>0</v>
      </c>
    </row>
    <row r="1075" spans="1:7" x14ac:dyDescent="0.35">
      <c r="A1075">
        <v>2019</v>
      </c>
      <c r="B1075" t="s">
        <v>52</v>
      </c>
      <c r="C1075" t="s">
        <v>174</v>
      </c>
      <c r="D1075" t="s">
        <v>175</v>
      </c>
      <c r="E1075" t="s">
        <v>91</v>
      </c>
      <c r="F1075" t="s">
        <v>80</v>
      </c>
      <c r="G1075">
        <v>0</v>
      </c>
    </row>
    <row r="1076" spans="1:7" x14ac:dyDescent="0.35">
      <c r="A1076">
        <v>2019</v>
      </c>
      <c r="B1076" t="s">
        <v>52</v>
      </c>
      <c r="C1076" t="s">
        <v>174</v>
      </c>
      <c r="D1076" t="s">
        <v>175</v>
      </c>
      <c r="E1076" t="s">
        <v>113</v>
      </c>
      <c r="F1076" t="s">
        <v>80</v>
      </c>
      <c r="G1076">
        <v>0</v>
      </c>
    </row>
    <row r="1077" spans="1:7" x14ac:dyDescent="0.35">
      <c r="A1077">
        <v>2019</v>
      </c>
      <c r="B1077" t="s">
        <v>52</v>
      </c>
      <c r="C1077" t="s">
        <v>174</v>
      </c>
      <c r="D1077" t="s">
        <v>175</v>
      </c>
      <c r="E1077" t="s">
        <v>114</v>
      </c>
      <c r="F1077" t="s">
        <v>80</v>
      </c>
      <c r="G1077">
        <v>0</v>
      </c>
    </row>
    <row r="1078" spans="1:7" x14ac:dyDescent="0.35">
      <c r="A1078">
        <v>2019</v>
      </c>
      <c r="B1078" t="s">
        <v>60</v>
      </c>
      <c r="C1078" t="s">
        <v>174</v>
      </c>
      <c r="D1078" t="s">
        <v>175</v>
      </c>
      <c r="E1078" t="s">
        <v>112</v>
      </c>
      <c r="F1078" t="s">
        <v>80</v>
      </c>
      <c r="G1078">
        <v>0</v>
      </c>
    </row>
    <row r="1079" spans="1:7" x14ac:dyDescent="0.35">
      <c r="A1079">
        <v>2019</v>
      </c>
      <c r="B1079" t="s">
        <v>60</v>
      </c>
      <c r="C1079" t="s">
        <v>174</v>
      </c>
      <c r="D1079" t="s">
        <v>175</v>
      </c>
      <c r="E1079" t="s">
        <v>91</v>
      </c>
      <c r="F1079" t="s">
        <v>80</v>
      </c>
      <c r="G1079">
        <v>0</v>
      </c>
    </row>
    <row r="1080" spans="1:7" x14ac:dyDescent="0.35">
      <c r="A1080">
        <v>2019</v>
      </c>
      <c r="B1080" t="s">
        <v>60</v>
      </c>
      <c r="C1080" t="s">
        <v>174</v>
      </c>
      <c r="D1080" t="s">
        <v>175</v>
      </c>
      <c r="E1080" t="s">
        <v>113</v>
      </c>
      <c r="F1080" t="s">
        <v>80</v>
      </c>
      <c r="G1080">
        <v>0</v>
      </c>
    </row>
    <row r="1081" spans="1:7" x14ac:dyDescent="0.35">
      <c r="A1081">
        <v>2019</v>
      </c>
      <c r="B1081" t="s">
        <v>60</v>
      </c>
      <c r="C1081" t="s">
        <v>174</v>
      </c>
      <c r="D1081" t="s">
        <v>175</v>
      </c>
      <c r="E1081" t="s">
        <v>114</v>
      </c>
      <c r="F1081" t="s">
        <v>80</v>
      </c>
      <c r="G1081">
        <v>0</v>
      </c>
    </row>
    <row r="1082" spans="1:7" x14ac:dyDescent="0.35">
      <c r="A1082">
        <v>2019</v>
      </c>
      <c r="B1082" t="s">
        <v>53</v>
      </c>
      <c r="C1082" t="s">
        <v>174</v>
      </c>
      <c r="D1082" t="s">
        <v>175</v>
      </c>
      <c r="E1082" t="s">
        <v>112</v>
      </c>
      <c r="F1082" t="s">
        <v>80</v>
      </c>
      <c r="G1082">
        <v>0</v>
      </c>
    </row>
    <row r="1083" spans="1:7" x14ac:dyDescent="0.35">
      <c r="A1083">
        <v>2019</v>
      </c>
      <c r="B1083" t="s">
        <v>53</v>
      </c>
      <c r="C1083" t="s">
        <v>174</v>
      </c>
      <c r="D1083" t="s">
        <v>175</v>
      </c>
      <c r="E1083" t="s">
        <v>91</v>
      </c>
      <c r="F1083" t="s">
        <v>80</v>
      </c>
      <c r="G1083">
        <v>0</v>
      </c>
    </row>
    <row r="1084" spans="1:7" x14ac:dyDescent="0.35">
      <c r="A1084">
        <v>2019</v>
      </c>
      <c r="B1084" t="s">
        <v>53</v>
      </c>
      <c r="C1084" t="s">
        <v>174</v>
      </c>
      <c r="D1084" t="s">
        <v>175</v>
      </c>
      <c r="E1084" t="s">
        <v>113</v>
      </c>
      <c r="F1084" t="s">
        <v>80</v>
      </c>
      <c r="G1084">
        <v>0</v>
      </c>
    </row>
    <row r="1085" spans="1:7" x14ac:dyDescent="0.35">
      <c r="A1085">
        <v>2019</v>
      </c>
      <c r="B1085" t="s">
        <v>53</v>
      </c>
      <c r="C1085" t="s">
        <v>174</v>
      </c>
      <c r="D1085" t="s">
        <v>175</v>
      </c>
      <c r="E1085" t="s">
        <v>114</v>
      </c>
      <c r="F1085" t="s">
        <v>80</v>
      </c>
      <c r="G1085">
        <v>0</v>
      </c>
    </row>
    <row r="1086" spans="1:7" x14ac:dyDescent="0.35">
      <c r="A1086">
        <v>2019</v>
      </c>
      <c r="B1086" t="s">
        <v>61</v>
      </c>
      <c r="C1086" t="s">
        <v>174</v>
      </c>
      <c r="D1086" t="s">
        <v>175</v>
      </c>
      <c r="E1086" t="s">
        <v>112</v>
      </c>
      <c r="F1086" t="s">
        <v>80</v>
      </c>
      <c r="G1086">
        <v>0</v>
      </c>
    </row>
    <row r="1087" spans="1:7" x14ac:dyDescent="0.35">
      <c r="A1087">
        <v>2019</v>
      </c>
      <c r="B1087" t="s">
        <v>61</v>
      </c>
      <c r="C1087" t="s">
        <v>174</v>
      </c>
      <c r="D1087" t="s">
        <v>175</v>
      </c>
      <c r="E1087" t="s">
        <v>91</v>
      </c>
      <c r="F1087" t="s">
        <v>80</v>
      </c>
      <c r="G1087">
        <v>0</v>
      </c>
    </row>
    <row r="1088" spans="1:7" x14ac:dyDescent="0.35">
      <c r="A1088">
        <v>2019</v>
      </c>
      <c r="B1088" t="s">
        <v>61</v>
      </c>
      <c r="C1088" t="s">
        <v>174</v>
      </c>
      <c r="D1088" t="s">
        <v>175</v>
      </c>
      <c r="E1088" t="s">
        <v>113</v>
      </c>
      <c r="F1088" t="s">
        <v>80</v>
      </c>
      <c r="G1088">
        <v>0</v>
      </c>
    </row>
    <row r="1089" spans="1:7" x14ac:dyDescent="0.35">
      <c r="A1089">
        <v>2019</v>
      </c>
      <c r="B1089" t="s">
        <v>61</v>
      </c>
      <c r="C1089" t="s">
        <v>174</v>
      </c>
      <c r="D1089" t="s">
        <v>175</v>
      </c>
      <c r="E1089" t="s">
        <v>114</v>
      </c>
      <c r="F1089" t="s">
        <v>80</v>
      </c>
      <c r="G1089">
        <v>0</v>
      </c>
    </row>
    <row r="1090" spans="1:7" x14ac:dyDescent="0.35">
      <c r="A1090">
        <v>2019</v>
      </c>
      <c r="B1090" t="s">
        <v>54</v>
      </c>
      <c r="C1090" t="s">
        <v>174</v>
      </c>
      <c r="D1090" t="s">
        <v>175</v>
      </c>
      <c r="E1090" t="s">
        <v>112</v>
      </c>
      <c r="F1090" t="s">
        <v>80</v>
      </c>
      <c r="G1090">
        <v>0</v>
      </c>
    </row>
    <row r="1091" spans="1:7" x14ac:dyDescent="0.35">
      <c r="A1091">
        <v>2019</v>
      </c>
      <c r="B1091" t="s">
        <v>54</v>
      </c>
      <c r="C1091" t="s">
        <v>174</v>
      </c>
      <c r="D1091" t="s">
        <v>175</v>
      </c>
      <c r="E1091" t="s">
        <v>91</v>
      </c>
      <c r="F1091" t="s">
        <v>80</v>
      </c>
      <c r="G1091">
        <v>0</v>
      </c>
    </row>
    <row r="1092" spans="1:7" x14ac:dyDescent="0.35">
      <c r="A1092">
        <v>2019</v>
      </c>
      <c r="B1092" t="s">
        <v>54</v>
      </c>
      <c r="C1092" t="s">
        <v>174</v>
      </c>
      <c r="D1092" t="s">
        <v>175</v>
      </c>
      <c r="E1092" t="s">
        <v>113</v>
      </c>
      <c r="F1092" t="s">
        <v>80</v>
      </c>
      <c r="G1092">
        <v>0</v>
      </c>
    </row>
    <row r="1093" spans="1:7" x14ac:dyDescent="0.35">
      <c r="A1093">
        <v>2019</v>
      </c>
      <c r="B1093" t="s">
        <v>54</v>
      </c>
      <c r="C1093" t="s">
        <v>174</v>
      </c>
      <c r="D1093" t="s">
        <v>175</v>
      </c>
      <c r="E1093" t="s">
        <v>114</v>
      </c>
      <c r="F1093" t="s">
        <v>80</v>
      </c>
      <c r="G1093">
        <v>0</v>
      </c>
    </row>
    <row r="1094" spans="1:7" x14ac:dyDescent="0.35">
      <c r="A1094">
        <v>2019</v>
      </c>
      <c r="B1094" t="s">
        <v>62</v>
      </c>
      <c r="C1094" t="s">
        <v>174</v>
      </c>
      <c r="D1094" t="s">
        <v>175</v>
      </c>
      <c r="E1094" t="s">
        <v>112</v>
      </c>
      <c r="F1094" t="s">
        <v>80</v>
      </c>
      <c r="G1094">
        <v>0</v>
      </c>
    </row>
    <row r="1095" spans="1:7" x14ac:dyDescent="0.35">
      <c r="A1095">
        <v>2019</v>
      </c>
      <c r="B1095" t="s">
        <v>62</v>
      </c>
      <c r="C1095" t="s">
        <v>174</v>
      </c>
      <c r="D1095" t="s">
        <v>175</v>
      </c>
      <c r="E1095" t="s">
        <v>91</v>
      </c>
      <c r="F1095" t="s">
        <v>80</v>
      </c>
      <c r="G1095">
        <v>0</v>
      </c>
    </row>
    <row r="1096" spans="1:7" x14ac:dyDescent="0.35">
      <c r="A1096">
        <v>2019</v>
      </c>
      <c r="B1096" t="s">
        <v>62</v>
      </c>
      <c r="C1096" t="s">
        <v>174</v>
      </c>
      <c r="D1096" t="s">
        <v>175</v>
      </c>
      <c r="E1096" t="s">
        <v>113</v>
      </c>
      <c r="F1096" t="s">
        <v>80</v>
      </c>
      <c r="G1096">
        <v>0</v>
      </c>
    </row>
    <row r="1097" spans="1:7" x14ac:dyDescent="0.35">
      <c r="A1097">
        <v>2019</v>
      </c>
      <c r="B1097" t="s">
        <v>62</v>
      </c>
      <c r="C1097" t="s">
        <v>174</v>
      </c>
      <c r="D1097" t="s">
        <v>175</v>
      </c>
      <c r="E1097" t="s">
        <v>114</v>
      </c>
      <c r="F1097" t="s">
        <v>80</v>
      </c>
      <c r="G1097">
        <v>0</v>
      </c>
    </row>
    <row r="1098" spans="1:7" x14ac:dyDescent="0.35">
      <c r="A1098">
        <v>2019</v>
      </c>
      <c r="B1098" t="s">
        <v>28</v>
      </c>
      <c r="C1098" t="s">
        <v>174</v>
      </c>
      <c r="D1098" t="s">
        <v>175</v>
      </c>
      <c r="E1098" t="s">
        <v>112</v>
      </c>
      <c r="F1098" t="s">
        <v>80</v>
      </c>
      <c r="G1098">
        <v>0</v>
      </c>
    </row>
    <row r="1099" spans="1:7" x14ac:dyDescent="0.35">
      <c r="A1099">
        <v>2019</v>
      </c>
      <c r="B1099" t="s">
        <v>28</v>
      </c>
      <c r="C1099" t="s">
        <v>174</v>
      </c>
      <c r="D1099" t="s">
        <v>175</v>
      </c>
      <c r="E1099" t="s">
        <v>91</v>
      </c>
      <c r="F1099" t="s">
        <v>80</v>
      </c>
      <c r="G1099">
        <v>0</v>
      </c>
    </row>
    <row r="1100" spans="1:7" x14ac:dyDescent="0.35">
      <c r="A1100">
        <v>2019</v>
      </c>
      <c r="B1100" t="s">
        <v>28</v>
      </c>
      <c r="C1100" t="s">
        <v>174</v>
      </c>
      <c r="D1100" t="s">
        <v>175</v>
      </c>
      <c r="E1100" t="s">
        <v>113</v>
      </c>
      <c r="F1100" t="s">
        <v>80</v>
      </c>
      <c r="G1100">
        <v>0</v>
      </c>
    </row>
    <row r="1101" spans="1:7" x14ac:dyDescent="0.35">
      <c r="A1101">
        <v>2019</v>
      </c>
      <c r="B1101" t="s">
        <v>28</v>
      </c>
      <c r="C1101" t="s">
        <v>174</v>
      </c>
      <c r="D1101" t="s">
        <v>175</v>
      </c>
      <c r="E1101" t="s">
        <v>114</v>
      </c>
      <c r="F1101" t="s">
        <v>80</v>
      </c>
      <c r="G1101">
        <v>0</v>
      </c>
    </row>
    <row r="1102" spans="1:7" x14ac:dyDescent="0.35">
      <c r="A1102">
        <v>2019</v>
      </c>
      <c r="B1102" t="s">
        <v>43</v>
      </c>
      <c r="C1102" t="s">
        <v>174</v>
      </c>
      <c r="D1102" t="s">
        <v>175</v>
      </c>
      <c r="E1102" t="s">
        <v>112</v>
      </c>
      <c r="F1102" t="s">
        <v>80</v>
      </c>
      <c r="G1102">
        <v>0</v>
      </c>
    </row>
    <row r="1103" spans="1:7" x14ac:dyDescent="0.35">
      <c r="A1103">
        <v>2019</v>
      </c>
      <c r="B1103" t="s">
        <v>43</v>
      </c>
      <c r="C1103" t="s">
        <v>174</v>
      </c>
      <c r="D1103" t="s">
        <v>175</v>
      </c>
      <c r="E1103" t="s">
        <v>91</v>
      </c>
      <c r="F1103" t="s">
        <v>80</v>
      </c>
      <c r="G1103">
        <v>0</v>
      </c>
    </row>
    <row r="1104" spans="1:7" x14ac:dyDescent="0.35">
      <c r="A1104">
        <v>2019</v>
      </c>
      <c r="B1104" t="s">
        <v>43</v>
      </c>
      <c r="C1104" t="s">
        <v>174</v>
      </c>
      <c r="D1104" t="s">
        <v>175</v>
      </c>
      <c r="E1104" t="s">
        <v>113</v>
      </c>
      <c r="F1104" t="s">
        <v>80</v>
      </c>
      <c r="G1104">
        <v>0</v>
      </c>
    </row>
    <row r="1105" spans="1:7" x14ac:dyDescent="0.35">
      <c r="A1105">
        <v>2019</v>
      </c>
      <c r="B1105" t="s">
        <v>43</v>
      </c>
      <c r="C1105" t="s">
        <v>174</v>
      </c>
      <c r="D1105" t="s">
        <v>175</v>
      </c>
      <c r="E1105" t="s">
        <v>114</v>
      </c>
      <c r="F1105" t="s">
        <v>80</v>
      </c>
      <c r="G1105">
        <v>1</v>
      </c>
    </row>
    <row r="1106" spans="1:7" x14ac:dyDescent="0.35">
      <c r="A1106">
        <v>2019</v>
      </c>
      <c r="B1106" t="s">
        <v>17</v>
      </c>
      <c r="C1106" t="s">
        <v>174</v>
      </c>
      <c r="D1106" t="s">
        <v>175</v>
      </c>
      <c r="E1106" t="s">
        <v>112</v>
      </c>
      <c r="F1106" t="s">
        <v>121</v>
      </c>
      <c r="G1106">
        <v>0</v>
      </c>
    </row>
    <row r="1107" spans="1:7" x14ac:dyDescent="0.35">
      <c r="A1107">
        <v>2019</v>
      </c>
      <c r="B1107" t="s">
        <v>17</v>
      </c>
      <c r="C1107" t="s">
        <v>174</v>
      </c>
      <c r="D1107" t="s">
        <v>175</v>
      </c>
      <c r="E1107" t="s">
        <v>91</v>
      </c>
      <c r="F1107" t="s">
        <v>121</v>
      </c>
      <c r="G1107">
        <v>1</v>
      </c>
    </row>
    <row r="1108" spans="1:7" x14ac:dyDescent="0.35">
      <c r="A1108">
        <v>2019</v>
      </c>
      <c r="B1108" t="s">
        <v>17</v>
      </c>
      <c r="C1108" t="s">
        <v>174</v>
      </c>
      <c r="D1108" t="s">
        <v>175</v>
      </c>
      <c r="E1108" t="s">
        <v>113</v>
      </c>
      <c r="F1108" t="s">
        <v>121</v>
      </c>
      <c r="G1108">
        <v>0</v>
      </c>
    </row>
    <row r="1109" spans="1:7" x14ac:dyDescent="0.35">
      <c r="A1109">
        <v>2019</v>
      </c>
      <c r="B1109" t="s">
        <v>17</v>
      </c>
      <c r="C1109" t="s">
        <v>174</v>
      </c>
      <c r="D1109" t="s">
        <v>175</v>
      </c>
      <c r="E1109" t="s">
        <v>114</v>
      </c>
      <c r="F1109" t="s">
        <v>121</v>
      </c>
      <c r="G1109">
        <v>0</v>
      </c>
    </row>
    <row r="1110" spans="1:7" x14ac:dyDescent="0.35">
      <c r="A1110">
        <v>2019</v>
      </c>
      <c r="B1110" t="s">
        <v>18</v>
      </c>
      <c r="C1110" t="s">
        <v>174</v>
      </c>
      <c r="D1110" t="s">
        <v>175</v>
      </c>
      <c r="E1110" t="s">
        <v>112</v>
      </c>
      <c r="F1110" t="s">
        <v>121</v>
      </c>
      <c r="G1110">
        <v>0</v>
      </c>
    </row>
    <row r="1111" spans="1:7" x14ac:dyDescent="0.35">
      <c r="A1111">
        <v>2019</v>
      </c>
      <c r="B1111" t="s">
        <v>18</v>
      </c>
      <c r="C1111" t="s">
        <v>174</v>
      </c>
      <c r="D1111" t="s">
        <v>175</v>
      </c>
      <c r="E1111" t="s">
        <v>91</v>
      </c>
      <c r="F1111" t="s">
        <v>121</v>
      </c>
      <c r="G1111">
        <v>0</v>
      </c>
    </row>
    <row r="1112" spans="1:7" x14ac:dyDescent="0.35">
      <c r="A1112">
        <v>2019</v>
      </c>
      <c r="B1112" t="s">
        <v>18</v>
      </c>
      <c r="C1112" t="s">
        <v>174</v>
      </c>
      <c r="D1112" t="s">
        <v>175</v>
      </c>
      <c r="E1112" t="s">
        <v>113</v>
      </c>
      <c r="F1112" t="s">
        <v>121</v>
      </c>
      <c r="G1112">
        <v>0</v>
      </c>
    </row>
    <row r="1113" spans="1:7" x14ac:dyDescent="0.35">
      <c r="A1113">
        <v>2019</v>
      </c>
      <c r="B1113" t="s">
        <v>18</v>
      </c>
      <c r="C1113" t="s">
        <v>174</v>
      </c>
      <c r="D1113" t="s">
        <v>175</v>
      </c>
      <c r="E1113" t="s">
        <v>114</v>
      </c>
      <c r="F1113" t="s">
        <v>121</v>
      </c>
      <c r="G1113">
        <v>0</v>
      </c>
    </row>
    <row r="1114" spans="1:7" x14ac:dyDescent="0.35">
      <c r="A1114">
        <v>2019</v>
      </c>
      <c r="B1114" t="s">
        <v>19</v>
      </c>
      <c r="C1114" t="s">
        <v>174</v>
      </c>
      <c r="D1114" t="s">
        <v>175</v>
      </c>
      <c r="E1114" t="s">
        <v>112</v>
      </c>
      <c r="F1114" t="s">
        <v>121</v>
      </c>
      <c r="G1114">
        <v>0</v>
      </c>
    </row>
    <row r="1115" spans="1:7" x14ac:dyDescent="0.35">
      <c r="A1115">
        <v>2019</v>
      </c>
      <c r="B1115" t="s">
        <v>19</v>
      </c>
      <c r="C1115" t="s">
        <v>174</v>
      </c>
      <c r="D1115" t="s">
        <v>175</v>
      </c>
      <c r="E1115" t="s">
        <v>91</v>
      </c>
      <c r="F1115" t="s">
        <v>121</v>
      </c>
      <c r="G1115">
        <v>0</v>
      </c>
    </row>
    <row r="1116" spans="1:7" x14ac:dyDescent="0.35">
      <c r="A1116">
        <v>2019</v>
      </c>
      <c r="B1116" t="s">
        <v>19</v>
      </c>
      <c r="C1116" t="s">
        <v>174</v>
      </c>
      <c r="D1116" t="s">
        <v>175</v>
      </c>
      <c r="E1116" t="s">
        <v>113</v>
      </c>
      <c r="F1116" t="s">
        <v>121</v>
      </c>
      <c r="G1116">
        <v>0</v>
      </c>
    </row>
    <row r="1117" spans="1:7" x14ac:dyDescent="0.35">
      <c r="A1117">
        <v>2019</v>
      </c>
      <c r="B1117" t="s">
        <v>19</v>
      </c>
      <c r="C1117" t="s">
        <v>174</v>
      </c>
      <c r="D1117" t="s">
        <v>175</v>
      </c>
      <c r="E1117" t="s">
        <v>114</v>
      </c>
      <c r="F1117" t="s">
        <v>121</v>
      </c>
      <c r="G1117">
        <v>0</v>
      </c>
    </row>
    <row r="1118" spans="1:7" x14ac:dyDescent="0.35">
      <c r="A1118">
        <v>2019</v>
      </c>
      <c r="B1118" t="s">
        <v>20</v>
      </c>
      <c r="C1118" t="s">
        <v>174</v>
      </c>
      <c r="D1118" t="s">
        <v>175</v>
      </c>
      <c r="E1118" t="s">
        <v>112</v>
      </c>
      <c r="F1118" t="s">
        <v>121</v>
      </c>
      <c r="G1118">
        <v>0</v>
      </c>
    </row>
    <row r="1119" spans="1:7" x14ac:dyDescent="0.35">
      <c r="A1119">
        <v>2019</v>
      </c>
      <c r="B1119" t="s">
        <v>20</v>
      </c>
      <c r="C1119" t="s">
        <v>174</v>
      </c>
      <c r="D1119" t="s">
        <v>175</v>
      </c>
      <c r="E1119" t="s">
        <v>91</v>
      </c>
      <c r="F1119" t="s">
        <v>121</v>
      </c>
      <c r="G1119">
        <v>0</v>
      </c>
    </row>
    <row r="1120" spans="1:7" x14ac:dyDescent="0.35">
      <c r="A1120">
        <v>2019</v>
      </c>
      <c r="B1120" t="s">
        <v>20</v>
      </c>
      <c r="C1120" t="s">
        <v>174</v>
      </c>
      <c r="D1120" t="s">
        <v>175</v>
      </c>
      <c r="E1120" t="s">
        <v>113</v>
      </c>
      <c r="F1120" t="s">
        <v>121</v>
      </c>
      <c r="G1120">
        <v>0</v>
      </c>
    </row>
    <row r="1121" spans="1:7" x14ac:dyDescent="0.35">
      <c r="A1121">
        <v>2019</v>
      </c>
      <c r="B1121" t="s">
        <v>20</v>
      </c>
      <c r="C1121" t="s">
        <v>174</v>
      </c>
      <c r="D1121" t="s">
        <v>175</v>
      </c>
      <c r="E1121" t="s">
        <v>114</v>
      </c>
      <c r="F1121" t="s">
        <v>121</v>
      </c>
      <c r="G1121">
        <v>0</v>
      </c>
    </row>
    <row r="1122" spans="1:7" x14ac:dyDescent="0.35">
      <c r="A1122">
        <v>2019</v>
      </c>
      <c r="B1122" t="s">
        <v>21</v>
      </c>
      <c r="C1122" t="s">
        <v>174</v>
      </c>
      <c r="D1122" t="s">
        <v>175</v>
      </c>
      <c r="E1122" t="s">
        <v>112</v>
      </c>
      <c r="F1122" t="s">
        <v>121</v>
      </c>
      <c r="G1122">
        <v>0</v>
      </c>
    </row>
    <row r="1123" spans="1:7" x14ac:dyDescent="0.35">
      <c r="A1123">
        <v>2019</v>
      </c>
      <c r="B1123" t="s">
        <v>21</v>
      </c>
      <c r="C1123" t="s">
        <v>174</v>
      </c>
      <c r="D1123" t="s">
        <v>175</v>
      </c>
      <c r="E1123" t="s">
        <v>91</v>
      </c>
      <c r="F1123" t="s">
        <v>121</v>
      </c>
      <c r="G1123">
        <v>0</v>
      </c>
    </row>
    <row r="1124" spans="1:7" x14ac:dyDescent="0.35">
      <c r="A1124">
        <v>2019</v>
      </c>
      <c r="B1124" t="s">
        <v>21</v>
      </c>
      <c r="C1124" t="s">
        <v>174</v>
      </c>
      <c r="D1124" t="s">
        <v>175</v>
      </c>
      <c r="E1124" t="s">
        <v>113</v>
      </c>
      <c r="F1124" t="s">
        <v>121</v>
      </c>
      <c r="G1124">
        <v>0</v>
      </c>
    </row>
    <row r="1125" spans="1:7" x14ac:dyDescent="0.35">
      <c r="A1125">
        <v>2019</v>
      </c>
      <c r="B1125" t="s">
        <v>21</v>
      </c>
      <c r="C1125" t="s">
        <v>174</v>
      </c>
      <c r="D1125" t="s">
        <v>175</v>
      </c>
      <c r="E1125" t="s">
        <v>114</v>
      </c>
      <c r="F1125" t="s">
        <v>121</v>
      </c>
      <c r="G1125">
        <v>0</v>
      </c>
    </row>
    <row r="1126" spans="1:7" x14ac:dyDescent="0.35">
      <c r="A1126">
        <v>2019</v>
      </c>
      <c r="B1126" t="s">
        <v>22</v>
      </c>
      <c r="C1126" t="s">
        <v>174</v>
      </c>
      <c r="D1126" t="s">
        <v>175</v>
      </c>
      <c r="E1126" t="s">
        <v>112</v>
      </c>
      <c r="F1126" t="s">
        <v>121</v>
      </c>
      <c r="G1126">
        <v>0</v>
      </c>
    </row>
    <row r="1127" spans="1:7" x14ac:dyDescent="0.35">
      <c r="A1127">
        <v>2019</v>
      </c>
      <c r="B1127" t="s">
        <v>22</v>
      </c>
      <c r="C1127" t="s">
        <v>174</v>
      </c>
      <c r="D1127" t="s">
        <v>175</v>
      </c>
      <c r="E1127" t="s">
        <v>91</v>
      </c>
      <c r="F1127" t="s">
        <v>121</v>
      </c>
      <c r="G1127">
        <v>1</v>
      </c>
    </row>
    <row r="1128" spans="1:7" x14ac:dyDescent="0.35">
      <c r="A1128">
        <v>2019</v>
      </c>
      <c r="B1128" t="s">
        <v>22</v>
      </c>
      <c r="C1128" t="s">
        <v>174</v>
      </c>
      <c r="D1128" t="s">
        <v>175</v>
      </c>
      <c r="E1128" t="s">
        <v>113</v>
      </c>
      <c r="F1128" t="s">
        <v>121</v>
      </c>
      <c r="G1128">
        <v>0</v>
      </c>
    </row>
    <row r="1129" spans="1:7" x14ac:dyDescent="0.35">
      <c r="A1129">
        <v>2019</v>
      </c>
      <c r="B1129" t="s">
        <v>22</v>
      </c>
      <c r="C1129" t="s">
        <v>174</v>
      </c>
      <c r="D1129" t="s">
        <v>175</v>
      </c>
      <c r="E1129" t="s">
        <v>114</v>
      </c>
      <c r="F1129" t="s">
        <v>121</v>
      </c>
      <c r="G1129">
        <v>0</v>
      </c>
    </row>
    <row r="1130" spans="1:7" x14ac:dyDescent="0.35">
      <c r="A1130">
        <v>2019</v>
      </c>
      <c r="B1130" t="s">
        <v>23</v>
      </c>
      <c r="C1130" t="s">
        <v>174</v>
      </c>
      <c r="D1130" t="s">
        <v>175</v>
      </c>
      <c r="E1130" t="s">
        <v>112</v>
      </c>
      <c r="F1130" t="s">
        <v>121</v>
      </c>
      <c r="G1130">
        <v>0</v>
      </c>
    </row>
    <row r="1131" spans="1:7" x14ac:dyDescent="0.35">
      <c r="A1131">
        <v>2019</v>
      </c>
      <c r="B1131" t="s">
        <v>23</v>
      </c>
      <c r="C1131" t="s">
        <v>174</v>
      </c>
      <c r="D1131" t="s">
        <v>175</v>
      </c>
      <c r="E1131" t="s">
        <v>91</v>
      </c>
      <c r="F1131" t="s">
        <v>121</v>
      </c>
      <c r="G1131">
        <v>0</v>
      </c>
    </row>
    <row r="1132" spans="1:7" x14ac:dyDescent="0.35">
      <c r="A1132">
        <v>2019</v>
      </c>
      <c r="B1132" t="s">
        <v>23</v>
      </c>
      <c r="C1132" t="s">
        <v>174</v>
      </c>
      <c r="D1132" t="s">
        <v>175</v>
      </c>
      <c r="E1132" t="s">
        <v>113</v>
      </c>
      <c r="F1132" t="s">
        <v>121</v>
      </c>
      <c r="G1132">
        <v>0</v>
      </c>
    </row>
    <row r="1133" spans="1:7" x14ac:dyDescent="0.35">
      <c r="A1133">
        <v>2019</v>
      </c>
      <c r="B1133" t="s">
        <v>23</v>
      </c>
      <c r="C1133" t="s">
        <v>174</v>
      </c>
      <c r="D1133" t="s">
        <v>175</v>
      </c>
      <c r="E1133" t="s">
        <v>114</v>
      </c>
      <c r="F1133" t="s">
        <v>121</v>
      </c>
      <c r="G1133">
        <v>0</v>
      </c>
    </row>
    <row r="1134" spans="1:7" x14ac:dyDescent="0.35">
      <c r="A1134">
        <v>2019</v>
      </c>
      <c r="B1134" t="s">
        <v>24</v>
      </c>
      <c r="C1134" t="s">
        <v>174</v>
      </c>
      <c r="D1134" t="s">
        <v>175</v>
      </c>
      <c r="E1134" t="s">
        <v>112</v>
      </c>
      <c r="F1134" t="s">
        <v>121</v>
      </c>
      <c r="G1134">
        <v>0</v>
      </c>
    </row>
    <row r="1135" spans="1:7" x14ac:dyDescent="0.35">
      <c r="A1135">
        <v>2019</v>
      </c>
      <c r="B1135" t="s">
        <v>24</v>
      </c>
      <c r="C1135" t="s">
        <v>174</v>
      </c>
      <c r="D1135" t="s">
        <v>175</v>
      </c>
      <c r="E1135" t="s">
        <v>91</v>
      </c>
      <c r="F1135" t="s">
        <v>121</v>
      </c>
      <c r="G1135">
        <v>0</v>
      </c>
    </row>
    <row r="1136" spans="1:7" x14ac:dyDescent="0.35">
      <c r="A1136">
        <v>2019</v>
      </c>
      <c r="B1136" t="s">
        <v>24</v>
      </c>
      <c r="C1136" t="s">
        <v>174</v>
      </c>
      <c r="D1136" t="s">
        <v>175</v>
      </c>
      <c r="E1136" t="s">
        <v>113</v>
      </c>
      <c r="F1136" t="s">
        <v>121</v>
      </c>
      <c r="G1136">
        <v>0</v>
      </c>
    </row>
    <row r="1137" spans="1:7" x14ac:dyDescent="0.35">
      <c r="A1137">
        <v>2019</v>
      </c>
      <c r="B1137" t="s">
        <v>24</v>
      </c>
      <c r="C1137" t="s">
        <v>174</v>
      </c>
      <c r="D1137" t="s">
        <v>175</v>
      </c>
      <c r="E1137" t="s">
        <v>114</v>
      </c>
      <c r="F1137" t="s">
        <v>121</v>
      </c>
      <c r="G1137">
        <v>0</v>
      </c>
    </row>
    <row r="1138" spans="1:7" x14ac:dyDescent="0.35">
      <c r="A1138">
        <v>2019</v>
      </c>
      <c r="B1138" t="s">
        <v>25</v>
      </c>
      <c r="C1138" t="s">
        <v>174</v>
      </c>
      <c r="D1138" t="s">
        <v>175</v>
      </c>
      <c r="E1138" t="s">
        <v>112</v>
      </c>
      <c r="F1138" t="s">
        <v>121</v>
      </c>
      <c r="G1138">
        <v>0</v>
      </c>
    </row>
    <row r="1139" spans="1:7" x14ac:dyDescent="0.35">
      <c r="A1139">
        <v>2019</v>
      </c>
      <c r="B1139" t="s">
        <v>25</v>
      </c>
      <c r="C1139" t="s">
        <v>174</v>
      </c>
      <c r="D1139" t="s">
        <v>175</v>
      </c>
      <c r="E1139" t="s">
        <v>91</v>
      </c>
      <c r="F1139" t="s">
        <v>121</v>
      </c>
      <c r="G1139">
        <v>0</v>
      </c>
    </row>
    <row r="1140" spans="1:7" x14ac:dyDescent="0.35">
      <c r="A1140">
        <v>2019</v>
      </c>
      <c r="B1140" t="s">
        <v>25</v>
      </c>
      <c r="C1140" t="s">
        <v>174</v>
      </c>
      <c r="D1140" t="s">
        <v>175</v>
      </c>
      <c r="E1140" t="s">
        <v>113</v>
      </c>
      <c r="F1140" t="s">
        <v>121</v>
      </c>
      <c r="G1140">
        <v>0</v>
      </c>
    </row>
    <row r="1141" spans="1:7" x14ac:dyDescent="0.35">
      <c r="A1141">
        <v>2019</v>
      </c>
      <c r="B1141" t="s">
        <v>25</v>
      </c>
      <c r="C1141" t="s">
        <v>174</v>
      </c>
      <c r="D1141" t="s">
        <v>175</v>
      </c>
      <c r="E1141" t="s">
        <v>114</v>
      </c>
      <c r="F1141" t="s">
        <v>121</v>
      </c>
      <c r="G1141">
        <v>0</v>
      </c>
    </row>
    <row r="1142" spans="1:7" x14ac:dyDescent="0.35">
      <c r="A1142">
        <v>2019</v>
      </c>
      <c r="B1142" t="s">
        <v>26</v>
      </c>
      <c r="C1142" t="s">
        <v>174</v>
      </c>
      <c r="D1142" t="s">
        <v>175</v>
      </c>
      <c r="E1142" t="s">
        <v>112</v>
      </c>
      <c r="F1142" t="s">
        <v>121</v>
      </c>
      <c r="G1142">
        <v>0</v>
      </c>
    </row>
    <row r="1143" spans="1:7" x14ac:dyDescent="0.35">
      <c r="A1143">
        <v>2019</v>
      </c>
      <c r="B1143" t="s">
        <v>26</v>
      </c>
      <c r="C1143" t="s">
        <v>174</v>
      </c>
      <c r="D1143" t="s">
        <v>175</v>
      </c>
      <c r="E1143" t="s">
        <v>91</v>
      </c>
      <c r="F1143" t="s">
        <v>121</v>
      </c>
      <c r="G1143">
        <v>1</v>
      </c>
    </row>
    <row r="1144" spans="1:7" x14ac:dyDescent="0.35">
      <c r="A1144">
        <v>2019</v>
      </c>
      <c r="B1144" t="s">
        <v>26</v>
      </c>
      <c r="C1144" t="s">
        <v>174</v>
      </c>
      <c r="D1144" t="s">
        <v>175</v>
      </c>
      <c r="E1144" t="s">
        <v>113</v>
      </c>
      <c r="F1144" t="s">
        <v>121</v>
      </c>
      <c r="G1144">
        <v>0</v>
      </c>
    </row>
    <row r="1145" spans="1:7" x14ac:dyDescent="0.35">
      <c r="A1145">
        <v>2019</v>
      </c>
      <c r="B1145" t="s">
        <v>26</v>
      </c>
      <c r="C1145" t="s">
        <v>174</v>
      </c>
      <c r="D1145" t="s">
        <v>175</v>
      </c>
      <c r="E1145" t="s">
        <v>114</v>
      </c>
      <c r="F1145" t="s">
        <v>121</v>
      </c>
      <c r="G1145">
        <v>0</v>
      </c>
    </row>
    <row r="1146" spans="1:7" x14ac:dyDescent="0.35">
      <c r="A1146">
        <v>2019</v>
      </c>
      <c r="B1146" t="s">
        <v>27</v>
      </c>
      <c r="C1146" t="s">
        <v>174</v>
      </c>
      <c r="D1146" t="s">
        <v>175</v>
      </c>
      <c r="E1146" t="s">
        <v>112</v>
      </c>
      <c r="F1146" t="s">
        <v>121</v>
      </c>
      <c r="G1146">
        <v>0</v>
      </c>
    </row>
    <row r="1147" spans="1:7" x14ac:dyDescent="0.35">
      <c r="A1147">
        <v>2019</v>
      </c>
      <c r="B1147" t="s">
        <v>27</v>
      </c>
      <c r="C1147" t="s">
        <v>174</v>
      </c>
      <c r="D1147" t="s">
        <v>175</v>
      </c>
      <c r="E1147" t="s">
        <v>91</v>
      </c>
      <c r="F1147" t="s">
        <v>121</v>
      </c>
      <c r="G1147">
        <v>0</v>
      </c>
    </row>
    <row r="1148" spans="1:7" x14ac:dyDescent="0.35">
      <c r="A1148">
        <v>2019</v>
      </c>
      <c r="B1148" t="s">
        <v>27</v>
      </c>
      <c r="C1148" t="s">
        <v>174</v>
      </c>
      <c r="D1148" t="s">
        <v>175</v>
      </c>
      <c r="E1148" t="s">
        <v>113</v>
      </c>
      <c r="F1148" t="s">
        <v>121</v>
      </c>
      <c r="G1148">
        <v>0</v>
      </c>
    </row>
    <row r="1149" spans="1:7" x14ac:dyDescent="0.35">
      <c r="A1149">
        <v>2019</v>
      </c>
      <c r="B1149" t="s">
        <v>27</v>
      </c>
      <c r="C1149" t="s">
        <v>174</v>
      </c>
      <c r="D1149" t="s">
        <v>175</v>
      </c>
      <c r="E1149" t="s">
        <v>114</v>
      </c>
      <c r="F1149" t="s">
        <v>121</v>
      </c>
      <c r="G1149">
        <v>0</v>
      </c>
    </row>
    <row r="1150" spans="1:7" x14ac:dyDescent="0.35">
      <c r="A1150">
        <v>2019</v>
      </c>
      <c r="B1150" t="s">
        <v>29</v>
      </c>
      <c r="C1150" t="s">
        <v>174</v>
      </c>
      <c r="D1150" t="s">
        <v>175</v>
      </c>
      <c r="E1150" t="s">
        <v>112</v>
      </c>
      <c r="F1150" t="s">
        <v>121</v>
      </c>
      <c r="G1150">
        <v>0</v>
      </c>
    </row>
    <row r="1151" spans="1:7" x14ac:dyDescent="0.35">
      <c r="A1151">
        <v>2019</v>
      </c>
      <c r="B1151" t="s">
        <v>29</v>
      </c>
      <c r="C1151" t="s">
        <v>174</v>
      </c>
      <c r="D1151" t="s">
        <v>175</v>
      </c>
      <c r="E1151" t="s">
        <v>91</v>
      </c>
      <c r="F1151" t="s">
        <v>121</v>
      </c>
      <c r="G1151">
        <v>0</v>
      </c>
    </row>
    <row r="1152" spans="1:7" x14ac:dyDescent="0.35">
      <c r="A1152">
        <v>2019</v>
      </c>
      <c r="B1152" t="s">
        <v>29</v>
      </c>
      <c r="C1152" t="s">
        <v>174</v>
      </c>
      <c r="D1152" t="s">
        <v>175</v>
      </c>
      <c r="E1152" t="s">
        <v>113</v>
      </c>
      <c r="F1152" t="s">
        <v>121</v>
      </c>
      <c r="G1152">
        <v>0</v>
      </c>
    </row>
    <row r="1153" spans="1:7" x14ac:dyDescent="0.35">
      <c r="A1153">
        <v>2019</v>
      </c>
      <c r="B1153" t="s">
        <v>29</v>
      </c>
      <c r="C1153" t="s">
        <v>174</v>
      </c>
      <c r="D1153" t="s">
        <v>175</v>
      </c>
      <c r="E1153" t="s">
        <v>114</v>
      </c>
      <c r="F1153" t="s">
        <v>121</v>
      </c>
      <c r="G1153">
        <v>0</v>
      </c>
    </row>
    <row r="1154" spans="1:7" x14ac:dyDescent="0.35">
      <c r="A1154">
        <v>2019</v>
      </c>
      <c r="B1154" t="s">
        <v>30</v>
      </c>
      <c r="C1154" t="s">
        <v>174</v>
      </c>
      <c r="D1154" t="s">
        <v>175</v>
      </c>
      <c r="E1154" t="s">
        <v>112</v>
      </c>
      <c r="F1154" t="s">
        <v>121</v>
      </c>
      <c r="G1154">
        <v>0</v>
      </c>
    </row>
    <row r="1155" spans="1:7" x14ac:dyDescent="0.35">
      <c r="A1155">
        <v>2019</v>
      </c>
      <c r="B1155" t="s">
        <v>30</v>
      </c>
      <c r="C1155" t="s">
        <v>174</v>
      </c>
      <c r="D1155" t="s">
        <v>175</v>
      </c>
      <c r="E1155" t="s">
        <v>91</v>
      </c>
      <c r="F1155" t="s">
        <v>121</v>
      </c>
      <c r="G1155">
        <v>0</v>
      </c>
    </row>
    <row r="1156" spans="1:7" x14ac:dyDescent="0.35">
      <c r="A1156">
        <v>2019</v>
      </c>
      <c r="B1156" t="s">
        <v>30</v>
      </c>
      <c r="C1156" t="s">
        <v>174</v>
      </c>
      <c r="D1156" t="s">
        <v>175</v>
      </c>
      <c r="E1156" t="s">
        <v>113</v>
      </c>
      <c r="F1156" t="s">
        <v>121</v>
      </c>
      <c r="G1156">
        <v>0</v>
      </c>
    </row>
    <row r="1157" spans="1:7" x14ac:dyDescent="0.35">
      <c r="A1157">
        <v>2019</v>
      </c>
      <c r="B1157" t="s">
        <v>30</v>
      </c>
      <c r="C1157" t="s">
        <v>174</v>
      </c>
      <c r="D1157" t="s">
        <v>175</v>
      </c>
      <c r="E1157" t="s">
        <v>114</v>
      </c>
      <c r="F1157" t="s">
        <v>121</v>
      </c>
      <c r="G1157">
        <v>0</v>
      </c>
    </row>
    <row r="1158" spans="1:7" x14ac:dyDescent="0.35">
      <c r="A1158">
        <v>2019</v>
      </c>
      <c r="B1158" t="s">
        <v>31</v>
      </c>
      <c r="C1158" t="s">
        <v>174</v>
      </c>
      <c r="D1158" t="s">
        <v>175</v>
      </c>
      <c r="E1158" t="s">
        <v>112</v>
      </c>
      <c r="F1158" t="s">
        <v>121</v>
      </c>
      <c r="G1158">
        <v>0</v>
      </c>
    </row>
    <row r="1159" spans="1:7" x14ac:dyDescent="0.35">
      <c r="A1159">
        <v>2019</v>
      </c>
      <c r="B1159" t="s">
        <v>31</v>
      </c>
      <c r="C1159" t="s">
        <v>174</v>
      </c>
      <c r="D1159" t="s">
        <v>175</v>
      </c>
      <c r="E1159" t="s">
        <v>91</v>
      </c>
      <c r="F1159" t="s">
        <v>121</v>
      </c>
      <c r="G1159">
        <v>0</v>
      </c>
    </row>
    <row r="1160" spans="1:7" x14ac:dyDescent="0.35">
      <c r="A1160">
        <v>2019</v>
      </c>
      <c r="B1160" t="s">
        <v>31</v>
      </c>
      <c r="C1160" t="s">
        <v>174</v>
      </c>
      <c r="D1160" t="s">
        <v>175</v>
      </c>
      <c r="E1160" t="s">
        <v>113</v>
      </c>
      <c r="F1160" t="s">
        <v>121</v>
      </c>
      <c r="G1160">
        <v>0</v>
      </c>
    </row>
    <row r="1161" spans="1:7" x14ac:dyDescent="0.35">
      <c r="A1161">
        <v>2019</v>
      </c>
      <c r="B1161" t="s">
        <v>31</v>
      </c>
      <c r="C1161" t="s">
        <v>174</v>
      </c>
      <c r="D1161" t="s">
        <v>175</v>
      </c>
      <c r="E1161" t="s">
        <v>114</v>
      </c>
      <c r="F1161" t="s">
        <v>121</v>
      </c>
      <c r="G1161">
        <v>0</v>
      </c>
    </row>
    <row r="1162" spans="1:7" x14ac:dyDescent="0.35">
      <c r="A1162">
        <v>2019</v>
      </c>
      <c r="B1162" t="s">
        <v>32</v>
      </c>
      <c r="C1162" t="s">
        <v>174</v>
      </c>
      <c r="D1162" t="s">
        <v>175</v>
      </c>
      <c r="E1162" t="s">
        <v>112</v>
      </c>
      <c r="F1162" t="s">
        <v>121</v>
      </c>
      <c r="G1162">
        <v>0</v>
      </c>
    </row>
    <row r="1163" spans="1:7" x14ac:dyDescent="0.35">
      <c r="A1163">
        <v>2019</v>
      </c>
      <c r="B1163" t="s">
        <v>32</v>
      </c>
      <c r="C1163" t="s">
        <v>174</v>
      </c>
      <c r="D1163" t="s">
        <v>175</v>
      </c>
      <c r="E1163" t="s">
        <v>91</v>
      </c>
      <c r="F1163" t="s">
        <v>121</v>
      </c>
      <c r="G1163">
        <v>0</v>
      </c>
    </row>
    <row r="1164" spans="1:7" x14ac:dyDescent="0.35">
      <c r="A1164">
        <v>2019</v>
      </c>
      <c r="B1164" t="s">
        <v>32</v>
      </c>
      <c r="C1164" t="s">
        <v>174</v>
      </c>
      <c r="D1164" t="s">
        <v>175</v>
      </c>
      <c r="E1164" t="s">
        <v>113</v>
      </c>
      <c r="F1164" t="s">
        <v>121</v>
      </c>
      <c r="G1164">
        <v>0</v>
      </c>
    </row>
    <row r="1165" spans="1:7" x14ac:dyDescent="0.35">
      <c r="A1165">
        <v>2019</v>
      </c>
      <c r="B1165" t="s">
        <v>32</v>
      </c>
      <c r="C1165" t="s">
        <v>174</v>
      </c>
      <c r="D1165" t="s">
        <v>175</v>
      </c>
      <c r="E1165" t="s">
        <v>114</v>
      </c>
      <c r="F1165" t="s">
        <v>121</v>
      </c>
      <c r="G1165">
        <v>0</v>
      </c>
    </row>
    <row r="1166" spans="1:7" x14ac:dyDescent="0.35">
      <c r="A1166">
        <v>2019</v>
      </c>
      <c r="B1166" t="s">
        <v>63</v>
      </c>
      <c r="C1166" t="s">
        <v>174</v>
      </c>
      <c r="D1166" t="s">
        <v>175</v>
      </c>
      <c r="E1166" t="s">
        <v>112</v>
      </c>
      <c r="F1166" t="s">
        <v>121</v>
      </c>
      <c r="G1166">
        <v>0</v>
      </c>
    </row>
    <row r="1167" spans="1:7" x14ac:dyDescent="0.35">
      <c r="A1167">
        <v>2019</v>
      </c>
      <c r="B1167" t="s">
        <v>63</v>
      </c>
      <c r="C1167" t="s">
        <v>174</v>
      </c>
      <c r="D1167" t="s">
        <v>175</v>
      </c>
      <c r="E1167" t="s">
        <v>91</v>
      </c>
      <c r="F1167" t="s">
        <v>121</v>
      </c>
      <c r="G1167">
        <v>7</v>
      </c>
    </row>
    <row r="1168" spans="1:7" x14ac:dyDescent="0.35">
      <c r="A1168">
        <v>2019</v>
      </c>
      <c r="B1168" t="s">
        <v>63</v>
      </c>
      <c r="C1168" t="s">
        <v>174</v>
      </c>
      <c r="D1168" t="s">
        <v>175</v>
      </c>
      <c r="E1168" t="s">
        <v>113</v>
      </c>
      <c r="F1168" t="s">
        <v>121</v>
      </c>
      <c r="G1168">
        <v>9</v>
      </c>
    </row>
    <row r="1169" spans="1:7" x14ac:dyDescent="0.35">
      <c r="A1169">
        <v>2019</v>
      </c>
      <c r="B1169" t="s">
        <v>63</v>
      </c>
      <c r="C1169" t="s">
        <v>174</v>
      </c>
      <c r="D1169" t="s">
        <v>175</v>
      </c>
      <c r="E1169" t="s">
        <v>114</v>
      </c>
      <c r="F1169" t="s">
        <v>121</v>
      </c>
      <c r="G1169">
        <v>0</v>
      </c>
    </row>
    <row r="1170" spans="1:7" x14ac:dyDescent="0.35">
      <c r="A1170">
        <v>2019</v>
      </c>
      <c r="B1170" t="s">
        <v>57</v>
      </c>
      <c r="C1170" t="s">
        <v>174</v>
      </c>
      <c r="D1170" t="s">
        <v>175</v>
      </c>
      <c r="E1170" t="s">
        <v>112</v>
      </c>
      <c r="F1170" t="s">
        <v>121</v>
      </c>
      <c r="G1170">
        <v>0</v>
      </c>
    </row>
    <row r="1171" spans="1:7" x14ac:dyDescent="0.35">
      <c r="A1171">
        <v>2019</v>
      </c>
      <c r="B1171" t="s">
        <v>57</v>
      </c>
      <c r="C1171" t="s">
        <v>174</v>
      </c>
      <c r="D1171" t="s">
        <v>175</v>
      </c>
      <c r="E1171" t="s">
        <v>91</v>
      </c>
      <c r="F1171" t="s">
        <v>121</v>
      </c>
      <c r="G1171">
        <v>0</v>
      </c>
    </row>
    <row r="1172" spans="1:7" x14ac:dyDescent="0.35">
      <c r="A1172">
        <v>2019</v>
      </c>
      <c r="B1172" t="s">
        <v>57</v>
      </c>
      <c r="C1172" t="s">
        <v>174</v>
      </c>
      <c r="D1172" t="s">
        <v>175</v>
      </c>
      <c r="E1172" t="s">
        <v>113</v>
      </c>
      <c r="F1172" t="s">
        <v>121</v>
      </c>
      <c r="G1172">
        <v>0</v>
      </c>
    </row>
    <row r="1173" spans="1:7" x14ac:dyDescent="0.35">
      <c r="A1173">
        <v>2019</v>
      </c>
      <c r="B1173" t="s">
        <v>57</v>
      </c>
      <c r="C1173" t="s">
        <v>174</v>
      </c>
      <c r="D1173" t="s">
        <v>175</v>
      </c>
      <c r="E1173" t="s">
        <v>114</v>
      </c>
      <c r="F1173" t="s">
        <v>121</v>
      </c>
      <c r="G1173">
        <v>0</v>
      </c>
    </row>
    <row r="1174" spans="1:7" x14ac:dyDescent="0.35">
      <c r="A1174">
        <v>2019</v>
      </c>
      <c r="B1174" t="s">
        <v>33</v>
      </c>
      <c r="C1174" t="s">
        <v>174</v>
      </c>
      <c r="D1174" t="s">
        <v>175</v>
      </c>
      <c r="E1174" t="s">
        <v>112</v>
      </c>
      <c r="F1174" t="s">
        <v>121</v>
      </c>
      <c r="G1174">
        <v>0</v>
      </c>
    </row>
    <row r="1175" spans="1:7" x14ac:dyDescent="0.35">
      <c r="A1175">
        <v>2019</v>
      </c>
      <c r="B1175" t="s">
        <v>33</v>
      </c>
      <c r="C1175" t="s">
        <v>174</v>
      </c>
      <c r="D1175" t="s">
        <v>175</v>
      </c>
      <c r="E1175" t="s">
        <v>91</v>
      </c>
      <c r="F1175" t="s">
        <v>121</v>
      </c>
      <c r="G1175">
        <v>0</v>
      </c>
    </row>
    <row r="1176" spans="1:7" x14ac:dyDescent="0.35">
      <c r="A1176">
        <v>2019</v>
      </c>
      <c r="B1176" t="s">
        <v>33</v>
      </c>
      <c r="C1176" t="s">
        <v>174</v>
      </c>
      <c r="D1176" t="s">
        <v>175</v>
      </c>
      <c r="E1176" t="s">
        <v>113</v>
      </c>
      <c r="F1176" t="s">
        <v>121</v>
      </c>
      <c r="G1176">
        <v>0</v>
      </c>
    </row>
    <row r="1177" spans="1:7" x14ac:dyDescent="0.35">
      <c r="A1177">
        <v>2019</v>
      </c>
      <c r="B1177" t="s">
        <v>33</v>
      </c>
      <c r="C1177" t="s">
        <v>174</v>
      </c>
      <c r="D1177" t="s">
        <v>175</v>
      </c>
      <c r="E1177" t="s">
        <v>114</v>
      </c>
      <c r="F1177" t="s">
        <v>121</v>
      </c>
      <c r="G1177">
        <v>0</v>
      </c>
    </row>
    <row r="1178" spans="1:7" x14ac:dyDescent="0.35">
      <c r="A1178">
        <v>2019</v>
      </c>
      <c r="B1178" t="s">
        <v>34</v>
      </c>
      <c r="C1178" t="s">
        <v>174</v>
      </c>
      <c r="D1178" t="s">
        <v>175</v>
      </c>
      <c r="E1178" t="s">
        <v>112</v>
      </c>
      <c r="F1178" t="s">
        <v>121</v>
      </c>
      <c r="G1178">
        <v>0</v>
      </c>
    </row>
    <row r="1179" spans="1:7" x14ac:dyDescent="0.35">
      <c r="A1179">
        <v>2019</v>
      </c>
      <c r="B1179" t="s">
        <v>34</v>
      </c>
      <c r="C1179" t="s">
        <v>174</v>
      </c>
      <c r="D1179" t="s">
        <v>175</v>
      </c>
      <c r="E1179" t="s">
        <v>91</v>
      </c>
      <c r="F1179" t="s">
        <v>121</v>
      </c>
      <c r="G1179">
        <v>0</v>
      </c>
    </row>
    <row r="1180" spans="1:7" x14ac:dyDescent="0.35">
      <c r="A1180">
        <v>2019</v>
      </c>
      <c r="B1180" t="s">
        <v>34</v>
      </c>
      <c r="C1180" t="s">
        <v>174</v>
      </c>
      <c r="D1180" t="s">
        <v>175</v>
      </c>
      <c r="E1180" t="s">
        <v>113</v>
      </c>
      <c r="F1180" t="s">
        <v>121</v>
      </c>
      <c r="G1180">
        <v>0</v>
      </c>
    </row>
    <row r="1181" spans="1:7" x14ac:dyDescent="0.35">
      <c r="A1181">
        <v>2019</v>
      </c>
      <c r="B1181" t="s">
        <v>34</v>
      </c>
      <c r="C1181" t="s">
        <v>174</v>
      </c>
      <c r="D1181" t="s">
        <v>175</v>
      </c>
      <c r="E1181" t="s">
        <v>114</v>
      </c>
      <c r="F1181" t="s">
        <v>121</v>
      </c>
      <c r="G1181">
        <v>0</v>
      </c>
    </row>
    <row r="1182" spans="1:7" x14ac:dyDescent="0.35">
      <c r="A1182">
        <v>2019</v>
      </c>
      <c r="B1182" t="s">
        <v>35</v>
      </c>
      <c r="C1182" t="s">
        <v>174</v>
      </c>
      <c r="D1182" t="s">
        <v>175</v>
      </c>
      <c r="E1182" t="s">
        <v>112</v>
      </c>
      <c r="F1182" t="s">
        <v>121</v>
      </c>
      <c r="G1182">
        <v>0</v>
      </c>
    </row>
    <row r="1183" spans="1:7" x14ac:dyDescent="0.35">
      <c r="A1183">
        <v>2019</v>
      </c>
      <c r="B1183" t="s">
        <v>35</v>
      </c>
      <c r="C1183" t="s">
        <v>174</v>
      </c>
      <c r="D1183" t="s">
        <v>175</v>
      </c>
      <c r="E1183" t="s">
        <v>91</v>
      </c>
      <c r="F1183" t="s">
        <v>121</v>
      </c>
      <c r="G1183">
        <v>0</v>
      </c>
    </row>
    <row r="1184" spans="1:7" x14ac:dyDescent="0.35">
      <c r="A1184">
        <v>2019</v>
      </c>
      <c r="B1184" t="s">
        <v>35</v>
      </c>
      <c r="C1184" t="s">
        <v>174</v>
      </c>
      <c r="D1184" t="s">
        <v>175</v>
      </c>
      <c r="E1184" t="s">
        <v>113</v>
      </c>
      <c r="F1184" t="s">
        <v>121</v>
      </c>
      <c r="G1184">
        <v>0</v>
      </c>
    </row>
    <row r="1185" spans="1:7" x14ac:dyDescent="0.35">
      <c r="A1185">
        <v>2019</v>
      </c>
      <c r="B1185" t="s">
        <v>35</v>
      </c>
      <c r="C1185" t="s">
        <v>174</v>
      </c>
      <c r="D1185" t="s">
        <v>175</v>
      </c>
      <c r="E1185" t="s">
        <v>114</v>
      </c>
      <c r="F1185" t="s">
        <v>121</v>
      </c>
      <c r="G1185">
        <v>0</v>
      </c>
    </row>
    <row r="1186" spans="1:7" x14ac:dyDescent="0.35">
      <c r="A1186">
        <v>2019</v>
      </c>
      <c r="B1186" t="s">
        <v>36</v>
      </c>
      <c r="C1186" t="s">
        <v>174</v>
      </c>
      <c r="D1186" t="s">
        <v>175</v>
      </c>
      <c r="E1186" t="s">
        <v>112</v>
      </c>
      <c r="F1186" t="s">
        <v>121</v>
      </c>
      <c r="G1186">
        <v>0</v>
      </c>
    </row>
    <row r="1187" spans="1:7" x14ac:dyDescent="0.35">
      <c r="A1187">
        <v>2019</v>
      </c>
      <c r="B1187" t="s">
        <v>36</v>
      </c>
      <c r="C1187" t="s">
        <v>174</v>
      </c>
      <c r="D1187" t="s">
        <v>175</v>
      </c>
      <c r="E1187" t="s">
        <v>91</v>
      </c>
      <c r="F1187" t="s">
        <v>121</v>
      </c>
      <c r="G1187">
        <v>1</v>
      </c>
    </row>
    <row r="1188" spans="1:7" x14ac:dyDescent="0.35">
      <c r="A1188">
        <v>2019</v>
      </c>
      <c r="B1188" t="s">
        <v>36</v>
      </c>
      <c r="C1188" t="s">
        <v>174</v>
      </c>
      <c r="D1188" t="s">
        <v>175</v>
      </c>
      <c r="E1188" t="s">
        <v>113</v>
      </c>
      <c r="F1188" t="s">
        <v>121</v>
      </c>
      <c r="G1188">
        <v>0</v>
      </c>
    </row>
    <row r="1189" spans="1:7" x14ac:dyDescent="0.35">
      <c r="A1189">
        <v>2019</v>
      </c>
      <c r="B1189" t="s">
        <v>36</v>
      </c>
      <c r="C1189" t="s">
        <v>174</v>
      </c>
      <c r="D1189" t="s">
        <v>175</v>
      </c>
      <c r="E1189" t="s">
        <v>114</v>
      </c>
      <c r="F1189" t="s">
        <v>121</v>
      </c>
      <c r="G1189">
        <v>0</v>
      </c>
    </row>
    <row r="1190" spans="1:7" x14ac:dyDescent="0.35">
      <c r="A1190">
        <v>2019</v>
      </c>
      <c r="B1190" t="s">
        <v>37</v>
      </c>
      <c r="C1190" t="s">
        <v>174</v>
      </c>
      <c r="D1190" t="s">
        <v>175</v>
      </c>
      <c r="E1190" t="s">
        <v>112</v>
      </c>
      <c r="F1190" t="s">
        <v>121</v>
      </c>
      <c r="G1190">
        <v>0</v>
      </c>
    </row>
    <row r="1191" spans="1:7" x14ac:dyDescent="0.35">
      <c r="A1191">
        <v>2019</v>
      </c>
      <c r="B1191" t="s">
        <v>37</v>
      </c>
      <c r="C1191" t="s">
        <v>174</v>
      </c>
      <c r="D1191" t="s">
        <v>175</v>
      </c>
      <c r="E1191" t="s">
        <v>91</v>
      </c>
      <c r="F1191" t="s">
        <v>121</v>
      </c>
      <c r="G1191">
        <v>0</v>
      </c>
    </row>
    <row r="1192" spans="1:7" x14ac:dyDescent="0.35">
      <c r="A1192">
        <v>2019</v>
      </c>
      <c r="B1192" t="s">
        <v>37</v>
      </c>
      <c r="C1192" t="s">
        <v>174</v>
      </c>
      <c r="D1192" t="s">
        <v>175</v>
      </c>
      <c r="E1192" t="s">
        <v>113</v>
      </c>
      <c r="F1192" t="s">
        <v>121</v>
      </c>
      <c r="G1192">
        <v>0</v>
      </c>
    </row>
    <row r="1193" spans="1:7" x14ac:dyDescent="0.35">
      <c r="A1193">
        <v>2019</v>
      </c>
      <c r="B1193" t="s">
        <v>37</v>
      </c>
      <c r="C1193" t="s">
        <v>174</v>
      </c>
      <c r="D1193" t="s">
        <v>175</v>
      </c>
      <c r="E1193" t="s">
        <v>114</v>
      </c>
      <c r="F1193" t="s">
        <v>121</v>
      </c>
      <c r="G1193">
        <v>0</v>
      </c>
    </row>
    <row r="1194" spans="1:7" x14ac:dyDescent="0.35">
      <c r="A1194">
        <v>2019</v>
      </c>
      <c r="B1194" t="s">
        <v>55</v>
      </c>
      <c r="C1194" t="s">
        <v>174</v>
      </c>
      <c r="D1194" t="s">
        <v>175</v>
      </c>
      <c r="E1194" t="s">
        <v>112</v>
      </c>
      <c r="F1194" t="s">
        <v>121</v>
      </c>
      <c r="G1194">
        <v>0</v>
      </c>
    </row>
    <row r="1195" spans="1:7" x14ac:dyDescent="0.35">
      <c r="A1195">
        <v>2019</v>
      </c>
      <c r="B1195" t="s">
        <v>55</v>
      </c>
      <c r="C1195" t="s">
        <v>174</v>
      </c>
      <c r="D1195" t="s">
        <v>175</v>
      </c>
      <c r="E1195" t="s">
        <v>91</v>
      </c>
      <c r="F1195" t="s">
        <v>121</v>
      </c>
      <c r="G1195">
        <v>0</v>
      </c>
    </row>
    <row r="1196" spans="1:7" x14ac:dyDescent="0.35">
      <c r="A1196">
        <v>2019</v>
      </c>
      <c r="B1196" t="s">
        <v>55</v>
      </c>
      <c r="C1196" t="s">
        <v>174</v>
      </c>
      <c r="D1196" t="s">
        <v>175</v>
      </c>
      <c r="E1196" t="s">
        <v>113</v>
      </c>
      <c r="F1196" t="s">
        <v>121</v>
      </c>
      <c r="G1196">
        <v>0</v>
      </c>
    </row>
    <row r="1197" spans="1:7" x14ac:dyDescent="0.35">
      <c r="A1197">
        <v>2019</v>
      </c>
      <c r="B1197" t="s">
        <v>55</v>
      </c>
      <c r="C1197" t="s">
        <v>174</v>
      </c>
      <c r="D1197" t="s">
        <v>175</v>
      </c>
      <c r="E1197" t="s">
        <v>114</v>
      </c>
      <c r="F1197" t="s">
        <v>121</v>
      </c>
      <c r="G1197">
        <v>0</v>
      </c>
    </row>
    <row r="1198" spans="1:7" x14ac:dyDescent="0.35">
      <c r="A1198">
        <v>2019</v>
      </c>
      <c r="B1198" t="s">
        <v>38</v>
      </c>
      <c r="C1198" t="s">
        <v>174</v>
      </c>
      <c r="D1198" t="s">
        <v>175</v>
      </c>
      <c r="E1198" t="s">
        <v>112</v>
      </c>
      <c r="F1198" t="s">
        <v>121</v>
      </c>
      <c r="G1198">
        <v>0</v>
      </c>
    </row>
    <row r="1199" spans="1:7" x14ac:dyDescent="0.35">
      <c r="A1199">
        <v>2019</v>
      </c>
      <c r="B1199" t="s">
        <v>38</v>
      </c>
      <c r="C1199" t="s">
        <v>174</v>
      </c>
      <c r="D1199" t="s">
        <v>175</v>
      </c>
      <c r="E1199" t="s">
        <v>91</v>
      </c>
      <c r="F1199" t="s">
        <v>121</v>
      </c>
      <c r="G1199">
        <v>0</v>
      </c>
    </row>
    <row r="1200" spans="1:7" x14ac:dyDescent="0.35">
      <c r="A1200">
        <v>2019</v>
      </c>
      <c r="B1200" t="s">
        <v>38</v>
      </c>
      <c r="C1200" t="s">
        <v>174</v>
      </c>
      <c r="D1200" t="s">
        <v>175</v>
      </c>
      <c r="E1200" t="s">
        <v>113</v>
      </c>
      <c r="F1200" t="s">
        <v>121</v>
      </c>
      <c r="G1200">
        <v>0</v>
      </c>
    </row>
    <row r="1201" spans="1:7" x14ac:dyDescent="0.35">
      <c r="A1201">
        <v>2019</v>
      </c>
      <c r="B1201" t="s">
        <v>38</v>
      </c>
      <c r="C1201" t="s">
        <v>174</v>
      </c>
      <c r="D1201" t="s">
        <v>175</v>
      </c>
      <c r="E1201" t="s">
        <v>114</v>
      </c>
      <c r="F1201" t="s">
        <v>121</v>
      </c>
      <c r="G1201">
        <v>0</v>
      </c>
    </row>
    <row r="1202" spans="1:7" x14ac:dyDescent="0.35">
      <c r="A1202">
        <v>2019</v>
      </c>
      <c r="B1202" t="s">
        <v>39</v>
      </c>
      <c r="C1202" t="s">
        <v>174</v>
      </c>
      <c r="D1202" t="s">
        <v>175</v>
      </c>
      <c r="E1202" t="s">
        <v>112</v>
      </c>
      <c r="F1202" t="s">
        <v>121</v>
      </c>
      <c r="G1202">
        <v>1</v>
      </c>
    </row>
    <row r="1203" spans="1:7" x14ac:dyDescent="0.35">
      <c r="A1203">
        <v>2019</v>
      </c>
      <c r="B1203" t="s">
        <v>39</v>
      </c>
      <c r="C1203" t="s">
        <v>174</v>
      </c>
      <c r="D1203" t="s">
        <v>175</v>
      </c>
      <c r="E1203" t="s">
        <v>91</v>
      </c>
      <c r="F1203" t="s">
        <v>121</v>
      </c>
      <c r="G1203">
        <v>0</v>
      </c>
    </row>
    <row r="1204" spans="1:7" x14ac:dyDescent="0.35">
      <c r="A1204">
        <v>2019</v>
      </c>
      <c r="B1204" t="s">
        <v>39</v>
      </c>
      <c r="C1204" t="s">
        <v>174</v>
      </c>
      <c r="D1204" t="s">
        <v>175</v>
      </c>
      <c r="E1204" t="s">
        <v>113</v>
      </c>
      <c r="F1204" t="s">
        <v>121</v>
      </c>
      <c r="G1204">
        <v>0</v>
      </c>
    </row>
    <row r="1205" spans="1:7" x14ac:dyDescent="0.35">
      <c r="A1205">
        <v>2019</v>
      </c>
      <c r="B1205" t="s">
        <v>39</v>
      </c>
      <c r="C1205" t="s">
        <v>174</v>
      </c>
      <c r="D1205" t="s">
        <v>175</v>
      </c>
      <c r="E1205" t="s">
        <v>114</v>
      </c>
      <c r="F1205" t="s">
        <v>121</v>
      </c>
      <c r="G1205">
        <v>0</v>
      </c>
    </row>
    <row r="1206" spans="1:7" x14ac:dyDescent="0.35">
      <c r="A1206">
        <v>2019</v>
      </c>
      <c r="B1206" t="s">
        <v>40</v>
      </c>
      <c r="C1206" t="s">
        <v>174</v>
      </c>
      <c r="D1206" t="s">
        <v>175</v>
      </c>
      <c r="E1206" t="s">
        <v>112</v>
      </c>
      <c r="F1206" t="s">
        <v>121</v>
      </c>
      <c r="G1206">
        <v>0</v>
      </c>
    </row>
    <row r="1207" spans="1:7" x14ac:dyDescent="0.35">
      <c r="A1207">
        <v>2019</v>
      </c>
      <c r="B1207" t="s">
        <v>40</v>
      </c>
      <c r="C1207" t="s">
        <v>174</v>
      </c>
      <c r="D1207" t="s">
        <v>175</v>
      </c>
      <c r="E1207" t="s">
        <v>91</v>
      </c>
      <c r="F1207" t="s">
        <v>121</v>
      </c>
      <c r="G1207">
        <v>0</v>
      </c>
    </row>
    <row r="1208" spans="1:7" x14ac:dyDescent="0.35">
      <c r="A1208">
        <v>2019</v>
      </c>
      <c r="B1208" t="s">
        <v>40</v>
      </c>
      <c r="C1208" t="s">
        <v>174</v>
      </c>
      <c r="D1208" t="s">
        <v>175</v>
      </c>
      <c r="E1208" t="s">
        <v>113</v>
      </c>
      <c r="F1208" t="s">
        <v>121</v>
      </c>
      <c r="G1208">
        <v>0</v>
      </c>
    </row>
    <row r="1209" spans="1:7" x14ac:dyDescent="0.35">
      <c r="A1209">
        <v>2019</v>
      </c>
      <c r="B1209" t="s">
        <v>40</v>
      </c>
      <c r="C1209" t="s">
        <v>174</v>
      </c>
      <c r="D1209" t="s">
        <v>175</v>
      </c>
      <c r="E1209" t="s">
        <v>114</v>
      </c>
      <c r="F1209" t="s">
        <v>121</v>
      </c>
      <c r="G1209">
        <v>0</v>
      </c>
    </row>
    <row r="1210" spans="1:7" x14ac:dyDescent="0.35">
      <c r="A1210">
        <v>2019</v>
      </c>
      <c r="B1210" t="s">
        <v>41</v>
      </c>
      <c r="C1210" t="s">
        <v>174</v>
      </c>
      <c r="D1210" t="s">
        <v>175</v>
      </c>
      <c r="E1210" t="s">
        <v>112</v>
      </c>
      <c r="F1210" t="s">
        <v>121</v>
      </c>
      <c r="G1210">
        <v>0</v>
      </c>
    </row>
    <row r="1211" spans="1:7" x14ac:dyDescent="0.35">
      <c r="A1211">
        <v>2019</v>
      </c>
      <c r="B1211" t="s">
        <v>41</v>
      </c>
      <c r="C1211" t="s">
        <v>174</v>
      </c>
      <c r="D1211" t="s">
        <v>175</v>
      </c>
      <c r="E1211" t="s">
        <v>91</v>
      </c>
      <c r="F1211" t="s">
        <v>121</v>
      </c>
      <c r="G1211">
        <v>0</v>
      </c>
    </row>
    <row r="1212" spans="1:7" x14ac:dyDescent="0.35">
      <c r="A1212">
        <v>2019</v>
      </c>
      <c r="B1212" t="s">
        <v>41</v>
      </c>
      <c r="C1212" t="s">
        <v>174</v>
      </c>
      <c r="D1212" t="s">
        <v>175</v>
      </c>
      <c r="E1212" t="s">
        <v>113</v>
      </c>
      <c r="F1212" t="s">
        <v>121</v>
      </c>
      <c r="G1212">
        <v>0</v>
      </c>
    </row>
    <row r="1213" spans="1:7" x14ac:dyDescent="0.35">
      <c r="A1213">
        <v>2019</v>
      </c>
      <c r="B1213" t="s">
        <v>41</v>
      </c>
      <c r="C1213" t="s">
        <v>174</v>
      </c>
      <c r="D1213" t="s">
        <v>175</v>
      </c>
      <c r="E1213" t="s">
        <v>114</v>
      </c>
      <c r="F1213" t="s">
        <v>121</v>
      </c>
      <c r="G1213">
        <v>0</v>
      </c>
    </row>
    <row r="1214" spans="1:7" x14ac:dyDescent="0.35">
      <c r="A1214">
        <v>2019</v>
      </c>
      <c r="B1214" t="s">
        <v>58</v>
      </c>
      <c r="C1214" t="s">
        <v>174</v>
      </c>
      <c r="D1214" t="s">
        <v>175</v>
      </c>
      <c r="E1214" t="s">
        <v>112</v>
      </c>
      <c r="F1214" t="s">
        <v>121</v>
      </c>
      <c r="G1214">
        <v>1</v>
      </c>
    </row>
    <row r="1215" spans="1:7" x14ac:dyDescent="0.35">
      <c r="A1215">
        <v>2019</v>
      </c>
      <c r="B1215" t="s">
        <v>58</v>
      </c>
      <c r="C1215" t="s">
        <v>174</v>
      </c>
      <c r="D1215" t="s">
        <v>175</v>
      </c>
      <c r="E1215" t="s">
        <v>91</v>
      </c>
      <c r="F1215" t="s">
        <v>121</v>
      </c>
      <c r="G1215">
        <v>1</v>
      </c>
    </row>
    <row r="1216" spans="1:7" x14ac:dyDescent="0.35">
      <c r="A1216">
        <v>2019</v>
      </c>
      <c r="B1216" t="s">
        <v>58</v>
      </c>
      <c r="C1216" t="s">
        <v>174</v>
      </c>
      <c r="D1216" t="s">
        <v>175</v>
      </c>
      <c r="E1216" t="s">
        <v>113</v>
      </c>
      <c r="F1216" t="s">
        <v>121</v>
      </c>
      <c r="G1216">
        <v>0</v>
      </c>
    </row>
    <row r="1217" spans="1:7" x14ac:dyDescent="0.35">
      <c r="A1217">
        <v>2019</v>
      </c>
      <c r="B1217" t="s">
        <v>58</v>
      </c>
      <c r="C1217" t="s">
        <v>174</v>
      </c>
      <c r="D1217" t="s">
        <v>175</v>
      </c>
      <c r="E1217" t="s">
        <v>114</v>
      </c>
      <c r="F1217" t="s">
        <v>121</v>
      </c>
      <c r="G1217">
        <v>0</v>
      </c>
    </row>
    <row r="1218" spans="1:7" x14ac:dyDescent="0.35">
      <c r="A1218">
        <v>2019</v>
      </c>
      <c r="B1218" t="s">
        <v>42</v>
      </c>
      <c r="C1218" t="s">
        <v>174</v>
      </c>
      <c r="D1218" t="s">
        <v>175</v>
      </c>
      <c r="E1218" t="s">
        <v>112</v>
      </c>
      <c r="F1218" t="s">
        <v>121</v>
      </c>
      <c r="G1218">
        <v>0</v>
      </c>
    </row>
    <row r="1219" spans="1:7" x14ac:dyDescent="0.35">
      <c r="A1219">
        <v>2019</v>
      </c>
      <c r="B1219" t="s">
        <v>42</v>
      </c>
      <c r="C1219" t="s">
        <v>174</v>
      </c>
      <c r="D1219" t="s">
        <v>175</v>
      </c>
      <c r="E1219" t="s">
        <v>91</v>
      </c>
      <c r="F1219" t="s">
        <v>121</v>
      </c>
      <c r="G1219">
        <v>0</v>
      </c>
    </row>
    <row r="1220" spans="1:7" x14ac:dyDescent="0.35">
      <c r="A1220">
        <v>2019</v>
      </c>
      <c r="B1220" t="s">
        <v>42</v>
      </c>
      <c r="C1220" t="s">
        <v>174</v>
      </c>
      <c r="D1220" t="s">
        <v>175</v>
      </c>
      <c r="E1220" t="s">
        <v>113</v>
      </c>
      <c r="F1220" t="s">
        <v>121</v>
      </c>
      <c r="G1220">
        <v>0</v>
      </c>
    </row>
    <row r="1221" spans="1:7" x14ac:dyDescent="0.35">
      <c r="A1221">
        <v>2019</v>
      </c>
      <c r="B1221" t="s">
        <v>42</v>
      </c>
      <c r="C1221" t="s">
        <v>174</v>
      </c>
      <c r="D1221" t="s">
        <v>175</v>
      </c>
      <c r="E1221" t="s">
        <v>114</v>
      </c>
      <c r="F1221" t="s">
        <v>121</v>
      </c>
      <c r="G1221">
        <v>0</v>
      </c>
    </row>
    <row r="1222" spans="1:7" x14ac:dyDescent="0.35">
      <c r="A1222">
        <v>2019</v>
      </c>
      <c r="B1222" t="s">
        <v>44</v>
      </c>
      <c r="C1222" t="s">
        <v>174</v>
      </c>
      <c r="D1222" t="s">
        <v>175</v>
      </c>
      <c r="E1222" t="s">
        <v>112</v>
      </c>
      <c r="F1222" t="s">
        <v>121</v>
      </c>
      <c r="G1222">
        <v>0</v>
      </c>
    </row>
    <row r="1223" spans="1:7" x14ac:dyDescent="0.35">
      <c r="A1223">
        <v>2019</v>
      </c>
      <c r="B1223" t="s">
        <v>44</v>
      </c>
      <c r="C1223" t="s">
        <v>174</v>
      </c>
      <c r="D1223" t="s">
        <v>175</v>
      </c>
      <c r="E1223" t="s">
        <v>91</v>
      </c>
      <c r="F1223" t="s">
        <v>121</v>
      </c>
      <c r="G1223">
        <v>0</v>
      </c>
    </row>
    <row r="1224" spans="1:7" x14ac:dyDescent="0.35">
      <c r="A1224">
        <v>2019</v>
      </c>
      <c r="B1224" t="s">
        <v>44</v>
      </c>
      <c r="C1224" t="s">
        <v>174</v>
      </c>
      <c r="D1224" t="s">
        <v>175</v>
      </c>
      <c r="E1224" t="s">
        <v>113</v>
      </c>
      <c r="F1224" t="s">
        <v>121</v>
      </c>
      <c r="G1224">
        <v>0</v>
      </c>
    </row>
    <row r="1225" spans="1:7" x14ac:dyDescent="0.35">
      <c r="A1225">
        <v>2019</v>
      </c>
      <c r="B1225" t="s">
        <v>44</v>
      </c>
      <c r="C1225" t="s">
        <v>174</v>
      </c>
      <c r="D1225" t="s">
        <v>175</v>
      </c>
      <c r="E1225" t="s">
        <v>114</v>
      </c>
      <c r="F1225" t="s">
        <v>121</v>
      </c>
      <c r="G1225">
        <v>0</v>
      </c>
    </row>
    <row r="1226" spans="1:7" x14ac:dyDescent="0.35">
      <c r="A1226">
        <v>2019</v>
      </c>
      <c r="B1226" t="s">
        <v>45</v>
      </c>
      <c r="C1226" t="s">
        <v>174</v>
      </c>
      <c r="D1226" t="s">
        <v>175</v>
      </c>
      <c r="E1226" t="s">
        <v>112</v>
      </c>
      <c r="F1226" t="s">
        <v>121</v>
      </c>
      <c r="G1226">
        <v>0</v>
      </c>
    </row>
    <row r="1227" spans="1:7" x14ac:dyDescent="0.35">
      <c r="A1227">
        <v>2019</v>
      </c>
      <c r="B1227" t="s">
        <v>45</v>
      </c>
      <c r="C1227" t="s">
        <v>174</v>
      </c>
      <c r="D1227" t="s">
        <v>175</v>
      </c>
      <c r="E1227" t="s">
        <v>91</v>
      </c>
      <c r="F1227" t="s">
        <v>121</v>
      </c>
      <c r="G1227">
        <v>0</v>
      </c>
    </row>
    <row r="1228" spans="1:7" x14ac:dyDescent="0.35">
      <c r="A1228">
        <v>2019</v>
      </c>
      <c r="B1228" t="s">
        <v>45</v>
      </c>
      <c r="C1228" t="s">
        <v>174</v>
      </c>
      <c r="D1228" t="s">
        <v>175</v>
      </c>
      <c r="E1228" t="s">
        <v>113</v>
      </c>
      <c r="F1228" t="s">
        <v>121</v>
      </c>
      <c r="G1228">
        <v>0</v>
      </c>
    </row>
    <row r="1229" spans="1:7" x14ac:dyDescent="0.35">
      <c r="A1229">
        <v>2019</v>
      </c>
      <c r="B1229" t="s">
        <v>45</v>
      </c>
      <c r="C1229" t="s">
        <v>174</v>
      </c>
      <c r="D1229" t="s">
        <v>175</v>
      </c>
      <c r="E1229" t="s">
        <v>114</v>
      </c>
      <c r="F1229" t="s">
        <v>121</v>
      </c>
      <c r="G1229">
        <v>0</v>
      </c>
    </row>
    <row r="1230" spans="1:7" x14ac:dyDescent="0.35">
      <c r="A1230">
        <v>2019</v>
      </c>
      <c r="B1230" t="s">
        <v>46</v>
      </c>
      <c r="C1230" t="s">
        <v>174</v>
      </c>
      <c r="D1230" t="s">
        <v>175</v>
      </c>
      <c r="E1230" t="s">
        <v>112</v>
      </c>
      <c r="F1230" t="s">
        <v>121</v>
      </c>
      <c r="G1230">
        <v>0</v>
      </c>
    </row>
    <row r="1231" spans="1:7" x14ac:dyDescent="0.35">
      <c r="A1231">
        <v>2019</v>
      </c>
      <c r="B1231" t="s">
        <v>46</v>
      </c>
      <c r="C1231" t="s">
        <v>174</v>
      </c>
      <c r="D1231" t="s">
        <v>175</v>
      </c>
      <c r="E1231" t="s">
        <v>91</v>
      </c>
      <c r="F1231" t="s">
        <v>121</v>
      </c>
      <c r="G1231">
        <v>0</v>
      </c>
    </row>
    <row r="1232" spans="1:7" x14ac:dyDescent="0.35">
      <c r="A1232">
        <v>2019</v>
      </c>
      <c r="B1232" t="s">
        <v>46</v>
      </c>
      <c r="C1232" t="s">
        <v>174</v>
      </c>
      <c r="D1232" t="s">
        <v>175</v>
      </c>
      <c r="E1232" t="s">
        <v>113</v>
      </c>
      <c r="F1232" t="s">
        <v>121</v>
      </c>
      <c r="G1232">
        <v>0</v>
      </c>
    </row>
    <row r="1233" spans="1:7" x14ac:dyDescent="0.35">
      <c r="A1233">
        <v>2019</v>
      </c>
      <c r="B1233" t="s">
        <v>46</v>
      </c>
      <c r="C1233" t="s">
        <v>174</v>
      </c>
      <c r="D1233" t="s">
        <v>175</v>
      </c>
      <c r="E1233" t="s">
        <v>114</v>
      </c>
      <c r="F1233" t="s">
        <v>121</v>
      </c>
      <c r="G1233">
        <v>0</v>
      </c>
    </row>
    <row r="1234" spans="1:7" x14ac:dyDescent="0.35">
      <c r="A1234">
        <v>2019</v>
      </c>
      <c r="B1234" t="s">
        <v>47</v>
      </c>
      <c r="C1234" t="s">
        <v>174</v>
      </c>
      <c r="D1234" t="s">
        <v>175</v>
      </c>
      <c r="E1234" t="s">
        <v>112</v>
      </c>
      <c r="F1234" t="s">
        <v>121</v>
      </c>
      <c r="G1234">
        <v>0</v>
      </c>
    </row>
    <row r="1235" spans="1:7" x14ac:dyDescent="0.35">
      <c r="A1235">
        <v>2019</v>
      </c>
      <c r="B1235" t="s">
        <v>47</v>
      </c>
      <c r="C1235" t="s">
        <v>174</v>
      </c>
      <c r="D1235" t="s">
        <v>175</v>
      </c>
      <c r="E1235" t="s">
        <v>91</v>
      </c>
      <c r="F1235" t="s">
        <v>121</v>
      </c>
      <c r="G1235">
        <v>0</v>
      </c>
    </row>
    <row r="1236" spans="1:7" x14ac:dyDescent="0.35">
      <c r="A1236">
        <v>2019</v>
      </c>
      <c r="B1236" t="s">
        <v>47</v>
      </c>
      <c r="C1236" t="s">
        <v>174</v>
      </c>
      <c r="D1236" t="s">
        <v>175</v>
      </c>
      <c r="E1236" t="s">
        <v>113</v>
      </c>
      <c r="F1236" t="s">
        <v>121</v>
      </c>
      <c r="G1236">
        <v>0</v>
      </c>
    </row>
    <row r="1237" spans="1:7" x14ac:dyDescent="0.35">
      <c r="A1237">
        <v>2019</v>
      </c>
      <c r="B1237" t="s">
        <v>47</v>
      </c>
      <c r="C1237" t="s">
        <v>174</v>
      </c>
      <c r="D1237" t="s">
        <v>175</v>
      </c>
      <c r="E1237" t="s">
        <v>114</v>
      </c>
      <c r="F1237" t="s">
        <v>121</v>
      </c>
      <c r="G1237">
        <v>0</v>
      </c>
    </row>
    <row r="1238" spans="1:7" x14ac:dyDescent="0.35">
      <c r="A1238">
        <v>2019</v>
      </c>
      <c r="B1238" t="s">
        <v>48</v>
      </c>
      <c r="C1238" t="s">
        <v>174</v>
      </c>
      <c r="D1238" t="s">
        <v>175</v>
      </c>
      <c r="E1238" t="s">
        <v>112</v>
      </c>
      <c r="F1238" t="s">
        <v>121</v>
      </c>
      <c r="G1238">
        <v>0</v>
      </c>
    </row>
    <row r="1239" spans="1:7" x14ac:dyDescent="0.35">
      <c r="A1239">
        <v>2019</v>
      </c>
      <c r="B1239" t="s">
        <v>48</v>
      </c>
      <c r="C1239" t="s">
        <v>174</v>
      </c>
      <c r="D1239" t="s">
        <v>175</v>
      </c>
      <c r="E1239" t="s">
        <v>91</v>
      </c>
      <c r="F1239" t="s">
        <v>121</v>
      </c>
      <c r="G1239">
        <v>0</v>
      </c>
    </row>
    <row r="1240" spans="1:7" x14ac:dyDescent="0.35">
      <c r="A1240">
        <v>2019</v>
      </c>
      <c r="B1240" t="s">
        <v>48</v>
      </c>
      <c r="C1240" t="s">
        <v>174</v>
      </c>
      <c r="D1240" t="s">
        <v>175</v>
      </c>
      <c r="E1240" t="s">
        <v>113</v>
      </c>
      <c r="F1240" t="s">
        <v>121</v>
      </c>
      <c r="G1240">
        <v>0</v>
      </c>
    </row>
    <row r="1241" spans="1:7" x14ac:dyDescent="0.35">
      <c r="A1241">
        <v>2019</v>
      </c>
      <c r="B1241" t="s">
        <v>48</v>
      </c>
      <c r="C1241" t="s">
        <v>174</v>
      </c>
      <c r="D1241" t="s">
        <v>175</v>
      </c>
      <c r="E1241" t="s">
        <v>114</v>
      </c>
      <c r="F1241" t="s">
        <v>121</v>
      </c>
      <c r="G1241">
        <v>0</v>
      </c>
    </row>
    <row r="1242" spans="1:7" x14ac:dyDescent="0.35">
      <c r="A1242">
        <v>2019</v>
      </c>
      <c r="B1242" t="s">
        <v>49</v>
      </c>
      <c r="C1242" t="s">
        <v>174</v>
      </c>
      <c r="D1242" t="s">
        <v>175</v>
      </c>
      <c r="E1242" t="s">
        <v>112</v>
      </c>
      <c r="F1242" t="s">
        <v>121</v>
      </c>
      <c r="G1242">
        <v>1</v>
      </c>
    </row>
    <row r="1243" spans="1:7" x14ac:dyDescent="0.35">
      <c r="A1243">
        <v>2019</v>
      </c>
      <c r="B1243" t="s">
        <v>49</v>
      </c>
      <c r="C1243" t="s">
        <v>174</v>
      </c>
      <c r="D1243" t="s">
        <v>175</v>
      </c>
      <c r="E1243" t="s">
        <v>91</v>
      </c>
      <c r="F1243" t="s">
        <v>121</v>
      </c>
      <c r="G1243">
        <v>1</v>
      </c>
    </row>
    <row r="1244" spans="1:7" x14ac:dyDescent="0.35">
      <c r="A1244">
        <v>2019</v>
      </c>
      <c r="B1244" t="s">
        <v>49</v>
      </c>
      <c r="C1244" t="s">
        <v>174</v>
      </c>
      <c r="D1244" t="s">
        <v>175</v>
      </c>
      <c r="E1244" t="s">
        <v>113</v>
      </c>
      <c r="F1244" t="s">
        <v>121</v>
      </c>
      <c r="G1244">
        <v>1</v>
      </c>
    </row>
    <row r="1245" spans="1:7" x14ac:dyDescent="0.35">
      <c r="A1245">
        <v>2019</v>
      </c>
      <c r="B1245" t="s">
        <v>49</v>
      </c>
      <c r="C1245" t="s">
        <v>174</v>
      </c>
      <c r="D1245" t="s">
        <v>175</v>
      </c>
      <c r="E1245" t="s">
        <v>114</v>
      </c>
      <c r="F1245" t="s">
        <v>121</v>
      </c>
      <c r="G1245">
        <v>0</v>
      </c>
    </row>
    <row r="1246" spans="1:7" x14ac:dyDescent="0.35">
      <c r="A1246">
        <v>2019</v>
      </c>
      <c r="B1246" t="s">
        <v>59</v>
      </c>
      <c r="C1246" t="s">
        <v>174</v>
      </c>
      <c r="D1246" t="s">
        <v>175</v>
      </c>
      <c r="E1246" t="s">
        <v>112</v>
      </c>
      <c r="F1246" t="s">
        <v>121</v>
      </c>
      <c r="G1246">
        <v>0</v>
      </c>
    </row>
    <row r="1247" spans="1:7" x14ac:dyDescent="0.35">
      <c r="A1247">
        <v>2019</v>
      </c>
      <c r="B1247" t="s">
        <v>59</v>
      </c>
      <c r="C1247" t="s">
        <v>174</v>
      </c>
      <c r="D1247" t="s">
        <v>175</v>
      </c>
      <c r="E1247" t="s">
        <v>91</v>
      </c>
      <c r="F1247" t="s">
        <v>121</v>
      </c>
      <c r="G1247">
        <v>1</v>
      </c>
    </row>
    <row r="1248" spans="1:7" x14ac:dyDescent="0.35">
      <c r="A1248">
        <v>2019</v>
      </c>
      <c r="B1248" t="s">
        <v>59</v>
      </c>
      <c r="C1248" t="s">
        <v>174</v>
      </c>
      <c r="D1248" t="s">
        <v>175</v>
      </c>
      <c r="E1248" t="s">
        <v>113</v>
      </c>
      <c r="F1248" t="s">
        <v>121</v>
      </c>
      <c r="G1248">
        <v>0</v>
      </c>
    </row>
    <row r="1249" spans="1:7" x14ac:dyDescent="0.35">
      <c r="A1249">
        <v>2019</v>
      </c>
      <c r="B1249" t="s">
        <v>59</v>
      </c>
      <c r="C1249" t="s">
        <v>174</v>
      </c>
      <c r="D1249" t="s">
        <v>175</v>
      </c>
      <c r="E1249" t="s">
        <v>114</v>
      </c>
      <c r="F1249" t="s">
        <v>121</v>
      </c>
      <c r="G1249">
        <v>0</v>
      </c>
    </row>
    <row r="1250" spans="1:7" x14ac:dyDescent="0.35">
      <c r="A1250">
        <v>2019</v>
      </c>
      <c r="B1250" t="s">
        <v>50</v>
      </c>
      <c r="C1250" t="s">
        <v>174</v>
      </c>
      <c r="D1250" t="s">
        <v>175</v>
      </c>
      <c r="E1250" t="s">
        <v>112</v>
      </c>
      <c r="F1250" t="s">
        <v>121</v>
      </c>
      <c r="G1250">
        <v>0</v>
      </c>
    </row>
    <row r="1251" spans="1:7" x14ac:dyDescent="0.35">
      <c r="A1251">
        <v>2019</v>
      </c>
      <c r="B1251" t="s">
        <v>50</v>
      </c>
      <c r="C1251" t="s">
        <v>174</v>
      </c>
      <c r="D1251" t="s">
        <v>175</v>
      </c>
      <c r="E1251" t="s">
        <v>91</v>
      </c>
      <c r="F1251" t="s">
        <v>121</v>
      </c>
      <c r="G1251">
        <v>0</v>
      </c>
    </row>
    <row r="1252" spans="1:7" x14ac:dyDescent="0.35">
      <c r="A1252">
        <v>2019</v>
      </c>
      <c r="B1252" t="s">
        <v>50</v>
      </c>
      <c r="C1252" t="s">
        <v>174</v>
      </c>
      <c r="D1252" t="s">
        <v>175</v>
      </c>
      <c r="E1252" t="s">
        <v>113</v>
      </c>
      <c r="F1252" t="s">
        <v>121</v>
      </c>
      <c r="G1252">
        <v>0</v>
      </c>
    </row>
    <row r="1253" spans="1:7" x14ac:dyDescent="0.35">
      <c r="A1253">
        <v>2019</v>
      </c>
      <c r="B1253" t="s">
        <v>50</v>
      </c>
      <c r="C1253" t="s">
        <v>174</v>
      </c>
      <c r="D1253" t="s">
        <v>175</v>
      </c>
      <c r="E1253" t="s">
        <v>114</v>
      </c>
      <c r="F1253" t="s">
        <v>121</v>
      </c>
      <c r="G1253">
        <v>0</v>
      </c>
    </row>
    <row r="1254" spans="1:7" x14ac:dyDescent="0.35">
      <c r="A1254">
        <v>2019</v>
      </c>
      <c r="B1254" t="s">
        <v>51</v>
      </c>
      <c r="C1254" t="s">
        <v>174</v>
      </c>
      <c r="D1254" t="s">
        <v>175</v>
      </c>
      <c r="E1254" t="s">
        <v>112</v>
      </c>
      <c r="F1254" t="s">
        <v>121</v>
      </c>
      <c r="G1254">
        <v>0</v>
      </c>
    </row>
    <row r="1255" spans="1:7" x14ac:dyDescent="0.35">
      <c r="A1255">
        <v>2019</v>
      </c>
      <c r="B1255" t="s">
        <v>51</v>
      </c>
      <c r="C1255" t="s">
        <v>174</v>
      </c>
      <c r="D1255" t="s">
        <v>175</v>
      </c>
      <c r="E1255" t="s">
        <v>91</v>
      </c>
      <c r="F1255" t="s">
        <v>121</v>
      </c>
      <c r="G1255">
        <v>0</v>
      </c>
    </row>
    <row r="1256" spans="1:7" x14ac:dyDescent="0.35">
      <c r="A1256">
        <v>2019</v>
      </c>
      <c r="B1256" t="s">
        <v>51</v>
      </c>
      <c r="C1256" t="s">
        <v>174</v>
      </c>
      <c r="D1256" t="s">
        <v>175</v>
      </c>
      <c r="E1256" t="s">
        <v>113</v>
      </c>
      <c r="F1256" t="s">
        <v>121</v>
      </c>
      <c r="G1256">
        <v>0</v>
      </c>
    </row>
    <row r="1257" spans="1:7" x14ac:dyDescent="0.35">
      <c r="A1257">
        <v>2019</v>
      </c>
      <c r="B1257" t="s">
        <v>51</v>
      </c>
      <c r="C1257" t="s">
        <v>174</v>
      </c>
      <c r="D1257" t="s">
        <v>175</v>
      </c>
      <c r="E1257" t="s">
        <v>114</v>
      </c>
      <c r="F1257" t="s">
        <v>121</v>
      </c>
      <c r="G1257">
        <v>0</v>
      </c>
    </row>
    <row r="1258" spans="1:7" x14ac:dyDescent="0.35">
      <c r="A1258">
        <v>2019</v>
      </c>
      <c r="B1258" t="s">
        <v>52</v>
      </c>
      <c r="C1258" t="s">
        <v>174</v>
      </c>
      <c r="D1258" t="s">
        <v>175</v>
      </c>
      <c r="E1258" t="s">
        <v>112</v>
      </c>
      <c r="F1258" t="s">
        <v>121</v>
      </c>
      <c r="G1258">
        <v>0</v>
      </c>
    </row>
    <row r="1259" spans="1:7" x14ac:dyDescent="0.35">
      <c r="A1259">
        <v>2019</v>
      </c>
      <c r="B1259" t="s">
        <v>52</v>
      </c>
      <c r="C1259" t="s">
        <v>174</v>
      </c>
      <c r="D1259" t="s">
        <v>175</v>
      </c>
      <c r="E1259" t="s">
        <v>91</v>
      </c>
      <c r="F1259" t="s">
        <v>121</v>
      </c>
      <c r="G1259">
        <v>0</v>
      </c>
    </row>
    <row r="1260" spans="1:7" x14ac:dyDescent="0.35">
      <c r="A1260">
        <v>2019</v>
      </c>
      <c r="B1260" t="s">
        <v>52</v>
      </c>
      <c r="C1260" t="s">
        <v>174</v>
      </c>
      <c r="D1260" t="s">
        <v>175</v>
      </c>
      <c r="E1260" t="s">
        <v>113</v>
      </c>
      <c r="F1260" t="s">
        <v>121</v>
      </c>
      <c r="G1260">
        <v>0</v>
      </c>
    </row>
    <row r="1261" spans="1:7" x14ac:dyDescent="0.35">
      <c r="A1261">
        <v>2019</v>
      </c>
      <c r="B1261" t="s">
        <v>52</v>
      </c>
      <c r="C1261" t="s">
        <v>174</v>
      </c>
      <c r="D1261" t="s">
        <v>175</v>
      </c>
      <c r="E1261" t="s">
        <v>114</v>
      </c>
      <c r="F1261" t="s">
        <v>121</v>
      </c>
      <c r="G1261">
        <v>0</v>
      </c>
    </row>
    <row r="1262" spans="1:7" x14ac:dyDescent="0.35">
      <c r="A1262">
        <v>2019</v>
      </c>
      <c r="B1262" t="s">
        <v>60</v>
      </c>
      <c r="C1262" t="s">
        <v>174</v>
      </c>
      <c r="D1262" t="s">
        <v>175</v>
      </c>
      <c r="E1262" t="s">
        <v>112</v>
      </c>
      <c r="F1262" t="s">
        <v>121</v>
      </c>
      <c r="G1262">
        <v>0</v>
      </c>
    </row>
    <row r="1263" spans="1:7" x14ac:dyDescent="0.35">
      <c r="A1263">
        <v>2019</v>
      </c>
      <c r="B1263" t="s">
        <v>60</v>
      </c>
      <c r="C1263" t="s">
        <v>174</v>
      </c>
      <c r="D1263" t="s">
        <v>175</v>
      </c>
      <c r="E1263" t="s">
        <v>91</v>
      </c>
      <c r="F1263" t="s">
        <v>121</v>
      </c>
      <c r="G1263">
        <v>0</v>
      </c>
    </row>
    <row r="1264" spans="1:7" x14ac:dyDescent="0.35">
      <c r="A1264">
        <v>2019</v>
      </c>
      <c r="B1264" t="s">
        <v>60</v>
      </c>
      <c r="C1264" t="s">
        <v>174</v>
      </c>
      <c r="D1264" t="s">
        <v>175</v>
      </c>
      <c r="E1264" t="s">
        <v>113</v>
      </c>
      <c r="F1264" t="s">
        <v>121</v>
      </c>
      <c r="G1264">
        <v>0</v>
      </c>
    </row>
    <row r="1265" spans="1:7" x14ac:dyDescent="0.35">
      <c r="A1265">
        <v>2019</v>
      </c>
      <c r="B1265" t="s">
        <v>60</v>
      </c>
      <c r="C1265" t="s">
        <v>174</v>
      </c>
      <c r="D1265" t="s">
        <v>175</v>
      </c>
      <c r="E1265" t="s">
        <v>114</v>
      </c>
      <c r="F1265" t="s">
        <v>121</v>
      </c>
      <c r="G1265">
        <v>0</v>
      </c>
    </row>
    <row r="1266" spans="1:7" x14ac:dyDescent="0.35">
      <c r="A1266">
        <v>2019</v>
      </c>
      <c r="B1266" t="s">
        <v>53</v>
      </c>
      <c r="C1266" t="s">
        <v>174</v>
      </c>
      <c r="D1266" t="s">
        <v>175</v>
      </c>
      <c r="E1266" t="s">
        <v>112</v>
      </c>
      <c r="F1266" t="s">
        <v>121</v>
      </c>
      <c r="G1266">
        <v>0</v>
      </c>
    </row>
    <row r="1267" spans="1:7" x14ac:dyDescent="0.35">
      <c r="A1267">
        <v>2019</v>
      </c>
      <c r="B1267" t="s">
        <v>53</v>
      </c>
      <c r="C1267" t="s">
        <v>174</v>
      </c>
      <c r="D1267" t="s">
        <v>175</v>
      </c>
      <c r="E1267" t="s">
        <v>91</v>
      </c>
      <c r="F1267" t="s">
        <v>121</v>
      </c>
      <c r="G1267">
        <v>0</v>
      </c>
    </row>
    <row r="1268" spans="1:7" x14ac:dyDescent="0.35">
      <c r="A1268">
        <v>2019</v>
      </c>
      <c r="B1268" t="s">
        <v>53</v>
      </c>
      <c r="C1268" t="s">
        <v>174</v>
      </c>
      <c r="D1268" t="s">
        <v>175</v>
      </c>
      <c r="E1268" t="s">
        <v>113</v>
      </c>
      <c r="F1268" t="s">
        <v>121</v>
      </c>
      <c r="G1268">
        <v>0</v>
      </c>
    </row>
    <row r="1269" spans="1:7" x14ac:dyDescent="0.35">
      <c r="A1269">
        <v>2019</v>
      </c>
      <c r="B1269" t="s">
        <v>53</v>
      </c>
      <c r="C1269" t="s">
        <v>174</v>
      </c>
      <c r="D1269" t="s">
        <v>175</v>
      </c>
      <c r="E1269" t="s">
        <v>114</v>
      </c>
      <c r="F1269" t="s">
        <v>121</v>
      </c>
      <c r="G1269">
        <v>0</v>
      </c>
    </row>
    <row r="1270" spans="1:7" x14ac:dyDescent="0.35">
      <c r="A1270">
        <v>2019</v>
      </c>
      <c r="B1270" t="s">
        <v>61</v>
      </c>
      <c r="C1270" t="s">
        <v>174</v>
      </c>
      <c r="D1270" t="s">
        <v>175</v>
      </c>
      <c r="E1270" t="s">
        <v>112</v>
      </c>
      <c r="F1270" t="s">
        <v>121</v>
      </c>
      <c r="G1270">
        <v>0</v>
      </c>
    </row>
    <row r="1271" spans="1:7" x14ac:dyDescent="0.35">
      <c r="A1271">
        <v>2019</v>
      </c>
      <c r="B1271" t="s">
        <v>61</v>
      </c>
      <c r="C1271" t="s">
        <v>174</v>
      </c>
      <c r="D1271" t="s">
        <v>175</v>
      </c>
      <c r="E1271" t="s">
        <v>91</v>
      </c>
      <c r="F1271" t="s">
        <v>121</v>
      </c>
      <c r="G1271">
        <v>0</v>
      </c>
    </row>
    <row r="1272" spans="1:7" x14ac:dyDescent="0.35">
      <c r="A1272">
        <v>2019</v>
      </c>
      <c r="B1272" t="s">
        <v>61</v>
      </c>
      <c r="C1272" t="s">
        <v>174</v>
      </c>
      <c r="D1272" t="s">
        <v>175</v>
      </c>
      <c r="E1272" t="s">
        <v>113</v>
      </c>
      <c r="F1272" t="s">
        <v>121</v>
      </c>
      <c r="G1272">
        <v>0</v>
      </c>
    </row>
    <row r="1273" spans="1:7" x14ac:dyDescent="0.35">
      <c r="A1273">
        <v>2019</v>
      </c>
      <c r="B1273" t="s">
        <v>61</v>
      </c>
      <c r="C1273" t="s">
        <v>174</v>
      </c>
      <c r="D1273" t="s">
        <v>175</v>
      </c>
      <c r="E1273" t="s">
        <v>114</v>
      </c>
      <c r="F1273" t="s">
        <v>121</v>
      </c>
      <c r="G1273">
        <v>0</v>
      </c>
    </row>
    <row r="1274" spans="1:7" x14ac:dyDescent="0.35">
      <c r="A1274">
        <v>2019</v>
      </c>
      <c r="B1274" t="s">
        <v>54</v>
      </c>
      <c r="C1274" t="s">
        <v>174</v>
      </c>
      <c r="D1274" t="s">
        <v>175</v>
      </c>
      <c r="E1274" t="s">
        <v>112</v>
      </c>
      <c r="F1274" t="s">
        <v>121</v>
      </c>
      <c r="G1274">
        <v>0</v>
      </c>
    </row>
    <row r="1275" spans="1:7" x14ac:dyDescent="0.35">
      <c r="A1275">
        <v>2019</v>
      </c>
      <c r="B1275" t="s">
        <v>54</v>
      </c>
      <c r="C1275" t="s">
        <v>174</v>
      </c>
      <c r="D1275" t="s">
        <v>175</v>
      </c>
      <c r="E1275" t="s">
        <v>91</v>
      </c>
      <c r="F1275" t="s">
        <v>121</v>
      </c>
      <c r="G1275">
        <v>0</v>
      </c>
    </row>
    <row r="1276" spans="1:7" x14ac:dyDescent="0.35">
      <c r="A1276">
        <v>2019</v>
      </c>
      <c r="B1276" t="s">
        <v>54</v>
      </c>
      <c r="C1276" t="s">
        <v>174</v>
      </c>
      <c r="D1276" t="s">
        <v>175</v>
      </c>
      <c r="E1276" t="s">
        <v>113</v>
      </c>
      <c r="F1276" t="s">
        <v>121</v>
      </c>
      <c r="G1276">
        <v>0</v>
      </c>
    </row>
    <row r="1277" spans="1:7" x14ac:dyDescent="0.35">
      <c r="A1277">
        <v>2019</v>
      </c>
      <c r="B1277" t="s">
        <v>54</v>
      </c>
      <c r="C1277" t="s">
        <v>174</v>
      </c>
      <c r="D1277" t="s">
        <v>175</v>
      </c>
      <c r="E1277" t="s">
        <v>114</v>
      </c>
      <c r="F1277" t="s">
        <v>121</v>
      </c>
      <c r="G1277">
        <v>0</v>
      </c>
    </row>
    <row r="1278" spans="1:7" x14ac:dyDescent="0.35">
      <c r="A1278">
        <v>2019</v>
      </c>
      <c r="B1278" t="s">
        <v>62</v>
      </c>
      <c r="C1278" t="s">
        <v>174</v>
      </c>
      <c r="D1278" t="s">
        <v>175</v>
      </c>
      <c r="E1278" t="s">
        <v>112</v>
      </c>
      <c r="F1278" t="s">
        <v>121</v>
      </c>
      <c r="G1278">
        <v>0</v>
      </c>
    </row>
    <row r="1279" spans="1:7" x14ac:dyDescent="0.35">
      <c r="A1279">
        <v>2019</v>
      </c>
      <c r="B1279" t="s">
        <v>62</v>
      </c>
      <c r="C1279" t="s">
        <v>174</v>
      </c>
      <c r="D1279" t="s">
        <v>175</v>
      </c>
      <c r="E1279" t="s">
        <v>91</v>
      </c>
      <c r="F1279" t="s">
        <v>121</v>
      </c>
      <c r="G1279">
        <v>0</v>
      </c>
    </row>
    <row r="1280" spans="1:7" x14ac:dyDescent="0.35">
      <c r="A1280">
        <v>2019</v>
      </c>
      <c r="B1280" t="s">
        <v>62</v>
      </c>
      <c r="C1280" t="s">
        <v>174</v>
      </c>
      <c r="D1280" t="s">
        <v>175</v>
      </c>
      <c r="E1280" t="s">
        <v>113</v>
      </c>
      <c r="F1280" t="s">
        <v>121</v>
      </c>
      <c r="G1280">
        <v>0</v>
      </c>
    </row>
    <row r="1281" spans="1:7" x14ac:dyDescent="0.35">
      <c r="A1281">
        <v>2019</v>
      </c>
      <c r="B1281" t="s">
        <v>62</v>
      </c>
      <c r="C1281" t="s">
        <v>174</v>
      </c>
      <c r="D1281" t="s">
        <v>175</v>
      </c>
      <c r="E1281" t="s">
        <v>114</v>
      </c>
      <c r="F1281" t="s">
        <v>121</v>
      </c>
      <c r="G1281">
        <v>0</v>
      </c>
    </row>
    <row r="1282" spans="1:7" x14ac:dyDescent="0.35">
      <c r="A1282">
        <v>2019</v>
      </c>
      <c r="B1282" t="s">
        <v>28</v>
      </c>
      <c r="C1282" t="s">
        <v>174</v>
      </c>
      <c r="D1282" t="s">
        <v>175</v>
      </c>
      <c r="E1282" t="s">
        <v>112</v>
      </c>
      <c r="F1282" t="s">
        <v>121</v>
      </c>
      <c r="G1282">
        <v>0</v>
      </c>
    </row>
    <row r="1283" spans="1:7" x14ac:dyDescent="0.35">
      <c r="A1283">
        <v>2019</v>
      </c>
      <c r="B1283" t="s">
        <v>28</v>
      </c>
      <c r="C1283" t="s">
        <v>174</v>
      </c>
      <c r="D1283" t="s">
        <v>175</v>
      </c>
      <c r="E1283" t="s">
        <v>91</v>
      </c>
      <c r="F1283" t="s">
        <v>121</v>
      </c>
      <c r="G1283">
        <v>0</v>
      </c>
    </row>
    <row r="1284" spans="1:7" x14ac:dyDescent="0.35">
      <c r="A1284">
        <v>2019</v>
      </c>
      <c r="B1284" t="s">
        <v>28</v>
      </c>
      <c r="C1284" t="s">
        <v>174</v>
      </c>
      <c r="D1284" t="s">
        <v>175</v>
      </c>
      <c r="E1284" t="s">
        <v>113</v>
      </c>
      <c r="F1284" t="s">
        <v>121</v>
      </c>
      <c r="G1284">
        <v>0</v>
      </c>
    </row>
    <row r="1285" spans="1:7" x14ac:dyDescent="0.35">
      <c r="A1285">
        <v>2019</v>
      </c>
      <c r="B1285" t="s">
        <v>28</v>
      </c>
      <c r="C1285" t="s">
        <v>174</v>
      </c>
      <c r="D1285" t="s">
        <v>175</v>
      </c>
      <c r="E1285" t="s">
        <v>114</v>
      </c>
      <c r="F1285" t="s">
        <v>121</v>
      </c>
      <c r="G1285">
        <v>0</v>
      </c>
    </row>
    <row r="1286" spans="1:7" x14ac:dyDescent="0.35">
      <c r="A1286">
        <v>2019</v>
      </c>
      <c r="B1286" t="s">
        <v>43</v>
      </c>
      <c r="C1286" t="s">
        <v>174</v>
      </c>
      <c r="D1286" t="s">
        <v>175</v>
      </c>
      <c r="E1286" t="s">
        <v>112</v>
      </c>
      <c r="F1286" t="s">
        <v>121</v>
      </c>
      <c r="G1286">
        <v>0</v>
      </c>
    </row>
    <row r="1287" spans="1:7" x14ac:dyDescent="0.35">
      <c r="A1287">
        <v>2019</v>
      </c>
      <c r="B1287" t="s">
        <v>43</v>
      </c>
      <c r="C1287" t="s">
        <v>174</v>
      </c>
      <c r="D1287" t="s">
        <v>175</v>
      </c>
      <c r="E1287" t="s">
        <v>91</v>
      </c>
      <c r="F1287" t="s">
        <v>121</v>
      </c>
      <c r="G1287">
        <v>0</v>
      </c>
    </row>
    <row r="1288" spans="1:7" x14ac:dyDescent="0.35">
      <c r="A1288">
        <v>2019</v>
      </c>
      <c r="B1288" t="s">
        <v>43</v>
      </c>
      <c r="C1288" t="s">
        <v>174</v>
      </c>
      <c r="D1288" t="s">
        <v>175</v>
      </c>
      <c r="E1288" t="s">
        <v>113</v>
      </c>
      <c r="F1288" t="s">
        <v>121</v>
      </c>
      <c r="G1288">
        <v>0</v>
      </c>
    </row>
    <row r="1289" spans="1:7" x14ac:dyDescent="0.35">
      <c r="A1289">
        <v>2019</v>
      </c>
      <c r="B1289" t="s">
        <v>43</v>
      </c>
      <c r="C1289" t="s">
        <v>174</v>
      </c>
      <c r="D1289" t="s">
        <v>175</v>
      </c>
      <c r="E1289" t="s">
        <v>114</v>
      </c>
      <c r="F1289" t="s">
        <v>121</v>
      </c>
      <c r="G1289">
        <v>1</v>
      </c>
    </row>
    <row r="1290" spans="1:7" x14ac:dyDescent="0.35">
      <c r="A1290">
        <v>2019</v>
      </c>
      <c r="B1290" t="s">
        <v>17</v>
      </c>
      <c r="C1290" t="s">
        <v>174</v>
      </c>
      <c r="D1290" t="s">
        <v>175</v>
      </c>
      <c r="E1290" t="s">
        <v>112</v>
      </c>
      <c r="F1290" t="s">
        <v>122</v>
      </c>
      <c r="G1290">
        <v>16</v>
      </c>
    </row>
    <row r="1291" spans="1:7" x14ac:dyDescent="0.35">
      <c r="A1291">
        <v>2019</v>
      </c>
      <c r="B1291" t="s">
        <v>17</v>
      </c>
      <c r="C1291" t="s">
        <v>174</v>
      </c>
      <c r="D1291" t="s">
        <v>175</v>
      </c>
      <c r="E1291" t="s">
        <v>91</v>
      </c>
      <c r="F1291" t="s">
        <v>122</v>
      </c>
      <c r="G1291">
        <v>1</v>
      </c>
    </row>
    <row r="1292" spans="1:7" x14ac:dyDescent="0.35">
      <c r="A1292">
        <v>2019</v>
      </c>
      <c r="B1292" t="s">
        <v>17</v>
      </c>
      <c r="C1292" t="s">
        <v>174</v>
      </c>
      <c r="D1292" t="s">
        <v>175</v>
      </c>
      <c r="E1292" t="s">
        <v>113</v>
      </c>
      <c r="F1292" t="s">
        <v>122</v>
      </c>
      <c r="G1292">
        <v>11</v>
      </c>
    </row>
    <row r="1293" spans="1:7" x14ac:dyDescent="0.35">
      <c r="A1293">
        <v>2019</v>
      </c>
      <c r="B1293" t="s">
        <v>17</v>
      </c>
      <c r="C1293" t="s">
        <v>174</v>
      </c>
      <c r="D1293" t="s">
        <v>175</v>
      </c>
      <c r="E1293" t="s">
        <v>114</v>
      </c>
      <c r="F1293" t="s">
        <v>122</v>
      </c>
      <c r="G1293">
        <v>0</v>
      </c>
    </row>
    <row r="1294" spans="1:7" x14ac:dyDescent="0.35">
      <c r="A1294">
        <v>2019</v>
      </c>
      <c r="B1294" t="s">
        <v>18</v>
      </c>
      <c r="C1294" t="s">
        <v>174</v>
      </c>
      <c r="D1294" t="s">
        <v>175</v>
      </c>
      <c r="E1294" t="s">
        <v>112</v>
      </c>
      <c r="F1294" t="s">
        <v>122</v>
      </c>
      <c r="G1294">
        <v>1</v>
      </c>
    </row>
    <row r="1295" spans="1:7" x14ac:dyDescent="0.35">
      <c r="A1295">
        <v>2019</v>
      </c>
      <c r="B1295" t="s">
        <v>18</v>
      </c>
      <c r="C1295" t="s">
        <v>174</v>
      </c>
      <c r="D1295" t="s">
        <v>175</v>
      </c>
      <c r="E1295" t="s">
        <v>91</v>
      </c>
      <c r="F1295" t="s">
        <v>122</v>
      </c>
      <c r="G1295">
        <v>0</v>
      </c>
    </row>
    <row r="1296" spans="1:7" x14ac:dyDescent="0.35">
      <c r="A1296">
        <v>2019</v>
      </c>
      <c r="B1296" t="s">
        <v>18</v>
      </c>
      <c r="C1296" t="s">
        <v>174</v>
      </c>
      <c r="D1296" t="s">
        <v>175</v>
      </c>
      <c r="E1296" t="s">
        <v>113</v>
      </c>
      <c r="F1296" t="s">
        <v>122</v>
      </c>
      <c r="G1296">
        <v>5</v>
      </c>
    </row>
    <row r="1297" spans="1:7" x14ac:dyDescent="0.35">
      <c r="A1297">
        <v>2019</v>
      </c>
      <c r="B1297" t="s">
        <v>18</v>
      </c>
      <c r="C1297" t="s">
        <v>174</v>
      </c>
      <c r="D1297" t="s">
        <v>175</v>
      </c>
      <c r="E1297" t="s">
        <v>114</v>
      </c>
      <c r="F1297" t="s">
        <v>122</v>
      </c>
      <c r="G1297">
        <v>1</v>
      </c>
    </row>
    <row r="1298" spans="1:7" x14ac:dyDescent="0.35">
      <c r="A1298">
        <v>2019</v>
      </c>
      <c r="B1298" t="s">
        <v>19</v>
      </c>
      <c r="C1298" t="s">
        <v>174</v>
      </c>
      <c r="D1298" t="s">
        <v>175</v>
      </c>
      <c r="E1298" t="s">
        <v>112</v>
      </c>
      <c r="F1298" t="s">
        <v>122</v>
      </c>
      <c r="G1298">
        <v>0</v>
      </c>
    </row>
    <row r="1299" spans="1:7" x14ac:dyDescent="0.35">
      <c r="A1299">
        <v>2019</v>
      </c>
      <c r="B1299" t="s">
        <v>19</v>
      </c>
      <c r="C1299" t="s">
        <v>174</v>
      </c>
      <c r="D1299" t="s">
        <v>175</v>
      </c>
      <c r="E1299" t="s">
        <v>91</v>
      </c>
      <c r="F1299" t="s">
        <v>122</v>
      </c>
      <c r="G1299">
        <v>0</v>
      </c>
    </row>
    <row r="1300" spans="1:7" x14ac:dyDescent="0.35">
      <c r="A1300">
        <v>2019</v>
      </c>
      <c r="B1300" t="s">
        <v>19</v>
      </c>
      <c r="C1300" t="s">
        <v>174</v>
      </c>
      <c r="D1300" t="s">
        <v>175</v>
      </c>
      <c r="E1300" t="s">
        <v>113</v>
      </c>
      <c r="F1300" t="s">
        <v>122</v>
      </c>
      <c r="G1300">
        <v>1</v>
      </c>
    </row>
    <row r="1301" spans="1:7" x14ac:dyDescent="0.35">
      <c r="A1301">
        <v>2019</v>
      </c>
      <c r="B1301" t="s">
        <v>19</v>
      </c>
      <c r="C1301" t="s">
        <v>174</v>
      </c>
      <c r="D1301" t="s">
        <v>175</v>
      </c>
      <c r="E1301" t="s">
        <v>114</v>
      </c>
      <c r="F1301" t="s">
        <v>122</v>
      </c>
      <c r="G1301">
        <v>0</v>
      </c>
    </row>
    <row r="1302" spans="1:7" x14ac:dyDescent="0.35">
      <c r="A1302">
        <v>2019</v>
      </c>
      <c r="B1302" t="s">
        <v>20</v>
      </c>
      <c r="C1302" t="s">
        <v>174</v>
      </c>
      <c r="D1302" t="s">
        <v>175</v>
      </c>
      <c r="E1302" t="s">
        <v>112</v>
      </c>
      <c r="F1302" t="s">
        <v>122</v>
      </c>
      <c r="G1302">
        <v>0</v>
      </c>
    </row>
    <row r="1303" spans="1:7" x14ac:dyDescent="0.35">
      <c r="A1303">
        <v>2019</v>
      </c>
      <c r="B1303" t="s">
        <v>20</v>
      </c>
      <c r="C1303" t="s">
        <v>174</v>
      </c>
      <c r="D1303" t="s">
        <v>175</v>
      </c>
      <c r="E1303" t="s">
        <v>91</v>
      </c>
      <c r="F1303" t="s">
        <v>122</v>
      </c>
      <c r="G1303">
        <v>0</v>
      </c>
    </row>
    <row r="1304" spans="1:7" x14ac:dyDescent="0.35">
      <c r="A1304">
        <v>2019</v>
      </c>
      <c r="B1304" t="s">
        <v>20</v>
      </c>
      <c r="C1304" t="s">
        <v>174</v>
      </c>
      <c r="D1304" t="s">
        <v>175</v>
      </c>
      <c r="E1304" t="s">
        <v>113</v>
      </c>
      <c r="F1304" t="s">
        <v>122</v>
      </c>
      <c r="G1304">
        <v>0</v>
      </c>
    </row>
    <row r="1305" spans="1:7" x14ac:dyDescent="0.35">
      <c r="A1305">
        <v>2019</v>
      </c>
      <c r="B1305" t="s">
        <v>20</v>
      </c>
      <c r="C1305" t="s">
        <v>174</v>
      </c>
      <c r="D1305" t="s">
        <v>175</v>
      </c>
      <c r="E1305" t="s">
        <v>114</v>
      </c>
      <c r="F1305" t="s">
        <v>122</v>
      </c>
      <c r="G1305">
        <v>0</v>
      </c>
    </row>
    <row r="1306" spans="1:7" x14ac:dyDescent="0.35">
      <c r="A1306">
        <v>2019</v>
      </c>
      <c r="B1306" t="s">
        <v>21</v>
      </c>
      <c r="C1306" t="s">
        <v>174</v>
      </c>
      <c r="D1306" t="s">
        <v>175</v>
      </c>
      <c r="E1306" t="s">
        <v>112</v>
      </c>
      <c r="F1306" t="s">
        <v>122</v>
      </c>
      <c r="G1306">
        <v>4</v>
      </c>
    </row>
    <row r="1307" spans="1:7" x14ac:dyDescent="0.35">
      <c r="A1307">
        <v>2019</v>
      </c>
      <c r="B1307" t="s">
        <v>21</v>
      </c>
      <c r="C1307" t="s">
        <v>174</v>
      </c>
      <c r="D1307" t="s">
        <v>175</v>
      </c>
      <c r="E1307" t="s">
        <v>91</v>
      </c>
      <c r="F1307" t="s">
        <v>122</v>
      </c>
      <c r="G1307">
        <v>2</v>
      </c>
    </row>
    <row r="1308" spans="1:7" x14ac:dyDescent="0.35">
      <c r="A1308">
        <v>2019</v>
      </c>
      <c r="B1308" t="s">
        <v>21</v>
      </c>
      <c r="C1308" t="s">
        <v>174</v>
      </c>
      <c r="D1308" t="s">
        <v>175</v>
      </c>
      <c r="E1308" t="s">
        <v>113</v>
      </c>
      <c r="F1308" t="s">
        <v>122</v>
      </c>
      <c r="G1308">
        <v>5</v>
      </c>
    </row>
    <row r="1309" spans="1:7" x14ac:dyDescent="0.35">
      <c r="A1309">
        <v>2019</v>
      </c>
      <c r="B1309" t="s">
        <v>21</v>
      </c>
      <c r="C1309" t="s">
        <v>174</v>
      </c>
      <c r="D1309" t="s">
        <v>175</v>
      </c>
      <c r="E1309" t="s">
        <v>114</v>
      </c>
      <c r="F1309" t="s">
        <v>122</v>
      </c>
      <c r="G1309">
        <v>4</v>
      </c>
    </row>
    <row r="1310" spans="1:7" x14ac:dyDescent="0.35">
      <c r="A1310">
        <v>2019</v>
      </c>
      <c r="B1310" t="s">
        <v>22</v>
      </c>
      <c r="C1310" t="s">
        <v>174</v>
      </c>
      <c r="D1310" t="s">
        <v>175</v>
      </c>
      <c r="E1310" t="s">
        <v>112</v>
      </c>
      <c r="F1310" t="s">
        <v>122</v>
      </c>
      <c r="G1310">
        <v>2</v>
      </c>
    </row>
    <row r="1311" spans="1:7" x14ac:dyDescent="0.35">
      <c r="A1311">
        <v>2019</v>
      </c>
      <c r="B1311" t="s">
        <v>22</v>
      </c>
      <c r="C1311" t="s">
        <v>174</v>
      </c>
      <c r="D1311" t="s">
        <v>175</v>
      </c>
      <c r="E1311" t="s">
        <v>91</v>
      </c>
      <c r="F1311" t="s">
        <v>122</v>
      </c>
      <c r="G1311">
        <v>4</v>
      </c>
    </row>
    <row r="1312" spans="1:7" x14ac:dyDescent="0.35">
      <c r="A1312">
        <v>2019</v>
      </c>
      <c r="B1312" t="s">
        <v>22</v>
      </c>
      <c r="C1312" t="s">
        <v>174</v>
      </c>
      <c r="D1312" t="s">
        <v>175</v>
      </c>
      <c r="E1312" t="s">
        <v>113</v>
      </c>
      <c r="F1312" t="s">
        <v>122</v>
      </c>
      <c r="G1312">
        <v>0</v>
      </c>
    </row>
    <row r="1313" spans="1:7" x14ac:dyDescent="0.35">
      <c r="A1313">
        <v>2019</v>
      </c>
      <c r="B1313" t="s">
        <v>22</v>
      </c>
      <c r="C1313" t="s">
        <v>174</v>
      </c>
      <c r="D1313" t="s">
        <v>175</v>
      </c>
      <c r="E1313" t="s">
        <v>114</v>
      </c>
      <c r="F1313" t="s">
        <v>122</v>
      </c>
      <c r="G1313">
        <v>0</v>
      </c>
    </row>
    <row r="1314" spans="1:7" x14ac:dyDescent="0.35">
      <c r="A1314">
        <v>2019</v>
      </c>
      <c r="B1314" t="s">
        <v>23</v>
      </c>
      <c r="C1314" t="s">
        <v>174</v>
      </c>
      <c r="D1314" t="s">
        <v>175</v>
      </c>
      <c r="E1314" t="s">
        <v>112</v>
      </c>
      <c r="F1314" t="s">
        <v>122</v>
      </c>
      <c r="G1314">
        <v>0</v>
      </c>
    </row>
    <row r="1315" spans="1:7" x14ac:dyDescent="0.35">
      <c r="A1315">
        <v>2019</v>
      </c>
      <c r="B1315" t="s">
        <v>23</v>
      </c>
      <c r="C1315" t="s">
        <v>174</v>
      </c>
      <c r="D1315" t="s">
        <v>175</v>
      </c>
      <c r="E1315" t="s">
        <v>91</v>
      </c>
      <c r="F1315" t="s">
        <v>122</v>
      </c>
      <c r="G1315">
        <v>0</v>
      </c>
    </row>
    <row r="1316" spans="1:7" x14ac:dyDescent="0.35">
      <c r="A1316">
        <v>2019</v>
      </c>
      <c r="B1316" t="s">
        <v>23</v>
      </c>
      <c r="C1316" t="s">
        <v>174</v>
      </c>
      <c r="D1316" t="s">
        <v>175</v>
      </c>
      <c r="E1316" t="s">
        <v>113</v>
      </c>
      <c r="F1316" t="s">
        <v>122</v>
      </c>
      <c r="G1316">
        <v>0</v>
      </c>
    </row>
    <row r="1317" spans="1:7" x14ac:dyDescent="0.35">
      <c r="A1317">
        <v>2019</v>
      </c>
      <c r="B1317" t="s">
        <v>23</v>
      </c>
      <c r="C1317" t="s">
        <v>174</v>
      </c>
      <c r="D1317" t="s">
        <v>175</v>
      </c>
      <c r="E1317" t="s">
        <v>114</v>
      </c>
      <c r="F1317" t="s">
        <v>122</v>
      </c>
      <c r="G1317">
        <v>0</v>
      </c>
    </row>
    <row r="1318" spans="1:7" x14ac:dyDescent="0.35">
      <c r="A1318">
        <v>2019</v>
      </c>
      <c r="B1318" t="s">
        <v>24</v>
      </c>
      <c r="C1318" t="s">
        <v>174</v>
      </c>
      <c r="D1318" t="s">
        <v>175</v>
      </c>
      <c r="E1318" t="s">
        <v>112</v>
      </c>
      <c r="F1318" t="s">
        <v>122</v>
      </c>
      <c r="G1318">
        <v>41</v>
      </c>
    </row>
    <row r="1319" spans="1:7" x14ac:dyDescent="0.35">
      <c r="A1319">
        <v>2019</v>
      </c>
      <c r="B1319" t="s">
        <v>24</v>
      </c>
      <c r="C1319" t="s">
        <v>174</v>
      </c>
      <c r="D1319" t="s">
        <v>175</v>
      </c>
      <c r="E1319" t="s">
        <v>91</v>
      </c>
      <c r="F1319" t="s">
        <v>122</v>
      </c>
      <c r="G1319">
        <v>1</v>
      </c>
    </row>
    <row r="1320" spans="1:7" x14ac:dyDescent="0.35">
      <c r="A1320">
        <v>2019</v>
      </c>
      <c r="B1320" t="s">
        <v>24</v>
      </c>
      <c r="C1320" t="s">
        <v>174</v>
      </c>
      <c r="D1320" t="s">
        <v>175</v>
      </c>
      <c r="E1320" t="s">
        <v>113</v>
      </c>
      <c r="F1320" t="s">
        <v>122</v>
      </c>
      <c r="G1320">
        <v>22</v>
      </c>
    </row>
    <row r="1321" spans="1:7" x14ac:dyDescent="0.35">
      <c r="A1321">
        <v>2019</v>
      </c>
      <c r="B1321" t="s">
        <v>24</v>
      </c>
      <c r="C1321" t="s">
        <v>174</v>
      </c>
      <c r="D1321" t="s">
        <v>175</v>
      </c>
      <c r="E1321" t="s">
        <v>114</v>
      </c>
      <c r="F1321" t="s">
        <v>122</v>
      </c>
      <c r="G1321">
        <v>2</v>
      </c>
    </row>
    <row r="1322" spans="1:7" x14ac:dyDescent="0.35">
      <c r="A1322">
        <v>2019</v>
      </c>
      <c r="B1322" t="s">
        <v>25</v>
      </c>
      <c r="C1322" t="s">
        <v>174</v>
      </c>
      <c r="D1322" t="s">
        <v>175</v>
      </c>
      <c r="E1322" t="s">
        <v>112</v>
      </c>
      <c r="F1322" t="s">
        <v>122</v>
      </c>
      <c r="G1322">
        <v>15</v>
      </c>
    </row>
    <row r="1323" spans="1:7" x14ac:dyDescent="0.35">
      <c r="A1323">
        <v>2019</v>
      </c>
      <c r="B1323" t="s">
        <v>25</v>
      </c>
      <c r="C1323" t="s">
        <v>174</v>
      </c>
      <c r="D1323" t="s">
        <v>175</v>
      </c>
      <c r="E1323" t="s">
        <v>91</v>
      </c>
      <c r="F1323" t="s">
        <v>122</v>
      </c>
      <c r="G1323">
        <v>6</v>
      </c>
    </row>
    <row r="1324" spans="1:7" x14ac:dyDescent="0.35">
      <c r="A1324">
        <v>2019</v>
      </c>
      <c r="B1324" t="s">
        <v>25</v>
      </c>
      <c r="C1324" t="s">
        <v>174</v>
      </c>
      <c r="D1324" t="s">
        <v>175</v>
      </c>
      <c r="E1324" t="s">
        <v>113</v>
      </c>
      <c r="F1324" t="s">
        <v>122</v>
      </c>
      <c r="G1324">
        <v>1</v>
      </c>
    </row>
    <row r="1325" spans="1:7" x14ac:dyDescent="0.35">
      <c r="A1325">
        <v>2019</v>
      </c>
      <c r="B1325" t="s">
        <v>25</v>
      </c>
      <c r="C1325" t="s">
        <v>174</v>
      </c>
      <c r="D1325" t="s">
        <v>175</v>
      </c>
      <c r="E1325" t="s">
        <v>114</v>
      </c>
      <c r="F1325" t="s">
        <v>122</v>
      </c>
      <c r="G1325">
        <v>0</v>
      </c>
    </row>
    <row r="1326" spans="1:7" x14ac:dyDescent="0.35">
      <c r="A1326">
        <v>2019</v>
      </c>
      <c r="B1326" t="s">
        <v>26</v>
      </c>
      <c r="C1326" t="s">
        <v>174</v>
      </c>
      <c r="D1326" t="s">
        <v>175</v>
      </c>
      <c r="E1326" t="s">
        <v>112</v>
      </c>
      <c r="F1326" t="s">
        <v>122</v>
      </c>
      <c r="G1326">
        <v>0</v>
      </c>
    </row>
    <row r="1327" spans="1:7" x14ac:dyDescent="0.35">
      <c r="A1327">
        <v>2019</v>
      </c>
      <c r="B1327" t="s">
        <v>26</v>
      </c>
      <c r="C1327" t="s">
        <v>174</v>
      </c>
      <c r="D1327" t="s">
        <v>175</v>
      </c>
      <c r="E1327" t="s">
        <v>91</v>
      </c>
      <c r="F1327" t="s">
        <v>122</v>
      </c>
      <c r="G1327">
        <v>2</v>
      </c>
    </row>
    <row r="1328" spans="1:7" x14ac:dyDescent="0.35">
      <c r="A1328">
        <v>2019</v>
      </c>
      <c r="B1328" t="s">
        <v>26</v>
      </c>
      <c r="C1328" t="s">
        <v>174</v>
      </c>
      <c r="D1328" t="s">
        <v>175</v>
      </c>
      <c r="E1328" t="s">
        <v>113</v>
      </c>
      <c r="F1328" t="s">
        <v>122</v>
      </c>
      <c r="G1328">
        <v>2</v>
      </c>
    </row>
    <row r="1329" spans="1:7" x14ac:dyDescent="0.35">
      <c r="A1329">
        <v>2019</v>
      </c>
      <c r="B1329" t="s">
        <v>26</v>
      </c>
      <c r="C1329" t="s">
        <v>174</v>
      </c>
      <c r="D1329" t="s">
        <v>175</v>
      </c>
      <c r="E1329" t="s">
        <v>114</v>
      </c>
      <c r="F1329" t="s">
        <v>122</v>
      </c>
      <c r="G1329">
        <v>0</v>
      </c>
    </row>
    <row r="1330" spans="1:7" x14ac:dyDescent="0.35">
      <c r="A1330">
        <v>2019</v>
      </c>
      <c r="B1330" t="s">
        <v>27</v>
      </c>
      <c r="C1330" t="s">
        <v>174</v>
      </c>
      <c r="D1330" t="s">
        <v>175</v>
      </c>
      <c r="E1330" t="s">
        <v>112</v>
      </c>
      <c r="F1330" t="s">
        <v>122</v>
      </c>
      <c r="G1330">
        <v>3</v>
      </c>
    </row>
    <row r="1331" spans="1:7" x14ac:dyDescent="0.35">
      <c r="A1331">
        <v>2019</v>
      </c>
      <c r="B1331" t="s">
        <v>27</v>
      </c>
      <c r="C1331" t="s">
        <v>174</v>
      </c>
      <c r="D1331" t="s">
        <v>175</v>
      </c>
      <c r="E1331" t="s">
        <v>91</v>
      </c>
      <c r="F1331" t="s">
        <v>122</v>
      </c>
      <c r="G1331">
        <v>4</v>
      </c>
    </row>
    <row r="1332" spans="1:7" x14ac:dyDescent="0.35">
      <c r="A1332">
        <v>2019</v>
      </c>
      <c r="B1332" t="s">
        <v>27</v>
      </c>
      <c r="C1332" t="s">
        <v>174</v>
      </c>
      <c r="D1332" t="s">
        <v>175</v>
      </c>
      <c r="E1332" t="s">
        <v>113</v>
      </c>
      <c r="F1332" t="s">
        <v>122</v>
      </c>
      <c r="G1332">
        <v>2</v>
      </c>
    </row>
    <row r="1333" spans="1:7" x14ac:dyDescent="0.35">
      <c r="A1333">
        <v>2019</v>
      </c>
      <c r="B1333" t="s">
        <v>27</v>
      </c>
      <c r="C1333" t="s">
        <v>174</v>
      </c>
      <c r="D1333" t="s">
        <v>175</v>
      </c>
      <c r="E1333" t="s">
        <v>114</v>
      </c>
      <c r="F1333" t="s">
        <v>122</v>
      </c>
      <c r="G1333">
        <v>0</v>
      </c>
    </row>
    <row r="1334" spans="1:7" x14ac:dyDescent="0.35">
      <c r="A1334">
        <v>2019</v>
      </c>
      <c r="B1334" t="s">
        <v>29</v>
      </c>
      <c r="C1334" t="s">
        <v>174</v>
      </c>
      <c r="D1334" t="s">
        <v>175</v>
      </c>
      <c r="E1334" t="s">
        <v>112</v>
      </c>
      <c r="F1334" t="s">
        <v>122</v>
      </c>
      <c r="G1334">
        <v>16</v>
      </c>
    </row>
    <row r="1335" spans="1:7" x14ac:dyDescent="0.35">
      <c r="A1335">
        <v>2019</v>
      </c>
      <c r="B1335" t="s">
        <v>29</v>
      </c>
      <c r="C1335" t="s">
        <v>174</v>
      </c>
      <c r="D1335" t="s">
        <v>175</v>
      </c>
      <c r="E1335" t="s">
        <v>91</v>
      </c>
      <c r="F1335" t="s">
        <v>122</v>
      </c>
      <c r="G1335">
        <v>0</v>
      </c>
    </row>
    <row r="1336" spans="1:7" x14ac:dyDescent="0.35">
      <c r="A1336">
        <v>2019</v>
      </c>
      <c r="B1336" t="s">
        <v>29</v>
      </c>
      <c r="C1336" t="s">
        <v>174</v>
      </c>
      <c r="D1336" t="s">
        <v>175</v>
      </c>
      <c r="E1336" t="s">
        <v>113</v>
      </c>
      <c r="F1336" t="s">
        <v>122</v>
      </c>
      <c r="G1336">
        <v>8</v>
      </c>
    </row>
    <row r="1337" spans="1:7" x14ac:dyDescent="0.35">
      <c r="A1337">
        <v>2019</v>
      </c>
      <c r="B1337" t="s">
        <v>29</v>
      </c>
      <c r="C1337" t="s">
        <v>174</v>
      </c>
      <c r="D1337" t="s">
        <v>175</v>
      </c>
      <c r="E1337" t="s">
        <v>114</v>
      </c>
      <c r="F1337" t="s">
        <v>122</v>
      </c>
      <c r="G1337">
        <v>0</v>
      </c>
    </row>
    <row r="1338" spans="1:7" x14ac:dyDescent="0.35">
      <c r="A1338">
        <v>2019</v>
      </c>
      <c r="B1338" t="s">
        <v>30</v>
      </c>
      <c r="C1338" t="s">
        <v>174</v>
      </c>
      <c r="D1338" t="s">
        <v>175</v>
      </c>
      <c r="E1338" t="s">
        <v>112</v>
      </c>
      <c r="F1338" t="s">
        <v>122</v>
      </c>
      <c r="G1338">
        <v>0</v>
      </c>
    </row>
    <row r="1339" spans="1:7" x14ac:dyDescent="0.35">
      <c r="A1339">
        <v>2019</v>
      </c>
      <c r="B1339" t="s">
        <v>30</v>
      </c>
      <c r="C1339" t="s">
        <v>174</v>
      </c>
      <c r="D1339" t="s">
        <v>175</v>
      </c>
      <c r="E1339" t="s">
        <v>91</v>
      </c>
      <c r="F1339" t="s">
        <v>122</v>
      </c>
      <c r="G1339">
        <v>0</v>
      </c>
    </row>
    <row r="1340" spans="1:7" x14ac:dyDescent="0.35">
      <c r="A1340">
        <v>2019</v>
      </c>
      <c r="B1340" t="s">
        <v>30</v>
      </c>
      <c r="C1340" t="s">
        <v>174</v>
      </c>
      <c r="D1340" t="s">
        <v>175</v>
      </c>
      <c r="E1340" t="s">
        <v>113</v>
      </c>
      <c r="F1340" t="s">
        <v>122</v>
      </c>
      <c r="G1340">
        <v>2</v>
      </c>
    </row>
    <row r="1341" spans="1:7" x14ac:dyDescent="0.35">
      <c r="A1341">
        <v>2019</v>
      </c>
      <c r="B1341" t="s">
        <v>30</v>
      </c>
      <c r="C1341" t="s">
        <v>174</v>
      </c>
      <c r="D1341" t="s">
        <v>175</v>
      </c>
      <c r="E1341" t="s">
        <v>114</v>
      </c>
      <c r="F1341" t="s">
        <v>122</v>
      </c>
      <c r="G1341">
        <v>0</v>
      </c>
    </row>
    <row r="1342" spans="1:7" x14ac:dyDescent="0.35">
      <c r="A1342">
        <v>2019</v>
      </c>
      <c r="B1342" t="s">
        <v>31</v>
      </c>
      <c r="C1342" t="s">
        <v>174</v>
      </c>
      <c r="D1342" t="s">
        <v>175</v>
      </c>
      <c r="E1342" t="s">
        <v>112</v>
      </c>
      <c r="F1342" t="s">
        <v>122</v>
      </c>
      <c r="G1342">
        <v>29</v>
      </c>
    </row>
    <row r="1343" spans="1:7" x14ac:dyDescent="0.35">
      <c r="A1343">
        <v>2019</v>
      </c>
      <c r="B1343" t="s">
        <v>31</v>
      </c>
      <c r="C1343" t="s">
        <v>174</v>
      </c>
      <c r="D1343" t="s">
        <v>175</v>
      </c>
      <c r="E1343" t="s">
        <v>91</v>
      </c>
      <c r="F1343" t="s">
        <v>122</v>
      </c>
      <c r="G1343">
        <v>23</v>
      </c>
    </row>
    <row r="1344" spans="1:7" x14ac:dyDescent="0.35">
      <c r="A1344">
        <v>2019</v>
      </c>
      <c r="B1344" t="s">
        <v>31</v>
      </c>
      <c r="C1344" t="s">
        <v>174</v>
      </c>
      <c r="D1344" t="s">
        <v>175</v>
      </c>
      <c r="E1344" t="s">
        <v>113</v>
      </c>
      <c r="F1344" t="s">
        <v>122</v>
      </c>
      <c r="G1344">
        <v>16</v>
      </c>
    </row>
    <row r="1345" spans="1:7" x14ac:dyDescent="0.35">
      <c r="A1345">
        <v>2019</v>
      </c>
      <c r="B1345" t="s">
        <v>31</v>
      </c>
      <c r="C1345" t="s">
        <v>174</v>
      </c>
      <c r="D1345" t="s">
        <v>175</v>
      </c>
      <c r="E1345" t="s">
        <v>114</v>
      </c>
      <c r="F1345" t="s">
        <v>122</v>
      </c>
      <c r="G1345">
        <v>2</v>
      </c>
    </row>
    <row r="1346" spans="1:7" x14ac:dyDescent="0.35">
      <c r="A1346">
        <v>2019</v>
      </c>
      <c r="B1346" t="s">
        <v>32</v>
      </c>
      <c r="C1346" t="s">
        <v>174</v>
      </c>
      <c r="D1346" t="s">
        <v>175</v>
      </c>
      <c r="E1346" t="s">
        <v>112</v>
      </c>
      <c r="F1346" t="s">
        <v>122</v>
      </c>
      <c r="G1346">
        <v>21</v>
      </c>
    </row>
    <row r="1347" spans="1:7" x14ac:dyDescent="0.35">
      <c r="A1347">
        <v>2019</v>
      </c>
      <c r="B1347" t="s">
        <v>32</v>
      </c>
      <c r="C1347" t="s">
        <v>174</v>
      </c>
      <c r="D1347" t="s">
        <v>175</v>
      </c>
      <c r="E1347" t="s">
        <v>91</v>
      </c>
      <c r="F1347" t="s">
        <v>122</v>
      </c>
      <c r="G1347">
        <v>0</v>
      </c>
    </row>
    <row r="1348" spans="1:7" x14ac:dyDescent="0.35">
      <c r="A1348">
        <v>2019</v>
      </c>
      <c r="B1348" t="s">
        <v>32</v>
      </c>
      <c r="C1348" t="s">
        <v>174</v>
      </c>
      <c r="D1348" t="s">
        <v>175</v>
      </c>
      <c r="E1348" t="s">
        <v>113</v>
      </c>
      <c r="F1348" t="s">
        <v>122</v>
      </c>
      <c r="G1348">
        <v>0</v>
      </c>
    </row>
    <row r="1349" spans="1:7" x14ac:dyDescent="0.35">
      <c r="A1349">
        <v>2019</v>
      </c>
      <c r="B1349" t="s">
        <v>32</v>
      </c>
      <c r="C1349" t="s">
        <v>174</v>
      </c>
      <c r="D1349" t="s">
        <v>175</v>
      </c>
      <c r="E1349" t="s">
        <v>114</v>
      </c>
      <c r="F1349" t="s">
        <v>122</v>
      </c>
      <c r="G1349">
        <v>0</v>
      </c>
    </row>
    <row r="1350" spans="1:7" x14ac:dyDescent="0.35">
      <c r="A1350">
        <v>2019</v>
      </c>
      <c r="B1350" t="s">
        <v>63</v>
      </c>
      <c r="C1350" t="s">
        <v>174</v>
      </c>
      <c r="D1350" t="s">
        <v>175</v>
      </c>
      <c r="E1350" t="s">
        <v>112</v>
      </c>
      <c r="F1350" t="s">
        <v>122</v>
      </c>
      <c r="G1350">
        <v>0</v>
      </c>
    </row>
    <row r="1351" spans="1:7" x14ac:dyDescent="0.35">
      <c r="A1351">
        <v>2019</v>
      </c>
      <c r="B1351" t="s">
        <v>63</v>
      </c>
      <c r="C1351" t="s">
        <v>174</v>
      </c>
      <c r="D1351" t="s">
        <v>175</v>
      </c>
      <c r="E1351" t="s">
        <v>91</v>
      </c>
      <c r="F1351" t="s">
        <v>122</v>
      </c>
      <c r="G1351">
        <v>12</v>
      </c>
    </row>
    <row r="1352" spans="1:7" x14ac:dyDescent="0.35">
      <c r="A1352">
        <v>2019</v>
      </c>
      <c r="B1352" t="s">
        <v>63</v>
      </c>
      <c r="C1352" t="s">
        <v>174</v>
      </c>
      <c r="D1352" t="s">
        <v>175</v>
      </c>
      <c r="E1352" t="s">
        <v>113</v>
      </c>
      <c r="F1352" t="s">
        <v>122</v>
      </c>
      <c r="G1352">
        <v>3</v>
      </c>
    </row>
    <row r="1353" spans="1:7" x14ac:dyDescent="0.35">
      <c r="A1353">
        <v>2019</v>
      </c>
      <c r="B1353" t="s">
        <v>63</v>
      </c>
      <c r="C1353" t="s">
        <v>174</v>
      </c>
      <c r="D1353" t="s">
        <v>175</v>
      </c>
      <c r="E1353" t="s">
        <v>114</v>
      </c>
      <c r="F1353" t="s">
        <v>122</v>
      </c>
      <c r="G1353">
        <v>0</v>
      </c>
    </row>
    <row r="1354" spans="1:7" x14ac:dyDescent="0.35">
      <c r="A1354">
        <v>2019</v>
      </c>
      <c r="B1354" t="s">
        <v>57</v>
      </c>
      <c r="C1354" t="s">
        <v>174</v>
      </c>
      <c r="D1354" t="s">
        <v>175</v>
      </c>
      <c r="E1354" t="s">
        <v>112</v>
      </c>
      <c r="F1354" t="s">
        <v>122</v>
      </c>
      <c r="G1354">
        <v>0</v>
      </c>
    </row>
    <row r="1355" spans="1:7" x14ac:dyDescent="0.35">
      <c r="A1355">
        <v>2019</v>
      </c>
      <c r="B1355" t="s">
        <v>57</v>
      </c>
      <c r="C1355" t="s">
        <v>174</v>
      </c>
      <c r="D1355" t="s">
        <v>175</v>
      </c>
      <c r="E1355" t="s">
        <v>91</v>
      </c>
      <c r="F1355" t="s">
        <v>122</v>
      </c>
      <c r="G1355">
        <v>67</v>
      </c>
    </row>
    <row r="1356" spans="1:7" x14ac:dyDescent="0.35">
      <c r="A1356">
        <v>2019</v>
      </c>
      <c r="B1356" t="s">
        <v>57</v>
      </c>
      <c r="C1356" t="s">
        <v>174</v>
      </c>
      <c r="D1356" t="s">
        <v>175</v>
      </c>
      <c r="E1356" t="s">
        <v>113</v>
      </c>
      <c r="F1356" t="s">
        <v>122</v>
      </c>
      <c r="G1356">
        <v>16</v>
      </c>
    </row>
    <row r="1357" spans="1:7" x14ac:dyDescent="0.35">
      <c r="A1357">
        <v>2019</v>
      </c>
      <c r="B1357" t="s">
        <v>57</v>
      </c>
      <c r="C1357" t="s">
        <v>174</v>
      </c>
      <c r="D1357" t="s">
        <v>175</v>
      </c>
      <c r="E1357" t="s">
        <v>114</v>
      </c>
      <c r="F1357" t="s">
        <v>122</v>
      </c>
      <c r="G1357">
        <v>0</v>
      </c>
    </row>
    <row r="1358" spans="1:7" x14ac:dyDescent="0.35">
      <c r="A1358">
        <v>2019</v>
      </c>
      <c r="B1358" t="s">
        <v>33</v>
      </c>
      <c r="C1358" t="s">
        <v>174</v>
      </c>
      <c r="D1358" t="s">
        <v>175</v>
      </c>
      <c r="E1358" t="s">
        <v>112</v>
      </c>
      <c r="F1358" t="s">
        <v>122</v>
      </c>
      <c r="G1358">
        <v>5</v>
      </c>
    </row>
    <row r="1359" spans="1:7" x14ac:dyDescent="0.35">
      <c r="A1359">
        <v>2019</v>
      </c>
      <c r="B1359" t="s">
        <v>33</v>
      </c>
      <c r="C1359" t="s">
        <v>174</v>
      </c>
      <c r="D1359" t="s">
        <v>175</v>
      </c>
      <c r="E1359" t="s">
        <v>91</v>
      </c>
      <c r="F1359" t="s">
        <v>122</v>
      </c>
      <c r="G1359">
        <v>22</v>
      </c>
    </row>
    <row r="1360" spans="1:7" x14ac:dyDescent="0.35">
      <c r="A1360">
        <v>2019</v>
      </c>
      <c r="B1360" t="s">
        <v>33</v>
      </c>
      <c r="C1360" t="s">
        <v>174</v>
      </c>
      <c r="D1360" t="s">
        <v>175</v>
      </c>
      <c r="E1360" t="s">
        <v>113</v>
      </c>
      <c r="F1360" t="s">
        <v>122</v>
      </c>
      <c r="G1360">
        <v>2</v>
      </c>
    </row>
    <row r="1361" spans="1:7" x14ac:dyDescent="0.35">
      <c r="A1361">
        <v>2019</v>
      </c>
      <c r="B1361" t="s">
        <v>33</v>
      </c>
      <c r="C1361" t="s">
        <v>174</v>
      </c>
      <c r="D1361" t="s">
        <v>175</v>
      </c>
      <c r="E1361" t="s">
        <v>114</v>
      </c>
      <c r="F1361" t="s">
        <v>122</v>
      </c>
      <c r="G1361">
        <v>0</v>
      </c>
    </row>
    <row r="1362" spans="1:7" x14ac:dyDescent="0.35">
      <c r="A1362">
        <v>2019</v>
      </c>
      <c r="B1362" t="s">
        <v>34</v>
      </c>
      <c r="C1362" t="s">
        <v>174</v>
      </c>
      <c r="D1362" t="s">
        <v>175</v>
      </c>
      <c r="E1362" t="s">
        <v>112</v>
      </c>
      <c r="F1362" t="s">
        <v>122</v>
      </c>
      <c r="G1362">
        <v>9</v>
      </c>
    </row>
    <row r="1363" spans="1:7" x14ac:dyDescent="0.35">
      <c r="A1363">
        <v>2019</v>
      </c>
      <c r="B1363" t="s">
        <v>34</v>
      </c>
      <c r="C1363" t="s">
        <v>174</v>
      </c>
      <c r="D1363" t="s">
        <v>175</v>
      </c>
      <c r="E1363" t="s">
        <v>91</v>
      </c>
      <c r="F1363" t="s">
        <v>122</v>
      </c>
      <c r="G1363">
        <v>1</v>
      </c>
    </row>
    <row r="1364" spans="1:7" x14ac:dyDescent="0.35">
      <c r="A1364">
        <v>2019</v>
      </c>
      <c r="B1364" t="s">
        <v>34</v>
      </c>
      <c r="C1364" t="s">
        <v>174</v>
      </c>
      <c r="D1364" t="s">
        <v>175</v>
      </c>
      <c r="E1364" t="s">
        <v>113</v>
      </c>
      <c r="F1364" t="s">
        <v>122</v>
      </c>
      <c r="G1364">
        <v>3</v>
      </c>
    </row>
    <row r="1365" spans="1:7" x14ac:dyDescent="0.35">
      <c r="A1365">
        <v>2019</v>
      </c>
      <c r="B1365" t="s">
        <v>34</v>
      </c>
      <c r="C1365" t="s">
        <v>174</v>
      </c>
      <c r="D1365" t="s">
        <v>175</v>
      </c>
      <c r="E1365" t="s">
        <v>114</v>
      </c>
      <c r="F1365" t="s">
        <v>122</v>
      </c>
      <c r="G1365">
        <v>0</v>
      </c>
    </row>
    <row r="1366" spans="1:7" x14ac:dyDescent="0.35">
      <c r="A1366">
        <v>2019</v>
      </c>
      <c r="B1366" t="s">
        <v>35</v>
      </c>
      <c r="C1366" t="s">
        <v>174</v>
      </c>
      <c r="D1366" t="s">
        <v>175</v>
      </c>
      <c r="E1366" t="s">
        <v>112</v>
      </c>
      <c r="F1366" t="s">
        <v>122</v>
      </c>
      <c r="G1366">
        <v>1</v>
      </c>
    </row>
    <row r="1367" spans="1:7" x14ac:dyDescent="0.35">
      <c r="A1367">
        <v>2019</v>
      </c>
      <c r="B1367" t="s">
        <v>35</v>
      </c>
      <c r="C1367" t="s">
        <v>174</v>
      </c>
      <c r="D1367" t="s">
        <v>175</v>
      </c>
      <c r="E1367" t="s">
        <v>91</v>
      </c>
      <c r="F1367" t="s">
        <v>122</v>
      </c>
      <c r="G1367">
        <v>0</v>
      </c>
    </row>
    <row r="1368" spans="1:7" x14ac:dyDescent="0.35">
      <c r="A1368">
        <v>2019</v>
      </c>
      <c r="B1368" t="s">
        <v>35</v>
      </c>
      <c r="C1368" t="s">
        <v>174</v>
      </c>
      <c r="D1368" t="s">
        <v>175</v>
      </c>
      <c r="E1368" t="s">
        <v>113</v>
      </c>
      <c r="F1368" t="s">
        <v>122</v>
      </c>
      <c r="G1368">
        <v>0</v>
      </c>
    </row>
    <row r="1369" spans="1:7" x14ac:dyDescent="0.35">
      <c r="A1369">
        <v>2019</v>
      </c>
      <c r="B1369" t="s">
        <v>35</v>
      </c>
      <c r="C1369" t="s">
        <v>174</v>
      </c>
      <c r="D1369" t="s">
        <v>175</v>
      </c>
      <c r="E1369" t="s">
        <v>114</v>
      </c>
      <c r="F1369" t="s">
        <v>122</v>
      </c>
      <c r="G1369">
        <v>0</v>
      </c>
    </row>
    <row r="1370" spans="1:7" x14ac:dyDescent="0.35">
      <c r="A1370">
        <v>2019</v>
      </c>
      <c r="B1370" t="s">
        <v>36</v>
      </c>
      <c r="C1370" t="s">
        <v>174</v>
      </c>
      <c r="D1370" t="s">
        <v>175</v>
      </c>
      <c r="E1370" t="s">
        <v>112</v>
      </c>
      <c r="F1370" t="s">
        <v>122</v>
      </c>
      <c r="G1370">
        <v>0</v>
      </c>
    </row>
    <row r="1371" spans="1:7" x14ac:dyDescent="0.35">
      <c r="A1371">
        <v>2019</v>
      </c>
      <c r="B1371" t="s">
        <v>36</v>
      </c>
      <c r="C1371" t="s">
        <v>174</v>
      </c>
      <c r="D1371" t="s">
        <v>175</v>
      </c>
      <c r="E1371" t="s">
        <v>91</v>
      </c>
      <c r="F1371" t="s">
        <v>122</v>
      </c>
      <c r="G1371">
        <v>0</v>
      </c>
    </row>
    <row r="1372" spans="1:7" x14ac:dyDescent="0.35">
      <c r="A1372">
        <v>2019</v>
      </c>
      <c r="B1372" t="s">
        <v>36</v>
      </c>
      <c r="C1372" t="s">
        <v>174</v>
      </c>
      <c r="D1372" t="s">
        <v>175</v>
      </c>
      <c r="E1372" t="s">
        <v>113</v>
      </c>
      <c r="F1372" t="s">
        <v>122</v>
      </c>
      <c r="G1372">
        <v>0</v>
      </c>
    </row>
    <row r="1373" spans="1:7" x14ac:dyDescent="0.35">
      <c r="A1373">
        <v>2019</v>
      </c>
      <c r="B1373" t="s">
        <v>36</v>
      </c>
      <c r="C1373" t="s">
        <v>174</v>
      </c>
      <c r="D1373" t="s">
        <v>175</v>
      </c>
      <c r="E1373" t="s">
        <v>114</v>
      </c>
      <c r="F1373" t="s">
        <v>122</v>
      </c>
      <c r="G1373">
        <v>0</v>
      </c>
    </row>
    <row r="1374" spans="1:7" x14ac:dyDescent="0.35">
      <c r="A1374">
        <v>2019</v>
      </c>
      <c r="B1374" t="s">
        <v>37</v>
      </c>
      <c r="C1374" t="s">
        <v>174</v>
      </c>
      <c r="D1374" t="s">
        <v>175</v>
      </c>
      <c r="E1374" t="s">
        <v>112</v>
      </c>
      <c r="F1374" t="s">
        <v>122</v>
      </c>
      <c r="G1374">
        <v>0</v>
      </c>
    </row>
    <row r="1375" spans="1:7" x14ac:dyDescent="0.35">
      <c r="A1375">
        <v>2019</v>
      </c>
      <c r="B1375" t="s">
        <v>37</v>
      </c>
      <c r="C1375" t="s">
        <v>174</v>
      </c>
      <c r="D1375" t="s">
        <v>175</v>
      </c>
      <c r="E1375" t="s">
        <v>91</v>
      </c>
      <c r="F1375" t="s">
        <v>122</v>
      </c>
      <c r="G1375">
        <v>0</v>
      </c>
    </row>
    <row r="1376" spans="1:7" x14ac:dyDescent="0.35">
      <c r="A1376">
        <v>2019</v>
      </c>
      <c r="B1376" t="s">
        <v>37</v>
      </c>
      <c r="C1376" t="s">
        <v>174</v>
      </c>
      <c r="D1376" t="s">
        <v>175</v>
      </c>
      <c r="E1376" t="s">
        <v>113</v>
      </c>
      <c r="F1376" t="s">
        <v>122</v>
      </c>
      <c r="G1376">
        <v>0</v>
      </c>
    </row>
    <row r="1377" spans="1:7" x14ac:dyDescent="0.35">
      <c r="A1377">
        <v>2019</v>
      </c>
      <c r="B1377" t="s">
        <v>37</v>
      </c>
      <c r="C1377" t="s">
        <v>174</v>
      </c>
      <c r="D1377" t="s">
        <v>175</v>
      </c>
      <c r="E1377" t="s">
        <v>114</v>
      </c>
      <c r="F1377" t="s">
        <v>122</v>
      </c>
      <c r="G1377">
        <v>0</v>
      </c>
    </row>
    <row r="1378" spans="1:7" x14ac:dyDescent="0.35">
      <c r="A1378">
        <v>2019</v>
      </c>
      <c r="B1378" t="s">
        <v>55</v>
      </c>
      <c r="C1378" t="s">
        <v>174</v>
      </c>
      <c r="D1378" t="s">
        <v>175</v>
      </c>
      <c r="E1378" t="s">
        <v>112</v>
      </c>
      <c r="F1378" t="s">
        <v>122</v>
      </c>
      <c r="G1378">
        <v>0</v>
      </c>
    </row>
    <row r="1379" spans="1:7" x14ac:dyDescent="0.35">
      <c r="A1379">
        <v>2019</v>
      </c>
      <c r="B1379" t="s">
        <v>55</v>
      </c>
      <c r="C1379" t="s">
        <v>174</v>
      </c>
      <c r="D1379" t="s">
        <v>175</v>
      </c>
      <c r="E1379" t="s">
        <v>91</v>
      </c>
      <c r="F1379" t="s">
        <v>122</v>
      </c>
      <c r="G1379">
        <v>0</v>
      </c>
    </row>
    <row r="1380" spans="1:7" x14ac:dyDescent="0.35">
      <c r="A1380">
        <v>2019</v>
      </c>
      <c r="B1380" t="s">
        <v>55</v>
      </c>
      <c r="C1380" t="s">
        <v>174</v>
      </c>
      <c r="D1380" t="s">
        <v>175</v>
      </c>
      <c r="E1380" t="s">
        <v>113</v>
      </c>
      <c r="F1380" t="s">
        <v>122</v>
      </c>
      <c r="G1380">
        <v>0</v>
      </c>
    </row>
    <row r="1381" spans="1:7" x14ac:dyDescent="0.35">
      <c r="A1381">
        <v>2019</v>
      </c>
      <c r="B1381" t="s">
        <v>55</v>
      </c>
      <c r="C1381" t="s">
        <v>174</v>
      </c>
      <c r="D1381" t="s">
        <v>175</v>
      </c>
      <c r="E1381" t="s">
        <v>114</v>
      </c>
      <c r="F1381" t="s">
        <v>122</v>
      </c>
      <c r="G1381">
        <v>0</v>
      </c>
    </row>
    <row r="1382" spans="1:7" x14ac:dyDescent="0.35">
      <c r="A1382">
        <v>2019</v>
      </c>
      <c r="B1382" t="s">
        <v>38</v>
      </c>
      <c r="C1382" t="s">
        <v>174</v>
      </c>
      <c r="D1382" t="s">
        <v>175</v>
      </c>
      <c r="E1382" t="s">
        <v>112</v>
      </c>
      <c r="F1382" t="s">
        <v>122</v>
      </c>
      <c r="G1382">
        <v>87</v>
      </c>
    </row>
    <row r="1383" spans="1:7" x14ac:dyDescent="0.35">
      <c r="A1383">
        <v>2019</v>
      </c>
      <c r="B1383" t="s">
        <v>38</v>
      </c>
      <c r="C1383" t="s">
        <v>174</v>
      </c>
      <c r="D1383" t="s">
        <v>175</v>
      </c>
      <c r="E1383" t="s">
        <v>91</v>
      </c>
      <c r="F1383" t="s">
        <v>122</v>
      </c>
      <c r="G1383">
        <v>20</v>
      </c>
    </row>
    <row r="1384" spans="1:7" x14ac:dyDescent="0.35">
      <c r="A1384">
        <v>2019</v>
      </c>
      <c r="B1384" t="s">
        <v>38</v>
      </c>
      <c r="C1384" t="s">
        <v>174</v>
      </c>
      <c r="D1384" t="s">
        <v>175</v>
      </c>
      <c r="E1384" t="s">
        <v>113</v>
      </c>
      <c r="F1384" t="s">
        <v>122</v>
      </c>
      <c r="G1384">
        <v>29</v>
      </c>
    </row>
    <row r="1385" spans="1:7" x14ac:dyDescent="0.35">
      <c r="A1385">
        <v>2019</v>
      </c>
      <c r="B1385" t="s">
        <v>38</v>
      </c>
      <c r="C1385" t="s">
        <v>174</v>
      </c>
      <c r="D1385" t="s">
        <v>175</v>
      </c>
      <c r="E1385" t="s">
        <v>114</v>
      </c>
      <c r="F1385" t="s">
        <v>122</v>
      </c>
      <c r="G1385">
        <v>1</v>
      </c>
    </row>
    <row r="1386" spans="1:7" x14ac:dyDescent="0.35">
      <c r="A1386">
        <v>2019</v>
      </c>
      <c r="B1386" t="s">
        <v>39</v>
      </c>
      <c r="C1386" t="s">
        <v>174</v>
      </c>
      <c r="D1386" t="s">
        <v>175</v>
      </c>
      <c r="E1386" t="s">
        <v>112</v>
      </c>
      <c r="F1386" t="s">
        <v>122</v>
      </c>
      <c r="G1386">
        <v>7</v>
      </c>
    </row>
    <row r="1387" spans="1:7" x14ac:dyDescent="0.35">
      <c r="A1387">
        <v>2019</v>
      </c>
      <c r="B1387" t="s">
        <v>39</v>
      </c>
      <c r="C1387" t="s">
        <v>174</v>
      </c>
      <c r="D1387" t="s">
        <v>175</v>
      </c>
      <c r="E1387" t="s">
        <v>91</v>
      </c>
      <c r="F1387" t="s">
        <v>122</v>
      </c>
      <c r="G1387">
        <v>0</v>
      </c>
    </row>
    <row r="1388" spans="1:7" x14ac:dyDescent="0.35">
      <c r="A1388">
        <v>2019</v>
      </c>
      <c r="B1388" t="s">
        <v>39</v>
      </c>
      <c r="C1388" t="s">
        <v>174</v>
      </c>
      <c r="D1388" t="s">
        <v>175</v>
      </c>
      <c r="E1388" t="s">
        <v>113</v>
      </c>
      <c r="F1388" t="s">
        <v>122</v>
      </c>
      <c r="G1388">
        <v>0</v>
      </c>
    </row>
    <row r="1389" spans="1:7" x14ac:dyDescent="0.35">
      <c r="A1389">
        <v>2019</v>
      </c>
      <c r="B1389" t="s">
        <v>39</v>
      </c>
      <c r="C1389" t="s">
        <v>174</v>
      </c>
      <c r="D1389" t="s">
        <v>175</v>
      </c>
      <c r="E1389" t="s">
        <v>114</v>
      </c>
      <c r="F1389" t="s">
        <v>122</v>
      </c>
      <c r="G1389">
        <v>0</v>
      </c>
    </row>
    <row r="1390" spans="1:7" x14ac:dyDescent="0.35">
      <c r="A1390">
        <v>2019</v>
      </c>
      <c r="B1390" t="s">
        <v>40</v>
      </c>
      <c r="C1390" t="s">
        <v>174</v>
      </c>
      <c r="D1390" t="s">
        <v>175</v>
      </c>
      <c r="E1390" t="s">
        <v>112</v>
      </c>
      <c r="F1390" t="s">
        <v>122</v>
      </c>
      <c r="G1390">
        <v>12</v>
      </c>
    </row>
    <row r="1391" spans="1:7" x14ac:dyDescent="0.35">
      <c r="A1391">
        <v>2019</v>
      </c>
      <c r="B1391" t="s">
        <v>40</v>
      </c>
      <c r="C1391" t="s">
        <v>174</v>
      </c>
      <c r="D1391" t="s">
        <v>175</v>
      </c>
      <c r="E1391" t="s">
        <v>91</v>
      </c>
      <c r="F1391" t="s">
        <v>122</v>
      </c>
      <c r="G1391">
        <v>2</v>
      </c>
    </row>
    <row r="1392" spans="1:7" x14ac:dyDescent="0.35">
      <c r="A1392">
        <v>2019</v>
      </c>
      <c r="B1392" t="s">
        <v>40</v>
      </c>
      <c r="C1392" t="s">
        <v>174</v>
      </c>
      <c r="D1392" t="s">
        <v>175</v>
      </c>
      <c r="E1392" t="s">
        <v>113</v>
      </c>
      <c r="F1392" t="s">
        <v>122</v>
      </c>
      <c r="G1392">
        <v>0</v>
      </c>
    </row>
    <row r="1393" spans="1:7" x14ac:dyDescent="0.35">
      <c r="A1393">
        <v>2019</v>
      </c>
      <c r="B1393" t="s">
        <v>40</v>
      </c>
      <c r="C1393" t="s">
        <v>174</v>
      </c>
      <c r="D1393" t="s">
        <v>175</v>
      </c>
      <c r="E1393" t="s">
        <v>114</v>
      </c>
      <c r="F1393" t="s">
        <v>122</v>
      </c>
      <c r="G1393">
        <v>0</v>
      </c>
    </row>
    <row r="1394" spans="1:7" x14ac:dyDescent="0.35">
      <c r="A1394">
        <v>2019</v>
      </c>
      <c r="B1394" t="s">
        <v>41</v>
      </c>
      <c r="C1394" t="s">
        <v>174</v>
      </c>
      <c r="D1394" t="s">
        <v>175</v>
      </c>
      <c r="E1394" t="s">
        <v>112</v>
      </c>
      <c r="F1394" t="s">
        <v>122</v>
      </c>
      <c r="G1394">
        <v>1</v>
      </c>
    </row>
    <row r="1395" spans="1:7" x14ac:dyDescent="0.35">
      <c r="A1395">
        <v>2019</v>
      </c>
      <c r="B1395" t="s">
        <v>41</v>
      </c>
      <c r="C1395" t="s">
        <v>174</v>
      </c>
      <c r="D1395" t="s">
        <v>175</v>
      </c>
      <c r="E1395" t="s">
        <v>91</v>
      </c>
      <c r="F1395" t="s">
        <v>122</v>
      </c>
      <c r="G1395">
        <v>0</v>
      </c>
    </row>
    <row r="1396" spans="1:7" x14ac:dyDescent="0.35">
      <c r="A1396">
        <v>2019</v>
      </c>
      <c r="B1396" t="s">
        <v>41</v>
      </c>
      <c r="C1396" t="s">
        <v>174</v>
      </c>
      <c r="D1396" t="s">
        <v>175</v>
      </c>
      <c r="E1396" t="s">
        <v>113</v>
      </c>
      <c r="F1396" t="s">
        <v>122</v>
      </c>
      <c r="G1396">
        <v>1</v>
      </c>
    </row>
    <row r="1397" spans="1:7" x14ac:dyDescent="0.35">
      <c r="A1397">
        <v>2019</v>
      </c>
      <c r="B1397" t="s">
        <v>41</v>
      </c>
      <c r="C1397" t="s">
        <v>174</v>
      </c>
      <c r="D1397" t="s">
        <v>175</v>
      </c>
      <c r="E1397" t="s">
        <v>114</v>
      </c>
      <c r="F1397" t="s">
        <v>122</v>
      </c>
      <c r="G1397">
        <v>0</v>
      </c>
    </row>
    <row r="1398" spans="1:7" x14ac:dyDescent="0.35">
      <c r="A1398">
        <v>2019</v>
      </c>
      <c r="B1398" t="s">
        <v>58</v>
      </c>
      <c r="C1398" t="s">
        <v>174</v>
      </c>
      <c r="D1398" t="s">
        <v>175</v>
      </c>
      <c r="E1398" t="s">
        <v>112</v>
      </c>
      <c r="F1398" t="s">
        <v>122</v>
      </c>
      <c r="G1398">
        <v>1</v>
      </c>
    </row>
    <row r="1399" spans="1:7" x14ac:dyDescent="0.35">
      <c r="A1399">
        <v>2019</v>
      </c>
      <c r="B1399" t="s">
        <v>58</v>
      </c>
      <c r="C1399" t="s">
        <v>174</v>
      </c>
      <c r="D1399" t="s">
        <v>175</v>
      </c>
      <c r="E1399" t="s">
        <v>91</v>
      </c>
      <c r="F1399" t="s">
        <v>122</v>
      </c>
      <c r="G1399">
        <v>2</v>
      </c>
    </row>
    <row r="1400" spans="1:7" x14ac:dyDescent="0.35">
      <c r="A1400">
        <v>2019</v>
      </c>
      <c r="B1400" t="s">
        <v>58</v>
      </c>
      <c r="C1400" t="s">
        <v>174</v>
      </c>
      <c r="D1400" t="s">
        <v>175</v>
      </c>
      <c r="E1400" t="s">
        <v>113</v>
      </c>
      <c r="F1400" t="s">
        <v>122</v>
      </c>
      <c r="G1400">
        <v>5</v>
      </c>
    </row>
    <row r="1401" spans="1:7" x14ac:dyDescent="0.35">
      <c r="A1401">
        <v>2019</v>
      </c>
      <c r="B1401" t="s">
        <v>58</v>
      </c>
      <c r="C1401" t="s">
        <v>174</v>
      </c>
      <c r="D1401" t="s">
        <v>175</v>
      </c>
      <c r="E1401" t="s">
        <v>114</v>
      </c>
      <c r="F1401" t="s">
        <v>122</v>
      </c>
      <c r="G1401">
        <v>0</v>
      </c>
    </row>
    <row r="1402" spans="1:7" x14ac:dyDescent="0.35">
      <c r="A1402">
        <v>2019</v>
      </c>
      <c r="B1402" t="s">
        <v>42</v>
      </c>
      <c r="C1402" t="s">
        <v>174</v>
      </c>
      <c r="D1402" t="s">
        <v>175</v>
      </c>
      <c r="E1402" t="s">
        <v>112</v>
      </c>
      <c r="F1402" t="s">
        <v>122</v>
      </c>
      <c r="G1402">
        <v>6</v>
      </c>
    </row>
    <row r="1403" spans="1:7" x14ac:dyDescent="0.35">
      <c r="A1403">
        <v>2019</v>
      </c>
      <c r="B1403" t="s">
        <v>42</v>
      </c>
      <c r="C1403" t="s">
        <v>174</v>
      </c>
      <c r="D1403" t="s">
        <v>175</v>
      </c>
      <c r="E1403" t="s">
        <v>91</v>
      </c>
      <c r="F1403" t="s">
        <v>122</v>
      </c>
      <c r="G1403">
        <v>4</v>
      </c>
    </row>
    <row r="1404" spans="1:7" x14ac:dyDescent="0.35">
      <c r="A1404">
        <v>2019</v>
      </c>
      <c r="B1404" t="s">
        <v>42</v>
      </c>
      <c r="C1404" t="s">
        <v>174</v>
      </c>
      <c r="D1404" t="s">
        <v>175</v>
      </c>
      <c r="E1404" t="s">
        <v>113</v>
      </c>
      <c r="F1404" t="s">
        <v>122</v>
      </c>
      <c r="G1404">
        <v>4</v>
      </c>
    </row>
    <row r="1405" spans="1:7" x14ac:dyDescent="0.35">
      <c r="A1405">
        <v>2019</v>
      </c>
      <c r="B1405" t="s">
        <v>42</v>
      </c>
      <c r="C1405" t="s">
        <v>174</v>
      </c>
      <c r="D1405" t="s">
        <v>175</v>
      </c>
      <c r="E1405" t="s">
        <v>114</v>
      </c>
      <c r="F1405" t="s">
        <v>122</v>
      </c>
      <c r="G1405">
        <v>0</v>
      </c>
    </row>
    <row r="1406" spans="1:7" x14ac:dyDescent="0.35">
      <c r="A1406">
        <v>2019</v>
      </c>
      <c r="B1406" t="s">
        <v>44</v>
      </c>
      <c r="C1406" t="s">
        <v>174</v>
      </c>
      <c r="D1406" t="s">
        <v>175</v>
      </c>
      <c r="E1406" t="s">
        <v>112</v>
      </c>
      <c r="F1406" t="s">
        <v>122</v>
      </c>
      <c r="G1406">
        <v>0</v>
      </c>
    </row>
    <row r="1407" spans="1:7" x14ac:dyDescent="0.35">
      <c r="A1407">
        <v>2019</v>
      </c>
      <c r="B1407" t="s">
        <v>44</v>
      </c>
      <c r="C1407" t="s">
        <v>174</v>
      </c>
      <c r="D1407" t="s">
        <v>175</v>
      </c>
      <c r="E1407" t="s">
        <v>91</v>
      </c>
      <c r="F1407" t="s">
        <v>122</v>
      </c>
      <c r="G1407">
        <v>5</v>
      </c>
    </row>
    <row r="1408" spans="1:7" x14ac:dyDescent="0.35">
      <c r="A1408">
        <v>2019</v>
      </c>
      <c r="B1408" t="s">
        <v>44</v>
      </c>
      <c r="C1408" t="s">
        <v>174</v>
      </c>
      <c r="D1408" t="s">
        <v>175</v>
      </c>
      <c r="E1408" t="s">
        <v>113</v>
      </c>
      <c r="F1408" t="s">
        <v>122</v>
      </c>
      <c r="G1408">
        <v>0</v>
      </c>
    </row>
    <row r="1409" spans="1:7" x14ac:dyDescent="0.35">
      <c r="A1409">
        <v>2019</v>
      </c>
      <c r="B1409" t="s">
        <v>44</v>
      </c>
      <c r="C1409" t="s">
        <v>174</v>
      </c>
      <c r="D1409" t="s">
        <v>175</v>
      </c>
      <c r="E1409" t="s">
        <v>114</v>
      </c>
      <c r="F1409" t="s">
        <v>122</v>
      </c>
      <c r="G1409">
        <v>0</v>
      </c>
    </row>
    <row r="1410" spans="1:7" x14ac:dyDescent="0.35">
      <c r="A1410">
        <v>2019</v>
      </c>
      <c r="B1410" t="s">
        <v>45</v>
      </c>
      <c r="C1410" t="s">
        <v>174</v>
      </c>
      <c r="D1410" t="s">
        <v>175</v>
      </c>
      <c r="E1410" t="s">
        <v>112</v>
      </c>
      <c r="F1410" t="s">
        <v>122</v>
      </c>
      <c r="G1410">
        <v>48</v>
      </c>
    </row>
    <row r="1411" spans="1:7" x14ac:dyDescent="0.35">
      <c r="A1411">
        <v>2019</v>
      </c>
      <c r="B1411" t="s">
        <v>45</v>
      </c>
      <c r="C1411" t="s">
        <v>174</v>
      </c>
      <c r="D1411" t="s">
        <v>175</v>
      </c>
      <c r="E1411" t="s">
        <v>91</v>
      </c>
      <c r="F1411" t="s">
        <v>122</v>
      </c>
      <c r="G1411">
        <v>8</v>
      </c>
    </row>
    <row r="1412" spans="1:7" x14ac:dyDescent="0.35">
      <c r="A1412">
        <v>2019</v>
      </c>
      <c r="B1412" t="s">
        <v>45</v>
      </c>
      <c r="C1412" t="s">
        <v>174</v>
      </c>
      <c r="D1412" t="s">
        <v>175</v>
      </c>
      <c r="E1412" t="s">
        <v>113</v>
      </c>
      <c r="F1412" t="s">
        <v>122</v>
      </c>
      <c r="G1412">
        <v>6</v>
      </c>
    </row>
    <row r="1413" spans="1:7" x14ac:dyDescent="0.35">
      <c r="A1413">
        <v>2019</v>
      </c>
      <c r="B1413" t="s">
        <v>45</v>
      </c>
      <c r="C1413" t="s">
        <v>174</v>
      </c>
      <c r="D1413" t="s">
        <v>175</v>
      </c>
      <c r="E1413" t="s">
        <v>114</v>
      </c>
      <c r="F1413" t="s">
        <v>122</v>
      </c>
      <c r="G1413">
        <v>1</v>
      </c>
    </row>
    <row r="1414" spans="1:7" x14ac:dyDescent="0.35">
      <c r="A1414">
        <v>2019</v>
      </c>
      <c r="B1414" t="s">
        <v>46</v>
      </c>
      <c r="C1414" t="s">
        <v>174</v>
      </c>
      <c r="D1414" t="s">
        <v>175</v>
      </c>
      <c r="E1414" t="s">
        <v>112</v>
      </c>
      <c r="F1414" t="s">
        <v>122</v>
      </c>
      <c r="G1414">
        <v>2</v>
      </c>
    </row>
    <row r="1415" spans="1:7" x14ac:dyDescent="0.35">
      <c r="A1415">
        <v>2019</v>
      </c>
      <c r="B1415" t="s">
        <v>46</v>
      </c>
      <c r="C1415" t="s">
        <v>174</v>
      </c>
      <c r="D1415" t="s">
        <v>175</v>
      </c>
      <c r="E1415" t="s">
        <v>91</v>
      </c>
      <c r="F1415" t="s">
        <v>122</v>
      </c>
      <c r="G1415">
        <v>0</v>
      </c>
    </row>
    <row r="1416" spans="1:7" x14ac:dyDescent="0.35">
      <c r="A1416">
        <v>2019</v>
      </c>
      <c r="B1416" t="s">
        <v>46</v>
      </c>
      <c r="C1416" t="s">
        <v>174</v>
      </c>
      <c r="D1416" t="s">
        <v>175</v>
      </c>
      <c r="E1416" t="s">
        <v>113</v>
      </c>
      <c r="F1416" t="s">
        <v>122</v>
      </c>
      <c r="G1416">
        <v>0</v>
      </c>
    </row>
    <row r="1417" spans="1:7" x14ac:dyDescent="0.35">
      <c r="A1417">
        <v>2019</v>
      </c>
      <c r="B1417" t="s">
        <v>46</v>
      </c>
      <c r="C1417" t="s">
        <v>174</v>
      </c>
      <c r="D1417" t="s">
        <v>175</v>
      </c>
      <c r="E1417" t="s">
        <v>114</v>
      </c>
      <c r="F1417" t="s">
        <v>122</v>
      </c>
      <c r="G1417">
        <v>0</v>
      </c>
    </row>
    <row r="1418" spans="1:7" x14ac:dyDescent="0.35">
      <c r="A1418">
        <v>2019</v>
      </c>
      <c r="B1418" t="s">
        <v>47</v>
      </c>
      <c r="C1418" t="s">
        <v>174</v>
      </c>
      <c r="D1418" t="s">
        <v>175</v>
      </c>
      <c r="E1418" t="s">
        <v>112</v>
      </c>
      <c r="F1418" t="s">
        <v>122</v>
      </c>
      <c r="G1418">
        <v>0</v>
      </c>
    </row>
    <row r="1419" spans="1:7" x14ac:dyDescent="0.35">
      <c r="A1419">
        <v>2019</v>
      </c>
      <c r="B1419" t="s">
        <v>47</v>
      </c>
      <c r="C1419" t="s">
        <v>174</v>
      </c>
      <c r="D1419" t="s">
        <v>175</v>
      </c>
      <c r="E1419" t="s">
        <v>91</v>
      </c>
      <c r="F1419" t="s">
        <v>122</v>
      </c>
      <c r="G1419">
        <v>0</v>
      </c>
    </row>
    <row r="1420" spans="1:7" x14ac:dyDescent="0.35">
      <c r="A1420">
        <v>2019</v>
      </c>
      <c r="B1420" t="s">
        <v>47</v>
      </c>
      <c r="C1420" t="s">
        <v>174</v>
      </c>
      <c r="D1420" t="s">
        <v>175</v>
      </c>
      <c r="E1420" t="s">
        <v>113</v>
      </c>
      <c r="F1420" t="s">
        <v>122</v>
      </c>
      <c r="G1420">
        <v>5</v>
      </c>
    </row>
    <row r="1421" spans="1:7" x14ac:dyDescent="0.35">
      <c r="A1421">
        <v>2019</v>
      </c>
      <c r="B1421" t="s">
        <v>47</v>
      </c>
      <c r="C1421" t="s">
        <v>174</v>
      </c>
      <c r="D1421" t="s">
        <v>175</v>
      </c>
      <c r="E1421" t="s">
        <v>114</v>
      </c>
      <c r="F1421" t="s">
        <v>122</v>
      </c>
      <c r="G1421">
        <v>0</v>
      </c>
    </row>
    <row r="1422" spans="1:7" x14ac:dyDescent="0.35">
      <c r="A1422">
        <v>2019</v>
      </c>
      <c r="B1422" t="s">
        <v>48</v>
      </c>
      <c r="C1422" t="s">
        <v>174</v>
      </c>
      <c r="D1422" t="s">
        <v>175</v>
      </c>
      <c r="E1422" t="s">
        <v>112</v>
      </c>
      <c r="F1422" t="s">
        <v>122</v>
      </c>
      <c r="G1422">
        <v>19</v>
      </c>
    </row>
    <row r="1423" spans="1:7" x14ac:dyDescent="0.35">
      <c r="A1423">
        <v>2019</v>
      </c>
      <c r="B1423" t="s">
        <v>48</v>
      </c>
      <c r="C1423" t="s">
        <v>174</v>
      </c>
      <c r="D1423" t="s">
        <v>175</v>
      </c>
      <c r="E1423" t="s">
        <v>91</v>
      </c>
      <c r="F1423" t="s">
        <v>122</v>
      </c>
      <c r="G1423">
        <v>6</v>
      </c>
    </row>
    <row r="1424" spans="1:7" x14ac:dyDescent="0.35">
      <c r="A1424">
        <v>2019</v>
      </c>
      <c r="B1424" t="s">
        <v>48</v>
      </c>
      <c r="C1424" t="s">
        <v>174</v>
      </c>
      <c r="D1424" t="s">
        <v>175</v>
      </c>
      <c r="E1424" t="s">
        <v>113</v>
      </c>
      <c r="F1424" t="s">
        <v>122</v>
      </c>
      <c r="G1424">
        <v>1</v>
      </c>
    </row>
    <row r="1425" spans="1:7" x14ac:dyDescent="0.35">
      <c r="A1425">
        <v>2019</v>
      </c>
      <c r="B1425" t="s">
        <v>48</v>
      </c>
      <c r="C1425" t="s">
        <v>174</v>
      </c>
      <c r="D1425" t="s">
        <v>175</v>
      </c>
      <c r="E1425" t="s">
        <v>114</v>
      </c>
      <c r="F1425" t="s">
        <v>122</v>
      </c>
      <c r="G1425">
        <v>0</v>
      </c>
    </row>
    <row r="1426" spans="1:7" x14ac:dyDescent="0.35">
      <c r="A1426">
        <v>2019</v>
      </c>
      <c r="B1426" t="s">
        <v>49</v>
      </c>
      <c r="C1426" t="s">
        <v>174</v>
      </c>
      <c r="D1426" t="s">
        <v>175</v>
      </c>
      <c r="E1426" t="s">
        <v>112</v>
      </c>
      <c r="F1426" t="s">
        <v>122</v>
      </c>
      <c r="G1426">
        <v>6</v>
      </c>
    </row>
    <row r="1427" spans="1:7" x14ac:dyDescent="0.35">
      <c r="A1427">
        <v>2019</v>
      </c>
      <c r="B1427" t="s">
        <v>49</v>
      </c>
      <c r="C1427" t="s">
        <v>174</v>
      </c>
      <c r="D1427" t="s">
        <v>175</v>
      </c>
      <c r="E1427" t="s">
        <v>91</v>
      </c>
      <c r="F1427" t="s">
        <v>122</v>
      </c>
      <c r="G1427">
        <v>0</v>
      </c>
    </row>
    <row r="1428" spans="1:7" x14ac:dyDescent="0.35">
      <c r="A1428">
        <v>2019</v>
      </c>
      <c r="B1428" t="s">
        <v>49</v>
      </c>
      <c r="C1428" t="s">
        <v>174</v>
      </c>
      <c r="D1428" t="s">
        <v>175</v>
      </c>
      <c r="E1428" t="s">
        <v>113</v>
      </c>
      <c r="F1428" t="s">
        <v>122</v>
      </c>
      <c r="G1428">
        <v>1</v>
      </c>
    </row>
    <row r="1429" spans="1:7" x14ac:dyDescent="0.35">
      <c r="A1429">
        <v>2019</v>
      </c>
      <c r="B1429" t="s">
        <v>49</v>
      </c>
      <c r="C1429" t="s">
        <v>174</v>
      </c>
      <c r="D1429" t="s">
        <v>175</v>
      </c>
      <c r="E1429" t="s">
        <v>114</v>
      </c>
      <c r="F1429" t="s">
        <v>122</v>
      </c>
      <c r="G1429">
        <v>1</v>
      </c>
    </row>
    <row r="1430" spans="1:7" x14ac:dyDescent="0.35">
      <c r="A1430">
        <v>2019</v>
      </c>
      <c r="B1430" t="s">
        <v>59</v>
      </c>
      <c r="C1430" t="s">
        <v>174</v>
      </c>
      <c r="D1430" t="s">
        <v>175</v>
      </c>
      <c r="E1430" t="s">
        <v>112</v>
      </c>
      <c r="F1430" t="s">
        <v>122</v>
      </c>
      <c r="G1430">
        <v>0</v>
      </c>
    </row>
    <row r="1431" spans="1:7" x14ac:dyDescent="0.35">
      <c r="A1431">
        <v>2019</v>
      </c>
      <c r="B1431" t="s">
        <v>59</v>
      </c>
      <c r="C1431" t="s">
        <v>174</v>
      </c>
      <c r="D1431" t="s">
        <v>175</v>
      </c>
      <c r="E1431" t="s">
        <v>91</v>
      </c>
      <c r="F1431" t="s">
        <v>122</v>
      </c>
      <c r="G1431">
        <v>0</v>
      </c>
    </row>
    <row r="1432" spans="1:7" x14ac:dyDescent="0.35">
      <c r="A1432">
        <v>2019</v>
      </c>
      <c r="B1432" t="s">
        <v>59</v>
      </c>
      <c r="C1432" t="s">
        <v>174</v>
      </c>
      <c r="D1432" t="s">
        <v>175</v>
      </c>
      <c r="E1432" t="s">
        <v>113</v>
      </c>
      <c r="F1432" t="s">
        <v>122</v>
      </c>
      <c r="G1432">
        <v>0</v>
      </c>
    </row>
    <row r="1433" spans="1:7" x14ac:dyDescent="0.35">
      <c r="A1433">
        <v>2019</v>
      </c>
      <c r="B1433" t="s">
        <v>59</v>
      </c>
      <c r="C1433" t="s">
        <v>174</v>
      </c>
      <c r="D1433" t="s">
        <v>175</v>
      </c>
      <c r="E1433" t="s">
        <v>114</v>
      </c>
      <c r="F1433" t="s">
        <v>122</v>
      </c>
      <c r="G1433">
        <v>0</v>
      </c>
    </row>
    <row r="1434" spans="1:7" x14ac:dyDescent="0.35">
      <c r="A1434">
        <v>2019</v>
      </c>
      <c r="B1434" t="s">
        <v>50</v>
      </c>
      <c r="C1434" t="s">
        <v>174</v>
      </c>
      <c r="D1434" t="s">
        <v>175</v>
      </c>
      <c r="E1434" t="s">
        <v>112</v>
      </c>
      <c r="F1434" t="s">
        <v>122</v>
      </c>
      <c r="G1434">
        <v>0</v>
      </c>
    </row>
    <row r="1435" spans="1:7" x14ac:dyDescent="0.35">
      <c r="A1435">
        <v>2019</v>
      </c>
      <c r="B1435" t="s">
        <v>50</v>
      </c>
      <c r="C1435" t="s">
        <v>174</v>
      </c>
      <c r="D1435" t="s">
        <v>175</v>
      </c>
      <c r="E1435" t="s">
        <v>91</v>
      </c>
      <c r="F1435" t="s">
        <v>122</v>
      </c>
      <c r="G1435">
        <v>0</v>
      </c>
    </row>
    <row r="1436" spans="1:7" x14ac:dyDescent="0.35">
      <c r="A1436">
        <v>2019</v>
      </c>
      <c r="B1436" t="s">
        <v>50</v>
      </c>
      <c r="C1436" t="s">
        <v>174</v>
      </c>
      <c r="D1436" t="s">
        <v>175</v>
      </c>
      <c r="E1436" t="s">
        <v>113</v>
      </c>
      <c r="F1436" t="s">
        <v>122</v>
      </c>
      <c r="G1436">
        <v>0</v>
      </c>
    </row>
    <row r="1437" spans="1:7" x14ac:dyDescent="0.35">
      <c r="A1437">
        <v>2019</v>
      </c>
      <c r="B1437" t="s">
        <v>50</v>
      </c>
      <c r="C1437" t="s">
        <v>174</v>
      </c>
      <c r="D1437" t="s">
        <v>175</v>
      </c>
      <c r="E1437" t="s">
        <v>114</v>
      </c>
      <c r="F1437" t="s">
        <v>122</v>
      </c>
      <c r="G1437">
        <v>0</v>
      </c>
    </row>
    <row r="1438" spans="1:7" x14ac:dyDescent="0.35">
      <c r="A1438">
        <v>2019</v>
      </c>
      <c r="B1438" t="s">
        <v>51</v>
      </c>
      <c r="C1438" t="s">
        <v>174</v>
      </c>
      <c r="D1438" t="s">
        <v>175</v>
      </c>
      <c r="E1438" t="s">
        <v>112</v>
      </c>
      <c r="F1438" t="s">
        <v>122</v>
      </c>
      <c r="G1438">
        <v>31</v>
      </c>
    </row>
    <row r="1439" spans="1:7" x14ac:dyDescent="0.35">
      <c r="A1439">
        <v>2019</v>
      </c>
      <c r="B1439" t="s">
        <v>51</v>
      </c>
      <c r="C1439" t="s">
        <v>174</v>
      </c>
      <c r="D1439" t="s">
        <v>175</v>
      </c>
      <c r="E1439" t="s">
        <v>91</v>
      </c>
      <c r="F1439" t="s">
        <v>122</v>
      </c>
      <c r="G1439">
        <v>5</v>
      </c>
    </row>
    <row r="1440" spans="1:7" x14ac:dyDescent="0.35">
      <c r="A1440">
        <v>2019</v>
      </c>
      <c r="B1440" t="s">
        <v>51</v>
      </c>
      <c r="C1440" t="s">
        <v>174</v>
      </c>
      <c r="D1440" t="s">
        <v>175</v>
      </c>
      <c r="E1440" t="s">
        <v>113</v>
      </c>
      <c r="F1440" t="s">
        <v>122</v>
      </c>
      <c r="G1440">
        <v>2</v>
      </c>
    </row>
    <row r="1441" spans="1:7" x14ac:dyDescent="0.35">
      <c r="A1441">
        <v>2019</v>
      </c>
      <c r="B1441" t="s">
        <v>51</v>
      </c>
      <c r="C1441" t="s">
        <v>174</v>
      </c>
      <c r="D1441" t="s">
        <v>175</v>
      </c>
      <c r="E1441" t="s">
        <v>114</v>
      </c>
      <c r="F1441" t="s">
        <v>122</v>
      </c>
      <c r="G1441">
        <v>0</v>
      </c>
    </row>
    <row r="1442" spans="1:7" x14ac:dyDescent="0.35">
      <c r="A1442">
        <v>2019</v>
      </c>
      <c r="B1442" t="s">
        <v>52</v>
      </c>
      <c r="C1442" t="s">
        <v>174</v>
      </c>
      <c r="D1442" t="s">
        <v>175</v>
      </c>
      <c r="E1442" t="s">
        <v>112</v>
      </c>
      <c r="F1442" t="s">
        <v>122</v>
      </c>
      <c r="G1442">
        <v>0</v>
      </c>
    </row>
    <row r="1443" spans="1:7" x14ac:dyDescent="0.35">
      <c r="A1443">
        <v>2019</v>
      </c>
      <c r="B1443" t="s">
        <v>52</v>
      </c>
      <c r="C1443" t="s">
        <v>174</v>
      </c>
      <c r="D1443" t="s">
        <v>175</v>
      </c>
      <c r="E1443" t="s">
        <v>91</v>
      </c>
      <c r="F1443" t="s">
        <v>122</v>
      </c>
      <c r="G1443">
        <v>0</v>
      </c>
    </row>
    <row r="1444" spans="1:7" x14ac:dyDescent="0.35">
      <c r="A1444">
        <v>2019</v>
      </c>
      <c r="B1444" t="s">
        <v>52</v>
      </c>
      <c r="C1444" t="s">
        <v>174</v>
      </c>
      <c r="D1444" t="s">
        <v>175</v>
      </c>
      <c r="E1444" t="s">
        <v>113</v>
      </c>
      <c r="F1444" t="s">
        <v>122</v>
      </c>
      <c r="G1444">
        <v>0</v>
      </c>
    </row>
    <row r="1445" spans="1:7" x14ac:dyDescent="0.35">
      <c r="A1445">
        <v>2019</v>
      </c>
      <c r="B1445" t="s">
        <v>52</v>
      </c>
      <c r="C1445" t="s">
        <v>174</v>
      </c>
      <c r="D1445" t="s">
        <v>175</v>
      </c>
      <c r="E1445" t="s">
        <v>114</v>
      </c>
      <c r="F1445" t="s">
        <v>122</v>
      </c>
      <c r="G1445">
        <v>0</v>
      </c>
    </row>
    <row r="1446" spans="1:7" x14ac:dyDescent="0.35">
      <c r="A1446">
        <v>2019</v>
      </c>
      <c r="B1446" t="s">
        <v>60</v>
      </c>
      <c r="C1446" t="s">
        <v>174</v>
      </c>
      <c r="D1446" t="s">
        <v>175</v>
      </c>
      <c r="E1446" t="s">
        <v>112</v>
      </c>
      <c r="F1446" t="s">
        <v>122</v>
      </c>
      <c r="G1446">
        <v>0</v>
      </c>
    </row>
    <row r="1447" spans="1:7" x14ac:dyDescent="0.35">
      <c r="A1447">
        <v>2019</v>
      </c>
      <c r="B1447" t="s">
        <v>60</v>
      </c>
      <c r="C1447" t="s">
        <v>174</v>
      </c>
      <c r="D1447" t="s">
        <v>175</v>
      </c>
      <c r="E1447" t="s">
        <v>91</v>
      </c>
      <c r="F1447" t="s">
        <v>122</v>
      </c>
      <c r="G1447">
        <v>0</v>
      </c>
    </row>
    <row r="1448" spans="1:7" x14ac:dyDescent="0.35">
      <c r="A1448">
        <v>2019</v>
      </c>
      <c r="B1448" t="s">
        <v>60</v>
      </c>
      <c r="C1448" t="s">
        <v>174</v>
      </c>
      <c r="D1448" t="s">
        <v>175</v>
      </c>
      <c r="E1448" t="s">
        <v>113</v>
      </c>
      <c r="F1448" t="s">
        <v>122</v>
      </c>
      <c r="G1448">
        <v>0</v>
      </c>
    </row>
    <row r="1449" spans="1:7" x14ac:dyDescent="0.35">
      <c r="A1449">
        <v>2019</v>
      </c>
      <c r="B1449" t="s">
        <v>60</v>
      </c>
      <c r="C1449" t="s">
        <v>174</v>
      </c>
      <c r="D1449" t="s">
        <v>175</v>
      </c>
      <c r="E1449" t="s">
        <v>114</v>
      </c>
      <c r="F1449" t="s">
        <v>122</v>
      </c>
      <c r="G1449">
        <v>0</v>
      </c>
    </row>
    <row r="1450" spans="1:7" x14ac:dyDescent="0.35">
      <c r="A1450">
        <v>2019</v>
      </c>
      <c r="B1450" t="s">
        <v>53</v>
      </c>
      <c r="C1450" t="s">
        <v>174</v>
      </c>
      <c r="D1450" t="s">
        <v>175</v>
      </c>
      <c r="E1450" t="s">
        <v>112</v>
      </c>
      <c r="F1450" t="s">
        <v>122</v>
      </c>
      <c r="G1450">
        <v>4</v>
      </c>
    </row>
    <row r="1451" spans="1:7" x14ac:dyDescent="0.35">
      <c r="A1451">
        <v>2019</v>
      </c>
      <c r="B1451" t="s">
        <v>53</v>
      </c>
      <c r="C1451" t="s">
        <v>174</v>
      </c>
      <c r="D1451" t="s">
        <v>175</v>
      </c>
      <c r="E1451" t="s">
        <v>91</v>
      </c>
      <c r="F1451" t="s">
        <v>122</v>
      </c>
      <c r="G1451">
        <v>4</v>
      </c>
    </row>
    <row r="1452" spans="1:7" x14ac:dyDescent="0.35">
      <c r="A1452">
        <v>2019</v>
      </c>
      <c r="B1452" t="s">
        <v>53</v>
      </c>
      <c r="C1452" t="s">
        <v>174</v>
      </c>
      <c r="D1452" t="s">
        <v>175</v>
      </c>
      <c r="E1452" t="s">
        <v>113</v>
      </c>
      <c r="F1452" t="s">
        <v>122</v>
      </c>
      <c r="G1452">
        <v>2</v>
      </c>
    </row>
    <row r="1453" spans="1:7" x14ac:dyDescent="0.35">
      <c r="A1453">
        <v>2019</v>
      </c>
      <c r="B1453" t="s">
        <v>53</v>
      </c>
      <c r="C1453" t="s">
        <v>174</v>
      </c>
      <c r="D1453" t="s">
        <v>175</v>
      </c>
      <c r="E1453" t="s">
        <v>114</v>
      </c>
      <c r="F1453" t="s">
        <v>122</v>
      </c>
      <c r="G1453">
        <v>0</v>
      </c>
    </row>
    <row r="1454" spans="1:7" x14ac:dyDescent="0.35">
      <c r="A1454">
        <v>2019</v>
      </c>
      <c r="B1454" t="s">
        <v>61</v>
      </c>
      <c r="C1454" t="s">
        <v>174</v>
      </c>
      <c r="D1454" t="s">
        <v>175</v>
      </c>
      <c r="E1454" t="s">
        <v>112</v>
      </c>
      <c r="F1454" t="s">
        <v>122</v>
      </c>
      <c r="G1454">
        <v>0</v>
      </c>
    </row>
    <row r="1455" spans="1:7" x14ac:dyDescent="0.35">
      <c r="A1455">
        <v>2019</v>
      </c>
      <c r="B1455" t="s">
        <v>61</v>
      </c>
      <c r="C1455" t="s">
        <v>174</v>
      </c>
      <c r="D1455" t="s">
        <v>175</v>
      </c>
      <c r="E1455" t="s">
        <v>91</v>
      </c>
      <c r="F1455" t="s">
        <v>122</v>
      </c>
      <c r="G1455">
        <v>3</v>
      </c>
    </row>
    <row r="1456" spans="1:7" x14ac:dyDescent="0.35">
      <c r="A1456">
        <v>2019</v>
      </c>
      <c r="B1456" t="s">
        <v>61</v>
      </c>
      <c r="C1456" t="s">
        <v>174</v>
      </c>
      <c r="D1456" t="s">
        <v>175</v>
      </c>
      <c r="E1456" t="s">
        <v>113</v>
      </c>
      <c r="F1456" t="s">
        <v>122</v>
      </c>
      <c r="G1456">
        <v>2</v>
      </c>
    </row>
    <row r="1457" spans="1:7" x14ac:dyDescent="0.35">
      <c r="A1457">
        <v>2019</v>
      </c>
      <c r="B1457" t="s">
        <v>61</v>
      </c>
      <c r="C1457" t="s">
        <v>174</v>
      </c>
      <c r="D1457" t="s">
        <v>175</v>
      </c>
      <c r="E1457" t="s">
        <v>114</v>
      </c>
      <c r="F1457" t="s">
        <v>122</v>
      </c>
      <c r="G1457">
        <v>0</v>
      </c>
    </row>
    <row r="1458" spans="1:7" x14ac:dyDescent="0.35">
      <c r="A1458">
        <v>2019</v>
      </c>
      <c r="B1458" t="s">
        <v>54</v>
      </c>
      <c r="C1458" t="s">
        <v>174</v>
      </c>
      <c r="D1458" t="s">
        <v>175</v>
      </c>
      <c r="E1458" t="s">
        <v>112</v>
      </c>
      <c r="F1458" t="s">
        <v>122</v>
      </c>
      <c r="G1458">
        <v>14</v>
      </c>
    </row>
    <row r="1459" spans="1:7" x14ac:dyDescent="0.35">
      <c r="A1459">
        <v>2019</v>
      </c>
      <c r="B1459" t="s">
        <v>54</v>
      </c>
      <c r="C1459" t="s">
        <v>174</v>
      </c>
      <c r="D1459" t="s">
        <v>175</v>
      </c>
      <c r="E1459" t="s">
        <v>91</v>
      </c>
      <c r="F1459" t="s">
        <v>122</v>
      </c>
      <c r="G1459">
        <v>4</v>
      </c>
    </row>
    <row r="1460" spans="1:7" x14ac:dyDescent="0.35">
      <c r="A1460">
        <v>2019</v>
      </c>
      <c r="B1460" t="s">
        <v>54</v>
      </c>
      <c r="C1460" t="s">
        <v>174</v>
      </c>
      <c r="D1460" t="s">
        <v>175</v>
      </c>
      <c r="E1460" t="s">
        <v>113</v>
      </c>
      <c r="F1460" t="s">
        <v>122</v>
      </c>
      <c r="G1460">
        <v>10</v>
      </c>
    </row>
    <row r="1461" spans="1:7" x14ac:dyDescent="0.35">
      <c r="A1461">
        <v>2019</v>
      </c>
      <c r="B1461" t="s">
        <v>54</v>
      </c>
      <c r="C1461" t="s">
        <v>174</v>
      </c>
      <c r="D1461" t="s">
        <v>175</v>
      </c>
      <c r="E1461" t="s">
        <v>114</v>
      </c>
      <c r="F1461" t="s">
        <v>122</v>
      </c>
      <c r="G1461">
        <v>0</v>
      </c>
    </row>
    <row r="1462" spans="1:7" x14ac:dyDescent="0.35">
      <c r="A1462">
        <v>2019</v>
      </c>
      <c r="B1462" t="s">
        <v>62</v>
      </c>
      <c r="C1462" t="s">
        <v>174</v>
      </c>
      <c r="D1462" t="s">
        <v>175</v>
      </c>
      <c r="E1462" t="s">
        <v>112</v>
      </c>
      <c r="F1462" t="s">
        <v>122</v>
      </c>
      <c r="G1462">
        <v>0</v>
      </c>
    </row>
    <row r="1463" spans="1:7" x14ac:dyDescent="0.35">
      <c r="A1463">
        <v>2019</v>
      </c>
      <c r="B1463" t="s">
        <v>62</v>
      </c>
      <c r="C1463" t="s">
        <v>174</v>
      </c>
      <c r="D1463" t="s">
        <v>175</v>
      </c>
      <c r="E1463" t="s">
        <v>91</v>
      </c>
      <c r="F1463" t="s">
        <v>122</v>
      </c>
      <c r="G1463">
        <v>0</v>
      </c>
    </row>
    <row r="1464" spans="1:7" x14ac:dyDescent="0.35">
      <c r="A1464">
        <v>2019</v>
      </c>
      <c r="B1464" t="s">
        <v>62</v>
      </c>
      <c r="C1464" t="s">
        <v>174</v>
      </c>
      <c r="D1464" t="s">
        <v>175</v>
      </c>
      <c r="E1464" t="s">
        <v>113</v>
      </c>
      <c r="F1464" t="s">
        <v>122</v>
      </c>
      <c r="G1464">
        <v>4</v>
      </c>
    </row>
    <row r="1465" spans="1:7" x14ac:dyDescent="0.35">
      <c r="A1465">
        <v>2019</v>
      </c>
      <c r="B1465" t="s">
        <v>62</v>
      </c>
      <c r="C1465" t="s">
        <v>174</v>
      </c>
      <c r="D1465" t="s">
        <v>175</v>
      </c>
      <c r="E1465" t="s">
        <v>114</v>
      </c>
      <c r="F1465" t="s">
        <v>122</v>
      </c>
      <c r="G1465">
        <v>0</v>
      </c>
    </row>
    <row r="1466" spans="1:7" x14ac:dyDescent="0.35">
      <c r="A1466">
        <v>2019</v>
      </c>
      <c r="B1466" t="s">
        <v>28</v>
      </c>
      <c r="C1466" t="s">
        <v>174</v>
      </c>
      <c r="D1466" t="s">
        <v>175</v>
      </c>
      <c r="E1466" t="s">
        <v>112</v>
      </c>
      <c r="F1466" t="s">
        <v>122</v>
      </c>
      <c r="G1466">
        <v>7</v>
      </c>
    </row>
    <row r="1467" spans="1:7" x14ac:dyDescent="0.35">
      <c r="A1467">
        <v>2019</v>
      </c>
      <c r="B1467" t="s">
        <v>28</v>
      </c>
      <c r="C1467" t="s">
        <v>174</v>
      </c>
      <c r="D1467" t="s">
        <v>175</v>
      </c>
      <c r="E1467" t="s">
        <v>91</v>
      </c>
      <c r="F1467" t="s">
        <v>122</v>
      </c>
      <c r="G1467">
        <v>22</v>
      </c>
    </row>
    <row r="1468" spans="1:7" x14ac:dyDescent="0.35">
      <c r="A1468">
        <v>2019</v>
      </c>
      <c r="B1468" t="s">
        <v>28</v>
      </c>
      <c r="C1468" t="s">
        <v>174</v>
      </c>
      <c r="D1468" t="s">
        <v>175</v>
      </c>
      <c r="E1468" t="s">
        <v>113</v>
      </c>
      <c r="F1468" t="s">
        <v>122</v>
      </c>
      <c r="G1468">
        <v>5</v>
      </c>
    </row>
    <row r="1469" spans="1:7" x14ac:dyDescent="0.35">
      <c r="A1469">
        <v>2019</v>
      </c>
      <c r="B1469" t="s">
        <v>28</v>
      </c>
      <c r="C1469" t="s">
        <v>174</v>
      </c>
      <c r="D1469" t="s">
        <v>175</v>
      </c>
      <c r="E1469" t="s">
        <v>114</v>
      </c>
      <c r="F1469" t="s">
        <v>122</v>
      </c>
      <c r="G1469">
        <v>0</v>
      </c>
    </row>
    <row r="1470" spans="1:7" x14ac:dyDescent="0.35">
      <c r="A1470">
        <v>2019</v>
      </c>
      <c r="B1470" t="s">
        <v>43</v>
      </c>
      <c r="C1470" t="s">
        <v>174</v>
      </c>
      <c r="D1470" t="s">
        <v>175</v>
      </c>
      <c r="E1470" t="s">
        <v>112</v>
      </c>
      <c r="F1470" t="s">
        <v>122</v>
      </c>
      <c r="G1470">
        <v>0</v>
      </c>
    </row>
    <row r="1471" spans="1:7" x14ac:dyDescent="0.35">
      <c r="A1471">
        <v>2019</v>
      </c>
      <c r="B1471" t="s">
        <v>43</v>
      </c>
      <c r="C1471" t="s">
        <v>174</v>
      </c>
      <c r="D1471" t="s">
        <v>175</v>
      </c>
      <c r="E1471" t="s">
        <v>91</v>
      </c>
      <c r="F1471" t="s">
        <v>122</v>
      </c>
      <c r="G1471">
        <v>0</v>
      </c>
    </row>
    <row r="1472" spans="1:7" x14ac:dyDescent="0.35">
      <c r="A1472">
        <v>2019</v>
      </c>
      <c r="B1472" t="s">
        <v>43</v>
      </c>
      <c r="C1472" t="s">
        <v>174</v>
      </c>
      <c r="D1472" t="s">
        <v>175</v>
      </c>
      <c r="E1472" t="s">
        <v>113</v>
      </c>
      <c r="F1472" t="s">
        <v>122</v>
      </c>
      <c r="G1472">
        <v>0</v>
      </c>
    </row>
    <row r="1473" spans="1:7" x14ac:dyDescent="0.35">
      <c r="A1473">
        <v>2019</v>
      </c>
      <c r="B1473" t="s">
        <v>43</v>
      </c>
      <c r="C1473" t="s">
        <v>174</v>
      </c>
      <c r="D1473" t="s">
        <v>175</v>
      </c>
      <c r="E1473" t="s">
        <v>114</v>
      </c>
      <c r="F1473" t="s">
        <v>122</v>
      </c>
      <c r="G1473">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AC701-38D9-466E-920B-C2887E4838AE}">
  <sheetPr codeName="Sheet8"/>
  <dimension ref="B2:R74"/>
  <sheetViews>
    <sheetView topLeftCell="A34" workbookViewId="0">
      <selection activeCell="A4" sqref="A4:L4"/>
    </sheetView>
  </sheetViews>
  <sheetFormatPr defaultColWidth="8.81640625" defaultRowHeight="13" x14ac:dyDescent="0.3"/>
  <cols>
    <col min="1" max="15" width="8.81640625" style="75"/>
    <col min="16" max="16" width="13.54296875" style="75" bestFit="1" customWidth="1"/>
    <col min="17" max="16384" width="8.81640625" style="75"/>
  </cols>
  <sheetData>
    <row r="2" spans="2:18" x14ac:dyDescent="0.3">
      <c r="B2" s="74" t="s">
        <v>95</v>
      </c>
      <c r="C2" s="75" t="s">
        <v>96</v>
      </c>
    </row>
    <row r="3" spans="2:18" ht="14.5" x14ac:dyDescent="0.35">
      <c r="B3" s="76" t="s">
        <v>97</v>
      </c>
      <c r="C3" s="75" t="s">
        <v>98</v>
      </c>
    </row>
    <row r="4" spans="2:18" ht="14.5" x14ac:dyDescent="0.35">
      <c r="B4" s="76"/>
    </row>
    <row r="6" spans="2:18" ht="14.5" x14ac:dyDescent="0.35">
      <c r="B6" s="77" t="s">
        <v>99</v>
      </c>
      <c r="D6" s="77" t="s">
        <v>100</v>
      </c>
      <c r="F6" s="77" t="s">
        <v>101</v>
      </c>
      <c r="H6" s="78">
        <f>MAX(H8:H53)</f>
        <v>46</v>
      </c>
      <c r="I6" s="77" t="s">
        <v>102</v>
      </c>
      <c r="K6" s="77" t="s">
        <v>103</v>
      </c>
      <c r="M6" s="79"/>
      <c r="N6" s="80"/>
      <c r="O6" s="81"/>
      <c r="P6" s="80"/>
      <c r="Q6" s="80"/>
      <c r="R6" s="80"/>
    </row>
    <row r="7" spans="2:18" ht="14.5" x14ac:dyDescent="0.35">
      <c r="B7" s="82" t="s">
        <v>104</v>
      </c>
      <c r="D7" s="83" t="s">
        <v>105</v>
      </c>
      <c r="F7" s="83" t="s">
        <v>106</v>
      </c>
      <c r="H7" s="78">
        <v>47</v>
      </c>
      <c r="I7" s="74" t="e">
        <f>VLOOKUP(H7,H8:I53,2,FALSE)</f>
        <v>#N/A</v>
      </c>
      <c r="K7" s="83" t="str">
        <f>CONCATENATE("_",D7,".xlsx")</f>
        <v>_2018_19.xlsx</v>
      </c>
      <c r="M7" s="84"/>
      <c r="N7" s="80"/>
      <c r="O7" s="81"/>
      <c r="P7" s="80"/>
      <c r="Q7" s="80"/>
      <c r="R7" s="80"/>
    </row>
    <row r="8" spans="2:18" ht="14.5" x14ac:dyDescent="0.35">
      <c r="D8" s="85" t="str">
        <f>CONCATENATE(LEFT(D7,4),"-",RIGHT(D7,2))</f>
        <v>2018-19</v>
      </c>
      <c r="H8" s="75">
        <v>1</v>
      </c>
      <c r="I8" s="86" t="s">
        <v>17</v>
      </c>
      <c r="M8" s="87"/>
      <c r="N8" s="80"/>
      <c r="O8" s="80"/>
      <c r="P8" s="87"/>
      <c r="Q8" s="80"/>
      <c r="R8" s="80"/>
    </row>
    <row r="9" spans="2:18" ht="14.5" x14ac:dyDescent="0.35">
      <c r="D9" s="74" t="str">
        <f>CONCATENATE(LEFT(D7,2),RIGHT(D7,2))</f>
        <v>2019</v>
      </c>
      <c r="H9" s="75">
        <v>2</v>
      </c>
      <c r="I9" s="86" t="s">
        <v>18</v>
      </c>
      <c r="M9" s="87"/>
      <c r="N9" s="80"/>
      <c r="O9" s="80"/>
      <c r="P9" s="88"/>
      <c r="Q9" s="80"/>
      <c r="R9" s="80"/>
    </row>
    <row r="10" spans="2:18" ht="14.5" x14ac:dyDescent="0.35">
      <c r="H10" s="75">
        <v>3</v>
      </c>
      <c r="I10" s="86" t="s">
        <v>19</v>
      </c>
      <c r="M10" s="88"/>
      <c r="N10" s="80"/>
      <c r="O10" s="80"/>
      <c r="P10" s="88"/>
      <c r="Q10" s="80"/>
      <c r="R10" s="80"/>
    </row>
    <row r="11" spans="2:18" ht="14.5" x14ac:dyDescent="0.35">
      <c r="H11" s="75">
        <v>4</v>
      </c>
      <c r="I11" s="86" t="s">
        <v>20</v>
      </c>
      <c r="M11" s="88"/>
      <c r="N11" s="80"/>
      <c r="O11" s="80"/>
      <c r="P11" s="88"/>
      <c r="Q11" s="80"/>
      <c r="R11" s="80"/>
    </row>
    <row r="12" spans="2:18" ht="14.5" x14ac:dyDescent="0.35">
      <c r="H12" s="75">
        <v>5</v>
      </c>
      <c r="I12" s="86" t="s">
        <v>21</v>
      </c>
      <c r="M12" s="89"/>
      <c r="P12" s="89"/>
      <c r="R12" s="89"/>
    </row>
    <row r="13" spans="2:18" ht="14.5" x14ac:dyDescent="0.35">
      <c r="H13" s="75">
        <v>6</v>
      </c>
      <c r="I13" s="86" t="s">
        <v>22</v>
      </c>
      <c r="M13" s="90" t="s">
        <v>107</v>
      </c>
      <c r="O13" s="78">
        <f>MAX(O15:O19)</f>
        <v>4</v>
      </c>
      <c r="P13" s="77" t="s">
        <v>108</v>
      </c>
      <c r="Q13" s="77" t="s">
        <v>109</v>
      </c>
      <c r="R13" s="77" t="s">
        <v>110</v>
      </c>
    </row>
    <row r="14" spans="2:18" ht="14.5" x14ac:dyDescent="0.35">
      <c r="H14" s="75">
        <v>7</v>
      </c>
      <c r="I14" s="86" t="s">
        <v>23</v>
      </c>
      <c r="M14" s="91" t="s">
        <v>111</v>
      </c>
      <c r="O14" s="78">
        <v>5</v>
      </c>
      <c r="P14" s="74" t="e">
        <f>VLOOKUP(O14,O15:P19,2,FALSE)</f>
        <v>#N/A</v>
      </c>
      <c r="Q14" s="74" t="e">
        <f>VLOOKUP(P14,P15:Q19,2,FALSE)</f>
        <v>#N/A</v>
      </c>
      <c r="R14" s="74" t="e">
        <f>VLOOKUP(Q14,Q15:R19,2,FALSE)</f>
        <v>#N/A</v>
      </c>
    </row>
    <row r="15" spans="2:18" ht="14.5" x14ac:dyDescent="0.35">
      <c r="H15" s="75">
        <v>8</v>
      </c>
      <c r="I15" s="86" t="s">
        <v>24</v>
      </c>
      <c r="M15" s="87"/>
      <c r="O15" s="75">
        <v>1</v>
      </c>
      <c r="P15" s="76" t="s">
        <v>141</v>
      </c>
      <c r="Q15" s="75" t="s">
        <v>112</v>
      </c>
      <c r="R15" s="80" t="s">
        <v>7</v>
      </c>
    </row>
    <row r="16" spans="2:18" ht="14.5" x14ac:dyDescent="0.35">
      <c r="H16" s="75">
        <v>9</v>
      </c>
      <c r="I16" s="86" t="s">
        <v>25</v>
      </c>
      <c r="M16" s="87"/>
      <c r="O16" s="75">
        <v>2</v>
      </c>
      <c r="P16" s="76" t="s">
        <v>142</v>
      </c>
      <c r="Q16" s="75" t="s">
        <v>91</v>
      </c>
      <c r="R16" s="80" t="s">
        <v>7</v>
      </c>
    </row>
    <row r="17" spans="8:18" ht="14.5" x14ac:dyDescent="0.35">
      <c r="H17" s="75">
        <v>10</v>
      </c>
      <c r="I17" s="86" t="s">
        <v>26</v>
      </c>
      <c r="M17" s="87"/>
      <c r="O17" s="75">
        <v>3</v>
      </c>
      <c r="P17" s="76" t="s">
        <v>143</v>
      </c>
      <c r="Q17" s="75" t="s">
        <v>113</v>
      </c>
      <c r="R17" s="80" t="s">
        <v>7</v>
      </c>
    </row>
    <row r="18" spans="8:18" ht="14.5" x14ac:dyDescent="0.35">
      <c r="H18" s="75">
        <v>11</v>
      </c>
      <c r="I18" s="86" t="s">
        <v>27</v>
      </c>
      <c r="M18" s="87"/>
      <c r="O18" s="75">
        <v>4</v>
      </c>
      <c r="P18" s="76" t="s">
        <v>144</v>
      </c>
      <c r="Q18" s="75" t="s">
        <v>114</v>
      </c>
      <c r="R18" s="80" t="s">
        <v>7</v>
      </c>
    </row>
    <row r="19" spans="8:18" ht="14.5" x14ac:dyDescent="0.35">
      <c r="H19" s="75">
        <v>12</v>
      </c>
      <c r="I19" s="86" t="s">
        <v>29</v>
      </c>
      <c r="M19" s="87"/>
      <c r="P19" s="76"/>
      <c r="R19" s="80"/>
    </row>
    <row r="20" spans="8:18" ht="14.5" x14ac:dyDescent="0.35">
      <c r="H20" s="75">
        <v>13</v>
      </c>
      <c r="I20" s="86" t="s">
        <v>30</v>
      </c>
      <c r="M20" s="90" t="s">
        <v>107</v>
      </c>
      <c r="O20" s="78">
        <f>MAX(O22:O26)</f>
        <v>4</v>
      </c>
      <c r="P20" s="77" t="s">
        <v>115</v>
      </c>
      <c r="Q20" s="77" t="s">
        <v>116</v>
      </c>
      <c r="R20" s="77" t="s">
        <v>117</v>
      </c>
    </row>
    <row r="21" spans="8:18" ht="14.5" x14ac:dyDescent="0.35">
      <c r="H21" s="75">
        <v>14</v>
      </c>
      <c r="I21" s="86" t="s">
        <v>31</v>
      </c>
      <c r="M21" s="91" t="s">
        <v>111</v>
      </c>
      <c r="O21" s="78">
        <v>5</v>
      </c>
      <c r="P21" s="74" t="e">
        <f>VLOOKUP(O21,O22:P26,2,FALSE)</f>
        <v>#N/A</v>
      </c>
      <c r="Q21" s="74" t="e">
        <f>VLOOKUP(P21,P22:Q26,2,FALSE)</f>
        <v>#N/A</v>
      </c>
      <c r="R21" s="74" t="e">
        <f>VLOOKUP(Q21,Q22:R26,2,FALSE)</f>
        <v>#N/A</v>
      </c>
    </row>
    <row r="22" spans="8:18" ht="14.5" x14ac:dyDescent="0.35">
      <c r="H22" s="75">
        <v>15</v>
      </c>
      <c r="I22" s="86" t="s">
        <v>32</v>
      </c>
      <c r="M22" s="87"/>
      <c r="O22" s="75">
        <v>1</v>
      </c>
      <c r="P22" s="76" t="s">
        <v>145</v>
      </c>
      <c r="Q22" s="75" t="s">
        <v>112</v>
      </c>
      <c r="R22" s="80" t="s">
        <v>118</v>
      </c>
    </row>
    <row r="23" spans="8:18" ht="14.5" x14ac:dyDescent="0.35">
      <c r="H23" s="75">
        <v>16</v>
      </c>
      <c r="I23" s="86" t="s">
        <v>63</v>
      </c>
      <c r="M23" s="87"/>
      <c r="O23" s="75">
        <v>2</v>
      </c>
      <c r="P23" s="76" t="s">
        <v>146</v>
      </c>
      <c r="Q23" s="75" t="s">
        <v>91</v>
      </c>
      <c r="R23" s="80" t="s">
        <v>118</v>
      </c>
    </row>
    <row r="24" spans="8:18" ht="14.5" x14ac:dyDescent="0.35">
      <c r="H24" s="75">
        <v>17</v>
      </c>
      <c r="I24" s="86" t="s">
        <v>57</v>
      </c>
      <c r="M24" s="87"/>
      <c r="O24" s="75">
        <v>3</v>
      </c>
      <c r="P24" s="76" t="s">
        <v>147</v>
      </c>
      <c r="Q24" s="75" t="s">
        <v>113</v>
      </c>
      <c r="R24" s="80" t="s">
        <v>118</v>
      </c>
    </row>
    <row r="25" spans="8:18" ht="14.5" x14ac:dyDescent="0.35">
      <c r="H25" s="75">
        <v>18</v>
      </c>
      <c r="I25" s="86" t="s">
        <v>33</v>
      </c>
      <c r="M25" s="87"/>
      <c r="O25" s="75">
        <v>4</v>
      </c>
      <c r="P25" s="76" t="s">
        <v>148</v>
      </c>
      <c r="Q25" s="75" t="s">
        <v>114</v>
      </c>
      <c r="R25" s="80" t="s">
        <v>118</v>
      </c>
    </row>
    <row r="26" spans="8:18" ht="14.5" x14ac:dyDescent="0.35">
      <c r="H26" s="75">
        <v>19</v>
      </c>
      <c r="I26" s="86" t="s">
        <v>34</v>
      </c>
    </row>
    <row r="27" spans="8:18" ht="14.5" x14ac:dyDescent="0.35">
      <c r="H27" s="75">
        <v>20</v>
      </c>
      <c r="I27" s="86" t="s">
        <v>35</v>
      </c>
      <c r="M27" s="90" t="s">
        <v>107</v>
      </c>
      <c r="O27" s="78">
        <f>MAX(O29:O33)</f>
        <v>4</v>
      </c>
      <c r="P27" s="77" t="s">
        <v>123</v>
      </c>
      <c r="Q27" s="77" t="s">
        <v>124</v>
      </c>
      <c r="R27" s="77" t="s">
        <v>125</v>
      </c>
    </row>
    <row r="28" spans="8:18" ht="14.5" x14ac:dyDescent="0.35">
      <c r="H28" s="75">
        <v>21</v>
      </c>
      <c r="I28" s="86" t="s">
        <v>36</v>
      </c>
      <c r="M28" s="91" t="s">
        <v>111</v>
      </c>
      <c r="O28" s="78">
        <v>5</v>
      </c>
      <c r="P28" s="74" t="e">
        <f>VLOOKUP(O28,O29:P33,2,FALSE)</f>
        <v>#N/A</v>
      </c>
      <c r="Q28" s="74" t="e">
        <f>VLOOKUP(P28,P29:Q33,2,FALSE)</f>
        <v>#N/A</v>
      </c>
      <c r="R28" s="74" t="e">
        <f>VLOOKUP(Q28,Q29:R33,2,FALSE)</f>
        <v>#N/A</v>
      </c>
    </row>
    <row r="29" spans="8:18" ht="14.5" x14ac:dyDescent="0.35">
      <c r="H29" s="75">
        <v>22</v>
      </c>
      <c r="I29" s="86" t="s">
        <v>37</v>
      </c>
      <c r="M29" s="87"/>
      <c r="O29" s="75">
        <v>1</v>
      </c>
      <c r="P29" s="76" t="s">
        <v>149</v>
      </c>
      <c r="Q29" s="75" t="s">
        <v>112</v>
      </c>
      <c r="R29" s="80" t="s">
        <v>8</v>
      </c>
    </row>
    <row r="30" spans="8:18" ht="14.5" x14ac:dyDescent="0.35">
      <c r="H30" s="75">
        <v>23</v>
      </c>
      <c r="I30" s="86" t="s">
        <v>55</v>
      </c>
      <c r="M30" s="87"/>
      <c r="O30" s="75">
        <v>2</v>
      </c>
      <c r="P30" s="76" t="s">
        <v>150</v>
      </c>
      <c r="Q30" s="75" t="s">
        <v>91</v>
      </c>
      <c r="R30" s="80" t="s">
        <v>8</v>
      </c>
    </row>
    <row r="31" spans="8:18" ht="14.5" x14ac:dyDescent="0.35">
      <c r="H31" s="75">
        <v>24</v>
      </c>
      <c r="I31" s="86" t="s">
        <v>38</v>
      </c>
      <c r="M31" s="87"/>
      <c r="O31" s="75">
        <v>3</v>
      </c>
      <c r="P31" s="76" t="s">
        <v>151</v>
      </c>
      <c r="Q31" s="75" t="s">
        <v>113</v>
      </c>
      <c r="R31" s="80" t="s">
        <v>8</v>
      </c>
    </row>
    <row r="32" spans="8:18" ht="14.5" x14ac:dyDescent="0.35">
      <c r="H32" s="75">
        <v>25</v>
      </c>
      <c r="I32" s="86" t="s">
        <v>39</v>
      </c>
      <c r="M32" s="87"/>
      <c r="O32" s="75">
        <v>4</v>
      </c>
      <c r="P32" s="76" t="s">
        <v>152</v>
      </c>
      <c r="Q32" s="75" t="s">
        <v>114</v>
      </c>
      <c r="R32" s="80" t="s">
        <v>8</v>
      </c>
    </row>
    <row r="33" spans="8:18" ht="14.5" x14ac:dyDescent="0.35">
      <c r="H33" s="75">
        <v>26</v>
      </c>
      <c r="I33" s="86" t="s">
        <v>40</v>
      </c>
      <c r="M33" s="87"/>
      <c r="P33" s="76"/>
      <c r="R33" s="80"/>
    </row>
    <row r="34" spans="8:18" ht="14.5" x14ac:dyDescent="0.35">
      <c r="H34" s="75">
        <v>27</v>
      </c>
      <c r="I34" s="86" t="s">
        <v>41</v>
      </c>
      <c r="M34" s="90" t="s">
        <v>107</v>
      </c>
      <c r="O34" s="78">
        <f>MAX(O36:O40)</f>
        <v>4</v>
      </c>
      <c r="P34" s="77" t="s">
        <v>126</v>
      </c>
      <c r="Q34" s="77" t="s">
        <v>127</v>
      </c>
      <c r="R34" s="77" t="s">
        <v>128</v>
      </c>
    </row>
    <row r="35" spans="8:18" ht="14.5" x14ac:dyDescent="0.35">
      <c r="H35" s="75">
        <v>28</v>
      </c>
      <c r="I35" s="86" t="s">
        <v>58</v>
      </c>
      <c r="M35" s="91" t="s">
        <v>111</v>
      </c>
      <c r="O35" s="78">
        <v>5</v>
      </c>
      <c r="P35" s="74" t="e">
        <f>VLOOKUP(O35,O36:P40,2,FALSE)</f>
        <v>#N/A</v>
      </c>
      <c r="Q35" s="74" t="e">
        <f>VLOOKUP(P35,P36:Q40,2,FALSE)</f>
        <v>#N/A</v>
      </c>
      <c r="R35" s="74" t="e">
        <f>VLOOKUP(Q35,Q36:R40,2,FALSE)</f>
        <v>#N/A</v>
      </c>
    </row>
    <row r="36" spans="8:18" ht="14.5" x14ac:dyDescent="0.35">
      <c r="H36" s="75">
        <v>29</v>
      </c>
      <c r="I36" s="86" t="s">
        <v>42</v>
      </c>
      <c r="M36" s="87"/>
      <c r="O36" s="75">
        <v>1</v>
      </c>
      <c r="P36" s="76" t="s">
        <v>153</v>
      </c>
      <c r="Q36" s="75" t="s">
        <v>112</v>
      </c>
      <c r="R36" s="80" t="s">
        <v>119</v>
      </c>
    </row>
    <row r="37" spans="8:18" ht="14.5" x14ac:dyDescent="0.35">
      <c r="H37" s="75">
        <v>30</v>
      </c>
      <c r="I37" s="86" t="s">
        <v>44</v>
      </c>
      <c r="M37" s="87"/>
      <c r="O37" s="75">
        <v>2</v>
      </c>
      <c r="P37" s="76" t="s">
        <v>154</v>
      </c>
      <c r="Q37" s="75" t="s">
        <v>91</v>
      </c>
      <c r="R37" s="80" t="s">
        <v>119</v>
      </c>
    </row>
    <row r="38" spans="8:18" ht="14.5" x14ac:dyDescent="0.35">
      <c r="H38" s="75">
        <v>31</v>
      </c>
      <c r="I38" s="86" t="s">
        <v>45</v>
      </c>
      <c r="M38" s="87"/>
      <c r="O38" s="75">
        <v>3</v>
      </c>
      <c r="P38" s="76" t="s">
        <v>155</v>
      </c>
      <c r="Q38" s="75" t="s">
        <v>113</v>
      </c>
      <c r="R38" s="80" t="s">
        <v>119</v>
      </c>
    </row>
    <row r="39" spans="8:18" ht="14.5" x14ac:dyDescent="0.35">
      <c r="H39" s="75">
        <v>32</v>
      </c>
      <c r="I39" s="86" t="s">
        <v>46</v>
      </c>
      <c r="M39" s="87"/>
      <c r="O39" s="75">
        <v>4</v>
      </c>
      <c r="P39" s="76" t="s">
        <v>156</v>
      </c>
      <c r="Q39" s="75" t="s">
        <v>114</v>
      </c>
      <c r="R39" s="80" t="s">
        <v>119</v>
      </c>
    </row>
    <row r="40" spans="8:18" ht="14.5" x14ac:dyDescent="0.35">
      <c r="H40" s="75">
        <v>33</v>
      </c>
      <c r="I40" s="86" t="s">
        <v>47</v>
      </c>
      <c r="M40" s="87"/>
      <c r="N40" s="87"/>
      <c r="O40" s="87"/>
      <c r="P40" s="87"/>
      <c r="Q40" s="87"/>
      <c r="R40" s="87"/>
    </row>
    <row r="41" spans="8:18" ht="14.5" x14ac:dyDescent="0.35">
      <c r="H41" s="75">
        <v>34</v>
      </c>
      <c r="I41" s="86" t="s">
        <v>48</v>
      </c>
      <c r="M41" s="90" t="s">
        <v>107</v>
      </c>
      <c r="O41" s="78">
        <f>MAX(O43:O47)</f>
        <v>4</v>
      </c>
      <c r="P41" s="77" t="s">
        <v>129</v>
      </c>
      <c r="Q41" s="77" t="s">
        <v>130</v>
      </c>
      <c r="R41" s="77" t="s">
        <v>131</v>
      </c>
    </row>
    <row r="42" spans="8:18" ht="14.5" x14ac:dyDescent="0.35">
      <c r="H42" s="75">
        <v>35</v>
      </c>
      <c r="I42" s="86" t="s">
        <v>49</v>
      </c>
      <c r="M42" s="91" t="s">
        <v>111</v>
      </c>
      <c r="O42" s="78">
        <v>5</v>
      </c>
      <c r="P42" s="74" t="e">
        <f>VLOOKUP(O42,O43:P47,2,FALSE)</f>
        <v>#N/A</v>
      </c>
      <c r="Q42" s="74" t="e">
        <f>VLOOKUP(P42,P43:Q47,2,FALSE)</f>
        <v>#N/A</v>
      </c>
      <c r="R42" s="74" t="e">
        <f>VLOOKUP(Q42,Q43:R47,2,FALSE)</f>
        <v>#N/A</v>
      </c>
    </row>
    <row r="43" spans="8:18" ht="14.5" x14ac:dyDescent="0.35">
      <c r="H43" s="75">
        <v>36</v>
      </c>
      <c r="I43" s="86" t="s">
        <v>59</v>
      </c>
      <c r="M43" s="87"/>
      <c r="O43" s="75">
        <v>1</v>
      </c>
      <c r="P43" s="76" t="s">
        <v>157</v>
      </c>
      <c r="Q43" s="75" t="s">
        <v>112</v>
      </c>
      <c r="R43" s="80" t="s">
        <v>120</v>
      </c>
    </row>
    <row r="44" spans="8:18" ht="14.5" x14ac:dyDescent="0.35">
      <c r="H44" s="75">
        <v>37</v>
      </c>
      <c r="I44" s="86" t="s">
        <v>50</v>
      </c>
      <c r="M44" s="87"/>
      <c r="O44" s="75">
        <v>2</v>
      </c>
      <c r="P44" s="76" t="s">
        <v>158</v>
      </c>
      <c r="Q44" s="75" t="s">
        <v>91</v>
      </c>
      <c r="R44" s="80" t="s">
        <v>120</v>
      </c>
    </row>
    <row r="45" spans="8:18" ht="14.5" x14ac:dyDescent="0.35">
      <c r="H45" s="75">
        <v>38</v>
      </c>
      <c r="I45" s="86" t="s">
        <v>51</v>
      </c>
      <c r="M45" s="87"/>
      <c r="O45" s="75">
        <v>3</v>
      </c>
      <c r="P45" s="76" t="s">
        <v>159</v>
      </c>
      <c r="Q45" s="75" t="s">
        <v>113</v>
      </c>
      <c r="R45" s="80" t="s">
        <v>120</v>
      </c>
    </row>
    <row r="46" spans="8:18" ht="14.5" x14ac:dyDescent="0.35">
      <c r="H46" s="75">
        <v>39</v>
      </c>
      <c r="I46" s="86" t="s">
        <v>52</v>
      </c>
      <c r="M46" s="87"/>
      <c r="O46" s="75">
        <v>4</v>
      </c>
      <c r="P46" s="76" t="s">
        <v>160</v>
      </c>
      <c r="Q46" s="75" t="s">
        <v>114</v>
      </c>
      <c r="R46" s="80" t="s">
        <v>120</v>
      </c>
    </row>
    <row r="47" spans="8:18" ht="14.5" x14ac:dyDescent="0.35">
      <c r="H47" s="75">
        <v>40</v>
      </c>
      <c r="I47" s="86" t="s">
        <v>60</v>
      </c>
      <c r="M47" s="87"/>
      <c r="N47" s="87"/>
      <c r="O47" s="87"/>
      <c r="P47" s="87"/>
      <c r="Q47" s="87"/>
      <c r="R47" s="87"/>
    </row>
    <row r="48" spans="8:18" ht="14.5" x14ac:dyDescent="0.35">
      <c r="H48" s="75">
        <v>41</v>
      </c>
      <c r="I48" s="86" t="s">
        <v>53</v>
      </c>
      <c r="M48" s="90" t="s">
        <v>107</v>
      </c>
      <c r="O48" s="78">
        <f>MAX(O50:O54)</f>
        <v>4</v>
      </c>
      <c r="P48" s="77" t="s">
        <v>132</v>
      </c>
      <c r="Q48" s="77" t="s">
        <v>133</v>
      </c>
      <c r="R48" s="77" t="s">
        <v>134</v>
      </c>
    </row>
    <row r="49" spans="8:18" ht="14.5" x14ac:dyDescent="0.35">
      <c r="H49" s="75">
        <v>42</v>
      </c>
      <c r="I49" s="86" t="s">
        <v>61</v>
      </c>
      <c r="M49" s="91" t="s">
        <v>111</v>
      </c>
      <c r="O49" s="78">
        <v>5</v>
      </c>
      <c r="P49" s="74" t="e">
        <f>VLOOKUP(O49,O50:P54,2,FALSE)</f>
        <v>#N/A</v>
      </c>
      <c r="Q49" s="74" t="e">
        <f>VLOOKUP(P49,P50:Q54,2,FALSE)</f>
        <v>#N/A</v>
      </c>
      <c r="R49" s="74" t="e">
        <f>VLOOKUP(Q49,Q50:R54,2,FALSE)</f>
        <v>#N/A</v>
      </c>
    </row>
    <row r="50" spans="8:18" ht="14.5" x14ac:dyDescent="0.35">
      <c r="H50" s="75">
        <v>43</v>
      </c>
      <c r="I50" s="86" t="s">
        <v>54</v>
      </c>
      <c r="M50" s="87"/>
      <c r="O50" s="75">
        <v>1</v>
      </c>
      <c r="P50" s="76" t="s">
        <v>161</v>
      </c>
      <c r="Q50" s="75" t="s">
        <v>112</v>
      </c>
      <c r="R50" s="80" t="s">
        <v>80</v>
      </c>
    </row>
    <row r="51" spans="8:18" ht="14.5" x14ac:dyDescent="0.35">
      <c r="H51" s="75">
        <v>44</v>
      </c>
      <c r="I51" s="86" t="s">
        <v>62</v>
      </c>
      <c r="M51" s="87"/>
      <c r="O51" s="75">
        <v>2</v>
      </c>
      <c r="P51" s="76" t="s">
        <v>162</v>
      </c>
      <c r="Q51" s="75" t="s">
        <v>91</v>
      </c>
      <c r="R51" s="80" t="s">
        <v>80</v>
      </c>
    </row>
    <row r="52" spans="8:18" ht="14.5" x14ac:dyDescent="0.35">
      <c r="H52" s="75">
        <v>45</v>
      </c>
      <c r="I52" s="86" t="s">
        <v>28</v>
      </c>
      <c r="M52" s="87"/>
      <c r="O52" s="75">
        <v>3</v>
      </c>
      <c r="P52" s="76" t="s">
        <v>163</v>
      </c>
      <c r="Q52" s="75" t="s">
        <v>113</v>
      </c>
      <c r="R52" s="80" t="s">
        <v>80</v>
      </c>
    </row>
    <row r="53" spans="8:18" ht="14.5" x14ac:dyDescent="0.35">
      <c r="H53" s="75">
        <v>46</v>
      </c>
      <c r="I53" s="86" t="s">
        <v>43</v>
      </c>
      <c r="M53" s="87"/>
      <c r="O53" s="75">
        <v>4</v>
      </c>
      <c r="P53" s="76" t="s">
        <v>164</v>
      </c>
      <c r="Q53" s="75" t="s">
        <v>114</v>
      </c>
      <c r="R53" s="80" t="s">
        <v>80</v>
      </c>
    </row>
    <row r="54" spans="8:18" ht="14.5" x14ac:dyDescent="0.35">
      <c r="M54" s="89"/>
      <c r="P54" s="76"/>
      <c r="R54" s="80"/>
    </row>
    <row r="55" spans="8:18" ht="14.5" x14ac:dyDescent="0.35">
      <c r="M55" s="90" t="s">
        <v>107</v>
      </c>
      <c r="O55" s="78">
        <f>MAX(O57:O61)</f>
        <v>4</v>
      </c>
      <c r="P55" s="77" t="s">
        <v>135</v>
      </c>
      <c r="Q55" s="77" t="s">
        <v>136</v>
      </c>
      <c r="R55" s="77" t="s">
        <v>137</v>
      </c>
    </row>
    <row r="56" spans="8:18" ht="14.5" x14ac:dyDescent="0.35">
      <c r="M56" s="91" t="s">
        <v>111</v>
      </c>
      <c r="O56" s="78">
        <v>5</v>
      </c>
      <c r="P56" s="74" t="e">
        <f>VLOOKUP(O56,O57:P61,2,FALSE)</f>
        <v>#N/A</v>
      </c>
      <c r="Q56" s="74" t="e">
        <f>VLOOKUP(P56,P57:Q61,2,FALSE)</f>
        <v>#N/A</v>
      </c>
      <c r="R56" s="74" t="e">
        <f>VLOOKUP(Q56,Q57:R61,2,FALSE)</f>
        <v>#N/A</v>
      </c>
    </row>
    <row r="57" spans="8:18" ht="14.5" x14ac:dyDescent="0.35">
      <c r="M57" s="87"/>
      <c r="O57" s="75">
        <v>1</v>
      </c>
      <c r="P57" s="76" t="s">
        <v>165</v>
      </c>
      <c r="Q57" s="75" t="s">
        <v>112</v>
      </c>
      <c r="R57" s="80" t="s">
        <v>121</v>
      </c>
    </row>
    <row r="58" spans="8:18" ht="14.5" x14ac:dyDescent="0.35">
      <c r="M58" s="87"/>
      <c r="O58" s="75">
        <v>2</v>
      </c>
      <c r="P58" s="76" t="s">
        <v>166</v>
      </c>
      <c r="Q58" s="75" t="s">
        <v>91</v>
      </c>
      <c r="R58" s="80" t="s">
        <v>121</v>
      </c>
    </row>
    <row r="59" spans="8:18" ht="14.5" x14ac:dyDescent="0.35">
      <c r="M59" s="87"/>
      <c r="O59" s="75">
        <v>3</v>
      </c>
      <c r="P59" s="76" t="s">
        <v>167</v>
      </c>
      <c r="Q59" s="75" t="s">
        <v>113</v>
      </c>
      <c r="R59" s="80" t="s">
        <v>121</v>
      </c>
    </row>
    <row r="60" spans="8:18" ht="14.5" x14ac:dyDescent="0.35">
      <c r="M60" s="87"/>
      <c r="O60" s="75">
        <v>4</v>
      </c>
      <c r="P60" s="76" t="s">
        <v>168</v>
      </c>
      <c r="Q60" s="75" t="s">
        <v>114</v>
      </c>
      <c r="R60" s="80" t="s">
        <v>121</v>
      </c>
    </row>
    <row r="61" spans="8:18" ht="14.5" x14ac:dyDescent="0.35">
      <c r="O61" s="76"/>
    </row>
    <row r="62" spans="8:18" ht="14.5" x14ac:dyDescent="0.35">
      <c r="M62" s="90" t="s">
        <v>107</v>
      </c>
      <c r="O62" s="78">
        <f>MAX(O64:O68)</f>
        <v>4</v>
      </c>
      <c r="P62" s="77" t="s">
        <v>138</v>
      </c>
      <c r="Q62" s="77" t="s">
        <v>139</v>
      </c>
      <c r="R62" s="77" t="s">
        <v>140</v>
      </c>
    </row>
    <row r="63" spans="8:18" ht="14.5" x14ac:dyDescent="0.35">
      <c r="M63" s="91" t="s">
        <v>111</v>
      </c>
      <c r="O63" s="78">
        <v>5</v>
      </c>
      <c r="P63" s="74" t="e">
        <f>VLOOKUP(O63,O64:P68,2,FALSE)</f>
        <v>#N/A</v>
      </c>
      <c r="Q63" s="74" t="e">
        <f>VLOOKUP(P63,P64:Q68,2,FALSE)</f>
        <v>#N/A</v>
      </c>
      <c r="R63" s="74" t="e">
        <f>VLOOKUP(Q63,Q64:R68,2,FALSE)</f>
        <v>#N/A</v>
      </c>
    </row>
    <row r="64" spans="8:18" ht="14.5" x14ac:dyDescent="0.35">
      <c r="M64" s="87"/>
      <c r="O64" s="75">
        <v>1</v>
      </c>
      <c r="P64" s="76" t="s">
        <v>169</v>
      </c>
      <c r="Q64" s="75" t="s">
        <v>112</v>
      </c>
      <c r="R64" s="80" t="s">
        <v>122</v>
      </c>
    </row>
    <row r="65" spans="9:18" ht="14.5" x14ac:dyDescent="0.35">
      <c r="M65" s="87"/>
      <c r="O65" s="75">
        <v>2</v>
      </c>
      <c r="P65" s="76" t="s">
        <v>170</v>
      </c>
      <c r="Q65" s="75" t="s">
        <v>91</v>
      </c>
      <c r="R65" s="80" t="s">
        <v>122</v>
      </c>
    </row>
    <row r="66" spans="9:18" ht="14.5" x14ac:dyDescent="0.35">
      <c r="M66" s="87"/>
      <c r="O66" s="75">
        <v>3</v>
      </c>
      <c r="P66" s="76" t="s">
        <v>171</v>
      </c>
      <c r="Q66" s="75" t="s">
        <v>113</v>
      </c>
      <c r="R66" s="80" t="s">
        <v>122</v>
      </c>
    </row>
    <row r="67" spans="9:18" ht="14.5" x14ac:dyDescent="0.35">
      <c r="M67" s="87"/>
      <c r="O67" s="75">
        <v>4</v>
      </c>
      <c r="P67" s="76" t="s">
        <v>172</v>
      </c>
      <c r="Q67" s="75" t="s">
        <v>114</v>
      </c>
      <c r="R67" s="80" t="s">
        <v>122</v>
      </c>
    </row>
    <row r="74" spans="9:18" ht="14.5" x14ac:dyDescent="0.35">
      <c r="I74" s="86"/>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H22"/>
  <sheetViews>
    <sheetView workbookViewId="0">
      <selection activeCell="A4" sqref="A4:L4"/>
    </sheetView>
  </sheetViews>
  <sheetFormatPr defaultRowHeight="14.5" x14ac:dyDescent="0.35"/>
  <cols>
    <col min="2" max="2" width="57.26953125" customWidth="1"/>
    <col min="5" max="7" width="0" hidden="1" customWidth="1"/>
  </cols>
  <sheetData>
    <row r="1" spans="2:8" x14ac:dyDescent="0.35">
      <c r="B1" t="s">
        <v>210</v>
      </c>
      <c r="G1" t="s">
        <v>182</v>
      </c>
    </row>
    <row r="2" spans="2:8" x14ac:dyDescent="0.35">
      <c r="G2" t="s">
        <v>183</v>
      </c>
      <c r="H2" s="97"/>
    </row>
    <row r="3" spans="2:8" x14ac:dyDescent="0.35">
      <c r="B3" s="98" t="s">
        <v>184</v>
      </c>
      <c r="C3" s="98" t="s">
        <v>185</v>
      </c>
      <c r="D3" s="98" t="s">
        <v>186</v>
      </c>
      <c r="E3" s="98"/>
      <c r="F3" t="s">
        <v>187</v>
      </c>
      <c r="G3" s="98"/>
      <c r="H3" s="98" t="s">
        <v>188</v>
      </c>
    </row>
    <row r="4" spans="2:8" ht="58" x14ac:dyDescent="0.35">
      <c r="B4" s="99" t="s">
        <v>211</v>
      </c>
      <c r="C4" t="s">
        <v>189</v>
      </c>
      <c r="D4" t="s">
        <v>215</v>
      </c>
      <c r="E4">
        <f>IF(D4="No",0,1)</f>
        <v>0</v>
      </c>
      <c r="F4" t="s">
        <v>190</v>
      </c>
    </row>
    <row r="5" spans="2:8" x14ac:dyDescent="0.35">
      <c r="B5" t="s">
        <v>191</v>
      </c>
      <c r="C5" t="s">
        <v>189</v>
      </c>
      <c r="D5" t="s">
        <v>215</v>
      </c>
      <c r="E5">
        <f t="shared" ref="E5:E20" si="0">IF(D5="No",0,1)</f>
        <v>0</v>
      </c>
      <c r="F5" t="s">
        <v>192</v>
      </c>
    </row>
    <row r="6" spans="2:8" x14ac:dyDescent="0.35">
      <c r="B6" t="s">
        <v>193</v>
      </c>
      <c r="C6" t="s">
        <v>189</v>
      </c>
      <c r="D6" t="s">
        <v>215</v>
      </c>
      <c r="E6">
        <f t="shared" si="0"/>
        <v>0</v>
      </c>
      <c r="F6" t="s">
        <v>189</v>
      </c>
    </row>
    <row r="7" spans="2:8" ht="29" x14ac:dyDescent="0.35">
      <c r="B7" s="99" t="s">
        <v>212</v>
      </c>
      <c r="C7" t="s">
        <v>189</v>
      </c>
      <c r="D7" t="s">
        <v>215</v>
      </c>
      <c r="E7">
        <f t="shared" si="0"/>
        <v>0</v>
      </c>
      <c r="F7" t="s">
        <v>194</v>
      </c>
    </row>
    <row r="8" spans="2:8" x14ac:dyDescent="0.35">
      <c r="B8" t="s">
        <v>195</v>
      </c>
      <c r="C8" t="s">
        <v>189</v>
      </c>
      <c r="D8" t="s">
        <v>215</v>
      </c>
      <c r="E8">
        <f t="shared" si="0"/>
        <v>0</v>
      </c>
    </row>
    <row r="9" spans="2:8" x14ac:dyDescent="0.35">
      <c r="B9" t="s">
        <v>196</v>
      </c>
      <c r="C9" t="s">
        <v>189</v>
      </c>
      <c r="D9" t="s">
        <v>215</v>
      </c>
      <c r="E9">
        <f t="shared" si="0"/>
        <v>0</v>
      </c>
    </row>
    <row r="10" spans="2:8" x14ac:dyDescent="0.35">
      <c r="B10" t="s">
        <v>197</v>
      </c>
      <c r="C10" t="s">
        <v>189</v>
      </c>
      <c r="D10" t="s">
        <v>215</v>
      </c>
      <c r="E10">
        <f t="shared" si="0"/>
        <v>0</v>
      </c>
      <c r="F10" t="s">
        <v>198</v>
      </c>
    </row>
    <row r="11" spans="2:8" x14ac:dyDescent="0.35">
      <c r="B11" t="s">
        <v>199</v>
      </c>
      <c r="C11" t="s">
        <v>189</v>
      </c>
      <c r="D11" t="s">
        <v>215</v>
      </c>
      <c r="E11">
        <f t="shared" si="0"/>
        <v>0</v>
      </c>
    </row>
    <row r="12" spans="2:8" x14ac:dyDescent="0.35">
      <c r="B12" t="s">
        <v>200</v>
      </c>
      <c r="C12" t="s">
        <v>189</v>
      </c>
      <c r="D12" t="s">
        <v>215</v>
      </c>
      <c r="E12">
        <f t="shared" si="0"/>
        <v>0</v>
      </c>
    </row>
    <row r="13" spans="2:8" x14ac:dyDescent="0.35">
      <c r="B13" t="s">
        <v>201</v>
      </c>
      <c r="C13" t="s">
        <v>189</v>
      </c>
      <c r="D13" t="s">
        <v>215</v>
      </c>
      <c r="E13">
        <f t="shared" si="0"/>
        <v>0</v>
      </c>
    </row>
    <row r="14" spans="2:8" x14ac:dyDescent="0.35">
      <c r="B14" t="s">
        <v>202</v>
      </c>
      <c r="C14" t="s">
        <v>189</v>
      </c>
      <c r="D14" t="s">
        <v>215</v>
      </c>
      <c r="E14">
        <f t="shared" si="0"/>
        <v>0</v>
      </c>
    </row>
    <row r="15" spans="2:8" x14ac:dyDescent="0.35">
      <c r="B15" t="s">
        <v>203</v>
      </c>
      <c r="C15" t="s">
        <v>189</v>
      </c>
      <c r="D15" t="s">
        <v>215</v>
      </c>
      <c r="E15">
        <f t="shared" si="0"/>
        <v>0</v>
      </c>
    </row>
    <row r="16" spans="2:8" x14ac:dyDescent="0.35">
      <c r="B16" t="s">
        <v>204</v>
      </c>
      <c r="C16" t="s">
        <v>189</v>
      </c>
      <c r="D16" t="s">
        <v>215</v>
      </c>
      <c r="E16">
        <f t="shared" si="0"/>
        <v>0</v>
      </c>
    </row>
    <row r="17" spans="2:8" x14ac:dyDescent="0.35">
      <c r="B17" t="s">
        <v>205</v>
      </c>
      <c r="C17" t="s">
        <v>189</v>
      </c>
      <c r="D17" t="s">
        <v>215</v>
      </c>
      <c r="E17">
        <f t="shared" si="0"/>
        <v>0</v>
      </c>
    </row>
    <row r="18" spans="2:8" x14ac:dyDescent="0.35">
      <c r="B18" t="s">
        <v>206</v>
      </c>
      <c r="C18" t="s">
        <v>189</v>
      </c>
      <c r="D18" t="s">
        <v>216</v>
      </c>
      <c r="E18">
        <f t="shared" si="0"/>
        <v>1</v>
      </c>
      <c r="H18" t="s">
        <v>217</v>
      </c>
    </row>
    <row r="19" spans="2:8" x14ac:dyDescent="0.35">
      <c r="B19" t="s">
        <v>207</v>
      </c>
      <c r="C19" t="s">
        <v>189</v>
      </c>
      <c r="D19" t="s">
        <v>215</v>
      </c>
      <c r="E19">
        <f t="shared" si="0"/>
        <v>0</v>
      </c>
    </row>
    <row r="20" spans="2:8" x14ac:dyDescent="0.35">
      <c r="B20" t="s">
        <v>208</v>
      </c>
      <c r="C20" t="s">
        <v>189</v>
      </c>
      <c r="D20" t="s">
        <v>215</v>
      </c>
      <c r="E20">
        <f t="shared" si="0"/>
        <v>0</v>
      </c>
    </row>
    <row r="22" spans="2:8" x14ac:dyDescent="0.35">
      <c r="B22" t="s">
        <v>209</v>
      </c>
      <c r="C22" s="100">
        <f>SUM(E4:E20)</f>
        <v>1</v>
      </c>
    </row>
  </sheetData>
  <conditionalFormatting sqref="D4:D6 D21 D13:D17">
    <cfRule type="containsText" dxfId="14" priority="13" operator="containsText" text="Yes">
      <formula>NOT(ISERROR(SEARCH("Yes",D4)))</formula>
    </cfRule>
    <cfRule type="containsText" dxfId="13" priority="14" operator="containsText" text="No">
      <formula>NOT(ISERROR(SEARCH("No",D4)))</formula>
    </cfRule>
  </conditionalFormatting>
  <conditionalFormatting sqref="C13:C20 C4:C6">
    <cfRule type="notContainsBlanks" dxfId="12" priority="15">
      <formula>LEN(TRIM(C4))&gt;0</formula>
    </cfRule>
  </conditionalFormatting>
  <conditionalFormatting sqref="C22">
    <cfRule type="cellIs" dxfId="11" priority="11" operator="greaterThan">
      <formula>0</formula>
    </cfRule>
    <cfRule type="cellIs" dxfId="10" priority="12" operator="lessThan">
      <formula>1</formula>
    </cfRule>
  </conditionalFormatting>
  <conditionalFormatting sqref="D7">
    <cfRule type="containsText" dxfId="9" priority="8" operator="containsText" text="Yes">
      <formula>NOT(ISERROR(SEARCH("Yes",D7)))</formula>
    </cfRule>
    <cfRule type="containsText" dxfId="8" priority="9" operator="containsText" text="No">
      <formula>NOT(ISERROR(SEARCH("No",D7)))</formula>
    </cfRule>
  </conditionalFormatting>
  <conditionalFormatting sqref="C7">
    <cfRule type="notContainsBlanks" dxfId="7" priority="10">
      <formula>LEN(TRIM(C7))&gt;0</formula>
    </cfRule>
  </conditionalFormatting>
  <conditionalFormatting sqref="D18">
    <cfRule type="containsText" dxfId="6" priority="6" operator="containsText" text="Yes">
      <formula>NOT(ISERROR(SEARCH("Yes",D18)))</formula>
    </cfRule>
    <cfRule type="containsText" dxfId="5" priority="7" operator="containsText" text="No">
      <formula>NOT(ISERROR(SEARCH("No",D18)))</formula>
    </cfRule>
  </conditionalFormatting>
  <conditionalFormatting sqref="D8:D12">
    <cfRule type="containsText" dxfId="4" priority="3" operator="containsText" text="Yes">
      <formula>NOT(ISERROR(SEARCH("Yes",D8)))</formula>
    </cfRule>
    <cfRule type="containsText" dxfId="3" priority="4" operator="containsText" text="No">
      <formula>NOT(ISERROR(SEARCH("No",D8)))</formula>
    </cfRule>
  </conditionalFormatting>
  <conditionalFormatting sqref="C8:C12">
    <cfRule type="notContainsBlanks" dxfId="2" priority="5">
      <formula>LEN(TRIM(C8))&gt;0</formula>
    </cfRule>
  </conditionalFormatting>
  <conditionalFormatting sqref="D19:D20">
    <cfRule type="containsText" dxfId="1" priority="1" operator="containsText" text="Yes">
      <formula>NOT(ISERROR(SEARCH("Yes",D19)))</formula>
    </cfRule>
    <cfRule type="containsText" dxfId="0" priority="2" operator="containsText" text="No">
      <formula>NOT(ISERROR(SEARCH("No",D19)))</formula>
    </cfRule>
  </conditionalFormatting>
  <dataValidations count="3">
    <dataValidation type="list" allowBlank="1" showInputMessage="1" showErrorMessage="1" sqref="D4:D20" xr:uid="{22BC9A53-55F4-4FE5-9079-5DBF22E62A98}">
      <formula1>$G$1:$G$2</formula1>
    </dataValidation>
    <dataValidation type="list" allowBlank="1" showInputMessage="1" showErrorMessage="1" sqref="C4:C20" xr:uid="{98717C8E-7072-47F8-A7A3-81C85C27BB9C}">
      <formula1>$F$3:$F$10</formula1>
    </dataValidation>
    <dataValidation type="list" allowBlank="1" showInputMessage="1" showErrorMessage="1" sqref="D21" xr:uid="{5D198C72-27A5-49AD-86CC-749468BAED90}">
      <formula1>$Q$1:$Q$2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(2016-17)</vt:lpstr>
      <vt:lpstr>2017-18_working</vt:lpstr>
      <vt:lpstr>2018-19_working</vt:lpstr>
      <vt:lpstr>(2017-18)</vt:lpstr>
      <vt:lpstr>(2018-19)</vt:lpstr>
      <vt:lpstr>FIRE1121_raw</vt:lpstr>
      <vt:lpstr>raw</vt:lpstr>
      <vt:lpstr>macro</vt:lpstr>
      <vt:lpstr>QA</vt:lpstr>
      <vt:lpstr>FIRE1121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FIRE1121: Staff joining fire authorities, by fire and rescue authority, ethnicity and role</dc:title>
  <dc:creator/>
  <cp:keywords>data tables, ethnicity, role, 2019</cp:keywords>
  <cp:lastModifiedBy/>
  <dcterms:created xsi:type="dcterms:W3CDTF">2019-10-29T14:46:22Z</dcterms:created>
  <dcterms:modified xsi:type="dcterms:W3CDTF">2019-10-29T14:49:06Z</dcterms:modified>
</cp:coreProperties>
</file>