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/>
  <xr:revisionPtr revIDLastSave="0" documentId="10_ncr:100000_{F89BED0F-3C55-44F3-8800-F6803C622BE5}" xr6:coauthVersionLast="31" xr6:coauthVersionMax="41" xr10:uidLastSave="{00000000-0000-0000-0000-000000000000}"/>
  <workbookProtection workbookAlgorithmName="SHA-512" workbookHashValue="j6+iiFeY6XC3HhHYl/P13dsEVv+n7rViCtwhpkZ4l/2nlZfdoOm0BiMysCmHhwe/Xwzi+miUBla6vg1gdzct6w==" workbookSaltValue="ZGcnc2QYQ+zf8CYXjmQhWA==" workbookSpinCount="100000" lockStructure="1"/>
  <bookViews>
    <workbookView xWindow="-120" yWindow="-120" windowWidth="25440" windowHeight="15390" tabRatio="712" firstSheet="15" activeTab="15" xr2:uid="{00000000-000D-0000-FFFF-FFFF00000000}"/>
  </bookViews>
  <sheets>
    <sheet name="(2009-10)" sheetId="7" state="hidden" r:id="rId1"/>
    <sheet name="(2010-11)" sheetId="5" state="hidden" r:id="rId2"/>
    <sheet name="(2011-12)" sheetId="8" state="hidden" r:id="rId3"/>
    <sheet name="(2012-13)" sheetId="10" state="hidden" r:id="rId4"/>
    <sheet name="(2013-14)" sheetId="6" state="hidden" r:id="rId5"/>
    <sheet name="(2014-15)" sheetId="4" state="hidden" r:id="rId6"/>
    <sheet name="(2015-16)" sheetId="3" state="hidden" r:id="rId7"/>
    <sheet name="(2016-17)" sheetId="12" state="hidden" r:id="rId8"/>
    <sheet name="(2017-18)" sheetId="15" state="hidden" r:id="rId9"/>
    <sheet name="(2018-19)" sheetId="19" state="hidden" r:id="rId10"/>
    <sheet name="raw" sheetId="17" state="hidden" r:id="rId11"/>
    <sheet name="macro" sheetId="18" state="hidden" r:id="rId12"/>
    <sheet name="QA" sheetId="14" state="hidden" r:id="rId13"/>
    <sheet name="FIRE1110 raw" sheetId="1" state="hidden" r:id="rId14"/>
    <sheet name="stats release" sheetId="13" state="hidden" r:id="rId15"/>
    <sheet name="FIRE1110" sheetId="11" r:id="rId16"/>
  </sheets>
  <definedNames>
    <definedName name="_xlnm._FilterDatabase" localSheetId="0" hidden="1">'(2009-10)'!$C$2:$F$51</definedName>
    <definedName name="_xlnm._FilterDatabase" localSheetId="1" hidden="1">'(2010-11)'!$C$2:$F$50</definedName>
    <definedName name="_xlnm._FilterDatabase" localSheetId="2" hidden="1">'(2011-12)'!$C$2:$F$50</definedName>
    <definedName name="_xlnm._FilterDatabase" localSheetId="4" hidden="1">'(2013-14)'!$C$2:$F$50</definedName>
    <definedName name="_xlnm._FilterDatabase" localSheetId="5" hidden="1">'(2014-15)'!$C$2:$F$50</definedName>
    <definedName name="_xlnm._FilterDatabase" localSheetId="10" hidden="1">raw!$A$1:$D$185</definedName>
    <definedName name="_xlnm.Print_Area" localSheetId="0">'(2009-10)'!$B$1:$F$60</definedName>
    <definedName name="_xlnm.Print_Area" localSheetId="1">'(2010-11)'!$B$1:$G$55</definedName>
    <definedName name="_xlnm.Print_Area" localSheetId="2">'(2011-12)'!$B$1:$G$56</definedName>
    <definedName name="_xlnm.Print_Area" localSheetId="4">'(2013-14)'!$B$1:$G$55</definedName>
    <definedName name="_xlnm.Print_Area" localSheetId="5">'(2014-15)'!$B$1:$G$55</definedName>
    <definedName name="qrychiefrepspecservrtaother" localSheetId="0">#REF!</definedName>
    <definedName name="qrychiefrepspecservrtaother" localSheetId="1">#REF!</definedName>
    <definedName name="qrychiefrepspecservrtaother" localSheetId="2">#REF!</definedName>
    <definedName name="qrychiefrepspecservrtaother" localSheetId="4">#REF!</definedName>
    <definedName name="qrychiefrepspecservrtaother" localSheetId="5">#REF!</definedName>
    <definedName name="qrychiefrepspecservrtaother" localSheetId="8">#REF!</definedName>
    <definedName name="qrychiefrepsuccretireresig" localSheetId="0">#REF!</definedName>
    <definedName name="qrychiefrepsuccretireresig" localSheetId="1">#REF!</definedName>
    <definedName name="qrychiefrepsuccretireresig" localSheetId="2">#REF!</definedName>
    <definedName name="qrychiefrepsuccretireresig" localSheetId="4">#REF!</definedName>
    <definedName name="qrychiefrepsuccretireresig" localSheetId="5">#REF!</definedName>
    <definedName name="qrychiefrepsuccretireresig" localSheetId="8">#REF!</definedName>
    <definedName name="qrychiefrepwteststr" localSheetId="0">'(2009-10)'!$B$2:$B$41</definedName>
    <definedName name="qrychiefrepwteststr" localSheetId="1">'(2010-11)'!$B$2:$D$41</definedName>
    <definedName name="qrychiefrepwteststr" localSheetId="2">'(2011-12)'!$B$2:$D$41</definedName>
    <definedName name="qrychiefrepwteststr" localSheetId="4">'(2013-14)'!$B$2:$D$41</definedName>
    <definedName name="qrychiefrepwteststr" localSheetId="5">'(2014-15)'!$B$2:$D$41</definedName>
    <definedName name="qrychiefrepwteststr" localSheetId="8">#REF!</definedName>
    <definedName name="qrychiefrepwtgeneth" localSheetId="0">#REF!</definedName>
    <definedName name="qrychiefrepwtgeneth" localSheetId="1">#REF!</definedName>
    <definedName name="qrychiefrepwtgeneth" localSheetId="2">#REF!</definedName>
    <definedName name="qrychiefrepwtgeneth" localSheetId="4">#REF!</definedName>
    <definedName name="qrychiefrepwtgeneth" localSheetId="5">#REF!</definedName>
    <definedName name="qrychiefrepwtgeneth" localSheetId="8">#REF!</definedName>
    <definedName name="qryffinjuries9900" localSheetId="0">#REF!</definedName>
    <definedName name="qryffinjuries9900" localSheetId="1">#REF!</definedName>
    <definedName name="qryffinjuries9900" localSheetId="2">#REF!</definedName>
    <definedName name="qryffinjuries9900" localSheetId="4">#REF!</definedName>
    <definedName name="qryffinjuries9900" localSheetId="5">#REF!</definedName>
    <definedName name="qryffinjuries9900" localSheetId="8">#REF!</definedName>
    <definedName name="qryPI15" localSheetId="0">#REF!</definedName>
    <definedName name="qryPI15" localSheetId="1">#REF!</definedName>
    <definedName name="qryPI15" localSheetId="2">#REF!</definedName>
    <definedName name="qryPI15" localSheetId="4">#REF!</definedName>
    <definedName name="qryPI15" localSheetId="5">#REF!</definedName>
    <definedName name="qryPI15" localSheetId="8">#REF!</definedName>
    <definedName name="qryPI16" localSheetId="0">#REF!</definedName>
    <definedName name="qryPI16" localSheetId="1">#REF!</definedName>
    <definedName name="qryPI16" localSheetId="2">#REF!</definedName>
    <definedName name="qryPI16" localSheetId="4">#REF!</definedName>
    <definedName name="qryPI16" localSheetId="5">#REF!</definedName>
    <definedName name="qryPI16" localSheetId="8">#REF!</definedName>
    <definedName name="qryPIBV145a" localSheetId="0">#REF!</definedName>
    <definedName name="qryPIBV145a" localSheetId="1">#REF!</definedName>
    <definedName name="qryPIBV145a" localSheetId="2">#REF!</definedName>
    <definedName name="qryPIBV145a" localSheetId="4">#REF!</definedName>
    <definedName name="qryPIBV145a" localSheetId="5">#REF!</definedName>
    <definedName name="qryPIBV145a" localSheetId="8">#REF!</definedName>
    <definedName name="qryPIBV145b" localSheetId="0">#REF!</definedName>
    <definedName name="qryPIBV145b" localSheetId="1">#REF!</definedName>
    <definedName name="qryPIBV145b" localSheetId="2">#REF!</definedName>
    <definedName name="qryPIBV145b" localSheetId="4">#REF!</definedName>
    <definedName name="qryPIBV145b" localSheetId="5">#REF!</definedName>
    <definedName name="qryPIBV145b" localSheetId="8">#REF!</definedName>
    <definedName name="qryPIBV145c" localSheetId="0">#REF!</definedName>
    <definedName name="qryPIBV145c" localSheetId="1">#REF!</definedName>
    <definedName name="qryPIBV145c" localSheetId="2">#REF!</definedName>
    <definedName name="qryPIBV145c" localSheetId="4">#REF!</definedName>
    <definedName name="qryPIBV145c" localSheetId="5">#REF!</definedName>
    <definedName name="qryPIBV145c" localSheetId="8">#REF!</definedName>
    <definedName name="qryPIBV15i" localSheetId="0">#REF!</definedName>
    <definedName name="qryPIBV15i" localSheetId="1">#REF!</definedName>
    <definedName name="qryPIBV15i" localSheetId="2">#REF!</definedName>
    <definedName name="qryPIBV15i" localSheetId="4">#REF!</definedName>
    <definedName name="qryPIBV15i" localSheetId="5">#REF!</definedName>
    <definedName name="qryPIBV15i" localSheetId="8">#REF!</definedName>
    <definedName name="qryPIBV15ii" localSheetId="0">#REF!</definedName>
    <definedName name="qryPIBV15ii" localSheetId="1">#REF!</definedName>
    <definedName name="qryPIBV15ii" localSheetId="2">#REF!</definedName>
    <definedName name="qryPIBV15ii" localSheetId="4">#REF!</definedName>
    <definedName name="qryPIBV15ii" localSheetId="5">#REF!</definedName>
    <definedName name="qryPIBV15ii" localSheetId="8">#REF!</definedName>
    <definedName name="qryPIctsickness" localSheetId="0">#REF!</definedName>
    <definedName name="qryPIctsickness" localSheetId="1">#REF!</definedName>
    <definedName name="qryPIctsickness" localSheetId="2">#REF!</definedName>
    <definedName name="qryPIctsickness" localSheetId="4">#REF!</definedName>
    <definedName name="qryPIctsickness" localSheetId="5">#REF!</definedName>
    <definedName name="qryPIctsickness" localSheetId="8">#REF!</definedName>
    <definedName name="qryPIriderfactleave" localSheetId="0">#REF!</definedName>
    <definedName name="qryPIriderfactleave" localSheetId="1">#REF!</definedName>
    <definedName name="qryPIriderfactleave" localSheetId="2">#REF!</definedName>
    <definedName name="qryPIriderfactleave" localSheetId="4">#REF!</definedName>
    <definedName name="qryPIriderfactleave" localSheetId="5">#REF!</definedName>
    <definedName name="qryPIriderfactleave" localSheetId="8">#REF!</definedName>
    <definedName name="qryPIriderfactsick" localSheetId="0">#REF!</definedName>
    <definedName name="qryPIriderfactsick" localSheetId="1">#REF!</definedName>
    <definedName name="qryPIriderfactsick" localSheetId="2">#REF!</definedName>
    <definedName name="qryPIriderfactsick" localSheetId="4">#REF!</definedName>
    <definedName name="qryPIriderfactsick" localSheetId="5">#REF!</definedName>
    <definedName name="qryPIriderfactsick" localSheetId="8">#REF!</definedName>
    <definedName name="Query1" localSheetId="0">#REF!</definedName>
    <definedName name="Query1" localSheetId="1">#REF!</definedName>
    <definedName name="Query1" localSheetId="2">#REF!</definedName>
    <definedName name="Query1" localSheetId="4">#REF!</definedName>
    <definedName name="Query1" localSheetId="5">#REF!</definedName>
    <definedName name="Query1" localSheetId="8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4" l="1"/>
  <c r="E14" i="14"/>
  <c r="E13" i="14"/>
  <c r="E12" i="14"/>
  <c r="E11" i="14"/>
  <c r="E10" i="14"/>
  <c r="E9" i="14"/>
  <c r="E8" i="14"/>
  <c r="E7" i="14"/>
  <c r="E6" i="14"/>
  <c r="E5" i="14"/>
  <c r="E4" i="14"/>
  <c r="C19" i="14" l="1"/>
  <c r="D5" i="19"/>
  <c r="E5" i="19"/>
  <c r="F5" i="19"/>
  <c r="D6" i="19"/>
  <c r="E6" i="19"/>
  <c r="F6" i="19"/>
  <c r="D7" i="19"/>
  <c r="E7" i="19"/>
  <c r="F7" i="19"/>
  <c r="D8" i="19"/>
  <c r="E8" i="19"/>
  <c r="F8" i="19"/>
  <c r="D9" i="19"/>
  <c r="E9" i="19"/>
  <c r="F9" i="19"/>
  <c r="D10" i="19"/>
  <c r="E10" i="19"/>
  <c r="F10" i="19"/>
  <c r="D11" i="19"/>
  <c r="E11" i="19"/>
  <c r="F11" i="19"/>
  <c r="D12" i="19"/>
  <c r="E12" i="19"/>
  <c r="F12" i="19"/>
  <c r="D13" i="19"/>
  <c r="E13" i="19"/>
  <c r="F13" i="19"/>
  <c r="D14" i="19"/>
  <c r="E14" i="19"/>
  <c r="F14" i="19"/>
  <c r="D15" i="19"/>
  <c r="E15" i="19"/>
  <c r="F15" i="19"/>
  <c r="D16" i="19"/>
  <c r="E16" i="19"/>
  <c r="F16" i="19"/>
  <c r="D17" i="19"/>
  <c r="E17" i="19"/>
  <c r="F17" i="19"/>
  <c r="D18" i="19"/>
  <c r="E18" i="19"/>
  <c r="F18" i="19"/>
  <c r="D19" i="19"/>
  <c r="E19" i="19"/>
  <c r="F19" i="19"/>
  <c r="D20" i="19"/>
  <c r="E20" i="19"/>
  <c r="F20" i="19"/>
  <c r="D21" i="19"/>
  <c r="E21" i="19"/>
  <c r="F21" i="19"/>
  <c r="D22" i="19"/>
  <c r="E22" i="19"/>
  <c r="F22" i="19"/>
  <c r="D23" i="19"/>
  <c r="E23" i="19"/>
  <c r="F23" i="19"/>
  <c r="D24" i="19"/>
  <c r="E24" i="19"/>
  <c r="F24" i="19"/>
  <c r="D25" i="19"/>
  <c r="E25" i="19"/>
  <c r="F25" i="19"/>
  <c r="D26" i="19"/>
  <c r="E26" i="19"/>
  <c r="F26" i="19"/>
  <c r="D27" i="19"/>
  <c r="E27" i="19"/>
  <c r="F27" i="19"/>
  <c r="D28" i="19"/>
  <c r="E28" i="19"/>
  <c r="F28" i="19"/>
  <c r="D29" i="19"/>
  <c r="E29" i="19"/>
  <c r="F29" i="19"/>
  <c r="D30" i="19"/>
  <c r="E30" i="19"/>
  <c r="F30" i="19"/>
  <c r="D31" i="19"/>
  <c r="E31" i="19"/>
  <c r="F31" i="19"/>
  <c r="D32" i="19"/>
  <c r="E32" i="19"/>
  <c r="F32" i="19"/>
  <c r="D33" i="19"/>
  <c r="E33" i="19"/>
  <c r="F33" i="19"/>
  <c r="D34" i="19"/>
  <c r="E34" i="19"/>
  <c r="F34" i="19"/>
  <c r="D35" i="19"/>
  <c r="E35" i="19"/>
  <c r="F35" i="19"/>
  <c r="D36" i="19"/>
  <c r="E36" i="19"/>
  <c r="F36" i="19"/>
  <c r="D37" i="19"/>
  <c r="E37" i="19"/>
  <c r="F37" i="19"/>
  <c r="D38" i="19"/>
  <c r="E38" i="19"/>
  <c r="F38" i="19"/>
  <c r="D39" i="19"/>
  <c r="E39" i="19"/>
  <c r="F39" i="19"/>
  <c r="D40" i="19"/>
  <c r="E40" i="19"/>
  <c r="F40" i="19"/>
  <c r="D41" i="19"/>
  <c r="E41" i="19"/>
  <c r="F41" i="19"/>
  <c r="D42" i="19"/>
  <c r="E42" i="19"/>
  <c r="F42" i="19"/>
  <c r="D43" i="19"/>
  <c r="E43" i="19"/>
  <c r="F43" i="19"/>
  <c r="D45" i="19"/>
  <c r="E45" i="19"/>
  <c r="F45" i="19"/>
  <c r="D46" i="19"/>
  <c r="E46" i="19"/>
  <c r="F46" i="19"/>
  <c r="D47" i="19"/>
  <c r="E47" i="19"/>
  <c r="F47" i="19"/>
  <c r="D48" i="19"/>
  <c r="E48" i="19"/>
  <c r="F48" i="19"/>
  <c r="D49" i="19"/>
  <c r="E49" i="19"/>
  <c r="F49" i="19"/>
  <c r="D50" i="19"/>
  <c r="E50" i="19"/>
  <c r="F50" i="19"/>
  <c r="D51" i="19"/>
  <c r="E51" i="19"/>
  <c r="F51" i="19"/>
  <c r="C6" i="19"/>
  <c r="C7" i="19"/>
  <c r="G7" i="19" s="1"/>
  <c r="C8" i="19"/>
  <c r="C9" i="19"/>
  <c r="C10" i="19"/>
  <c r="C11" i="19"/>
  <c r="G11" i="19" s="1"/>
  <c r="C12" i="19"/>
  <c r="C13" i="19"/>
  <c r="C14" i="19"/>
  <c r="C15" i="19"/>
  <c r="C16" i="19"/>
  <c r="C17" i="19"/>
  <c r="G17" i="19" s="1"/>
  <c r="C18" i="19"/>
  <c r="C19" i="19"/>
  <c r="G19" i="19" s="1"/>
  <c r="C20" i="19"/>
  <c r="C21" i="19"/>
  <c r="G21" i="19" s="1"/>
  <c r="C22" i="19"/>
  <c r="C23" i="19"/>
  <c r="C24" i="19"/>
  <c r="C25" i="19"/>
  <c r="G25" i="19" s="1"/>
  <c r="C26" i="19"/>
  <c r="C27" i="19"/>
  <c r="C28" i="19"/>
  <c r="C29" i="19"/>
  <c r="G29" i="19" s="1"/>
  <c r="C30" i="19"/>
  <c r="C31" i="19"/>
  <c r="C32" i="19"/>
  <c r="C33" i="19"/>
  <c r="G33" i="19" s="1"/>
  <c r="C34" i="19"/>
  <c r="C35" i="19"/>
  <c r="C36" i="19"/>
  <c r="C37" i="19"/>
  <c r="G37" i="19" s="1"/>
  <c r="C38" i="19"/>
  <c r="C39" i="19"/>
  <c r="C40" i="19"/>
  <c r="C41" i="19"/>
  <c r="G41" i="19" s="1"/>
  <c r="C42" i="19"/>
  <c r="C43" i="19"/>
  <c r="C45" i="19"/>
  <c r="C46" i="19"/>
  <c r="G46" i="19" s="1"/>
  <c r="C47" i="19"/>
  <c r="C48" i="19"/>
  <c r="C49" i="19"/>
  <c r="C50" i="19"/>
  <c r="G50" i="19" s="1"/>
  <c r="C51" i="19"/>
  <c r="C5" i="19"/>
  <c r="G5" i="19" s="1"/>
  <c r="G51" i="19" l="1"/>
  <c r="G47" i="19"/>
  <c r="G42" i="19"/>
  <c r="G38" i="19"/>
  <c r="G34" i="19"/>
  <c r="G30" i="19"/>
  <c r="G26" i="19"/>
  <c r="G14" i="19"/>
  <c r="G10" i="19"/>
  <c r="G6" i="19"/>
  <c r="G49" i="19"/>
  <c r="G45" i="19"/>
  <c r="G40" i="19"/>
  <c r="G36" i="19"/>
  <c r="G32" i="19"/>
  <c r="G28" i="19"/>
  <c r="G24" i="19"/>
  <c r="G20" i="19"/>
  <c r="G16" i="19"/>
  <c r="G12" i="19"/>
  <c r="G8" i="19"/>
  <c r="F44" i="19"/>
  <c r="G43" i="19"/>
  <c r="G39" i="19"/>
  <c r="G35" i="19"/>
  <c r="G31" i="19"/>
  <c r="G27" i="19"/>
  <c r="G23" i="19"/>
  <c r="G18" i="19"/>
  <c r="G13" i="19"/>
  <c r="G9" i="19"/>
  <c r="C44" i="19"/>
  <c r="G15" i="19"/>
  <c r="E44" i="19"/>
  <c r="D4" i="19"/>
  <c r="D44" i="19"/>
  <c r="F4" i="19"/>
  <c r="E4" i="19"/>
  <c r="C4" i="19"/>
  <c r="G22" i="19"/>
  <c r="G48" i="19"/>
  <c r="P36" i="18"/>
  <c r="Q36" i="18" s="1"/>
  <c r="O35" i="18"/>
  <c r="O46" i="18"/>
  <c r="P47" i="18"/>
  <c r="Q47" i="18" s="1"/>
  <c r="P25" i="18"/>
  <c r="Q25" i="18" s="1"/>
  <c r="O24" i="18"/>
  <c r="Q14" i="18"/>
  <c r="P14" i="18"/>
  <c r="C3" i="19" l="1"/>
  <c r="G4" i="19"/>
  <c r="F3" i="19"/>
  <c r="D3" i="19"/>
  <c r="G44" i="19"/>
  <c r="E3" i="19"/>
  <c r="G3" i="19" s="1"/>
  <c r="O13" i="18"/>
  <c r="D9" i="18"/>
  <c r="D8" i="18"/>
  <c r="K7" i="18"/>
  <c r="I7" i="18"/>
  <c r="H6" i="18"/>
  <c r="G32" i="15" l="1"/>
  <c r="G5" i="15"/>
  <c r="G51" i="15"/>
  <c r="G50" i="15"/>
  <c r="G49" i="15"/>
  <c r="G48" i="15"/>
  <c r="G47" i="15"/>
  <c r="E44" i="15"/>
  <c r="G46" i="15"/>
  <c r="F44" i="15"/>
  <c r="D44" i="15"/>
  <c r="G45" i="15"/>
  <c r="C44" i="15"/>
  <c r="G43" i="15"/>
  <c r="G42" i="15"/>
  <c r="G41" i="15"/>
  <c r="G40" i="15"/>
  <c r="G39" i="15"/>
  <c r="G38" i="15"/>
  <c r="G37" i="15"/>
  <c r="G36" i="15"/>
  <c r="G35" i="15"/>
  <c r="G34" i="15"/>
  <c r="G33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D4" i="15"/>
  <c r="G7" i="15"/>
  <c r="G6" i="15"/>
  <c r="F4" i="15"/>
  <c r="D3" i="15" l="1"/>
  <c r="G44" i="15"/>
  <c r="C4" i="15"/>
  <c r="C3" i="15" s="1"/>
  <c r="E4" i="15"/>
  <c r="E3" i="15" s="1"/>
  <c r="G4" i="15"/>
  <c r="F3" i="15"/>
  <c r="C18" i="13"/>
  <c r="C17" i="13"/>
  <c r="C16" i="13"/>
  <c r="C15" i="13"/>
  <c r="C14" i="13"/>
  <c r="G3" i="15" l="1"/>
  <c r="D16" i="4"/>
  <c r="E16" i="4"/>
  <c r="F16" i="4"/>
  <c r="G16" i="4"/>
  <c r="C16" i="4"/>
  <c r="D16" i="6"/>
  <c r="E16" i="6"/>
  <c r="F16" i="6"/>
  <c r="G16" i="6"/>
  <c r="C16" i="6"/>
  <c r="D16" i="10"/>
  <c r="E16" i="10"/>
  <c r="F16" i="10"/>
  <c r="G16" i="10"/>
  <c r="C16" i="10"/>
  <c r="D16" i="8"/>
  <c r="E16" i="8"/>
  <c r="F16" i="8"/>
  <c r="G16" i="8"/>
  <c r="C16" i="8"/>
  <c r="D16" i="5"/>
  <c r="E16" i="5"/>
  <c r="F16" i="5"/>
  <c r="G16" i="5"/>
  <c r="C16" i="5"/>
  <c r="G16" i="7"/>
  <c r="F16" i="7"/>
  <c r="E16" i="7"/>
  <c r="D16" i="7"/>
  <c r="C16" i="7"/>
  <c r="D44" i="12"/>
  <c r="C21" i="13" l="1"/>
  <c r="G7" i="12"/>
  <c r="G11" i="12"/>
  <c r="G15" i="12"/>
  <c r="G19" i="12"/>
  <c r="G23" i="12"/>
  <c r="G27" i="12"/>
  <c r="G31" i="12"/>
  <c r="G35" i="12"/>
  <c r="G39" i="12"/>
  <c r="G43" i="12"/>
  <c r="G48" i="12"/>
  <c r="G10" i="12"/>
  <c r="F44" i="12"/>
  <c r="F4" i="12"/>
  <c r="G8" i="12"/>
  <c r="G28" i="12"/>
  <c r="E44" i="12"/>
  <c r="G51" i="12"/>
  <c r="G6" i="12"/>
  <c r="G14" i="12"/>
  <c r="G18" i="12"/>
  <c r="G22" i="12"/>
  <c r="G26" i="12"/>
  <c r="G30" i="12"/>
  <c r="G34" i="12"/>
  <c r="G38" i="12"/>
  <c r="G42" i="12"/>
  <c r="G25" i="12"/>
  <c r="G29" i="12"/>
  <c r="G33" i="12"/>
  <c r="G37" i="12"/>
  <c r="G41" i="12"/>
  <c r="G46" i="12"/>
  <c r="G50" i="12"/>
  <c r="G9" i="12"/>
  <c r="G13" i="12"/>
  <c r="G17" i="12"/>
  <c r="G21" i="12"/>
  <c r="G12" i="12"/>
  <c r="G16" i="12"/>
  <c r="G20" i="12"/>
  <c r="G24" i="12"/>
  <c r="G32" i="12"/>
  <c r="G36" i="12"/>
  <c r="G40" i="12"/>
  <c r="G45" i="12"/>
  <c r="G49" i="12"/>
  <c r="D4" i="12"/>
  <c r="D3" i="12" s="1"/>
  <c r="E4" i="12"/>
  <c r="E3" i="12" s="1"/>
  <c r="C44" i="12"/>
  <c r="G47" i="12"/>
  <c r="C4" i="12"/>
  <c r="G5" i="12"/>
  <c r="A4" i="1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C13" i="13" s="1"/>
  <c r="F3" i="12" l="1"/>
  <c r="G4" i="12"/>
  <c r="C3" i="12"/>
  <c r="G44" i="12"/>
  <c r="G3" i="12" l="1"/>
  <c r="C20" i="13" l="1"/>
  <c r="C19" i="13"/>
  <c r="E16" i="13" l="1"/>
  <c r="E20" i="13"/>
  <c r="E17" i="13"/>
  <c r="E21" i="13"/>
  <c r="E18" i="13"/>
  <c r="E14" i="13"/>
  <c r="E15" i="13"/>
  <c r="E19" i="13"/>
  <c r="E13" i="13"/>
  <c r="E36" i="1"/>
  <c r="D32" i="1"/>
  <c r="C52" i="1"/>
  <c r="B49" i="1"/>
  <c r="F48" i="1"/>
  <c r="C44" i="1"/>
  <c r="C36" i="1"/>
  <c r="C34" i="1"/>
  <c r="F19" i="1"/>
  <c r="F13" i="1"/>
  <c r="C31" i="1"/>
  <c r="F26" i="1"/>
  <c r="C40" i="1"/>
  <c r="D51" i="1"/>
  <c r="F39" i="1"/>
  <c r="C45" i="1"/>
  <c r="E33" i="1"/>
  <c r="D19" i="1"/>
  <c r="D10" i="1"/>
  <c r="D13" i="1"/>
  <c r="F36" i="1"/>
  <c r="E28" i="1"/>
  <c r="B51" i="1"/>
  <c r="C29" i="1"/>
  <c r="D9" i="1"/>
  <c r="D54" i="1"/>
  <c r="D15" i="1"/>
  <c r="E41" i="1"/>
  <c r="F52" i="1"/>
  <c r="F35" i="1"/>
  <c r="E46" i="1"/>
  <c r="E17" i="1"/>
  <c r="C28" i="1"/>
  <c r="B34" i="1"/>
  <c r="E55" i="1"/>
  <c r="E47" i="1"/>
  <c r="E18" i="1"/>
  <c r="C11" i="1"/>
  <c r="D34" i="1"/>
  <c r="F55" i="1"/>
  <c r="E53" i="1"/>
  <c r="C55" i="1"/>
  <c r="C46" i="1"/>
  <c r="B24" i="1"/>
  <c r="D12" i="1"/>
  <c r="B18" i="1"/>
  <c r="F29" i="1"/>
  <c r="E8" i="1"/>
  <c r="B11" i="1"/>
  <c r="E48" i="1"/>
  <c r="E11" i="1"/>
  <c r="F37" i="1"/>
  <c r="F33" i="1"/>
  <c r="B31" i="1"/>
  <c r="B19" i="1"/>
  <c r="C20" i="1"/>
  <c r="E32" i="1"/>
  <c r="F14" i="1"/>
  <c r="C14" i="1"/>
  <c r="F31" i="1"/>
  <c r="D36" i="1"/>
  <c r="D17" i="1"/>
  <c r="E43" i="1"/>
  <c r="D53" i="1"/>
  <c r="B33" i="1"/>
  <c r="D7" i="1"/>
  <c r="E31" i="1"/>
  <c r="D20" i="1"/>
  <c r="F54" i="1"/>
  <c r="F17" i="1"/>
  <c r="B38" i="1"/>
  <c r="D55" i="1"/>
  <c r="E38" i="1"/>
  <c r="F47" i="1"/>
  <c r="E45" i="1"/>
  <c r="B54" i="1"/>
  <c r="F32" i="1"/>
  <c r="B50" i="1"/>
  <c r="C41" i="1"/>
  <c r="C7" i="1"/>
  <c r="D14" i="1"/>
  <c r="D45" i="1"/>
  <c r="B27" i="1"/>
  <c r="C15" i="1"/>
  <c r="B43" i="1"/>
  <c r="B22" i="1"/>
  <c r="B32" i="1"/>
  <c r="B42" i="1"/>
  <c r="C38" i="1"/>
  <c r="B35" i="1"/>
  <c r="F7" i="1"/>
  <c r="B52" i="1"/>
  <c r="C26" i="1"/>
  <c r="F44" i="1"/>
  <c r="C18" i="1"/>
  <c r="E12" i="1"/>
  <c r="B39" i="1"/>
  <c r="E51" i="1"/>
  <c r="D23" i="1"/>
  <c r="C17" i="1"/>
  <c r="F15" i="1"/>
  <c r="D41" i="1"/>
  <c r="C42" i="1"/>
  <c r="E23" i="1"/>
  <c r="F10" i="1"/>
  <c r="E9" i="1"/>
  <c r="F51" i="1"/>
  <c r="B37" i="1"/>
  <c r="F41" i="1"/>
  <c r="B10" i="1"/>
  <c r="D49" i="1"/>
  <c r="C24" i="1"/>
  <c r="D42" i="1"/>
  <c r="E49" i="1"/>
  <c r="B55" i="1"/>
  <c r="C8" i="1"/>
  <c r="C21" i="1"/>
  <c r="B36" i="1"/>
  <c r="E22" i="1"/>
  <c r="B44" i="1"/>
  <c r="C54" i="1"/>
  <c r="E10" i="1"/>
  <c r="D46" i="1"/>
  <c r="D31" i="1"/>
  <c r="D43" i="1"/>
  <c r="C32" i="1"/>
  <c r="E37" i="1"/>
  <c r="E13" i="1"/>
  <c r="D30" i="1"/>
  <c r="F28" i="1"/>
  <c r="F53" i="1"/>
  <c r="F34" i="1"/>
  <c r="E29" i="1"/>
  <c r="B25" i="1"/>
  <c r="D38" i="1"/>
  <c r="C12" i="1"/>
  <c r="D29" i="1"/>
  <c r="C23" i="1"/>
  <c r="E35" i="1"/>
  <c r="F18" i="1"/>
  <c r="D25" i="1"/>
  <c r="B30" i="1"/>
  <c r="E54" i="1"/>
  <c r="F49" i="1"/>
  <c r="D21" i="1"/>
  <c r="C49" i="1"/>
  <c r="D11" i="1"/>
  <c r="E52" i="1"/>
  <c r="B14" i="1"/>
  <c r="B7" i="1"/>
  <c r="B41" i="1"/>
  <c r="F30" i="1"/>
  <c r="C19" i="1"/>
  <c r="D22" i="1"/>
  <c r="D16" i="1"/>
  <c r="F50" i="1"/>
  <c r="F46" i="1"/>
  <c r="B8" i="1"/>
  <c r="B29" i="1"/>
  <c r="B23" i="1"/>
  <c r="E50" i="1"/>
  <c r="C16" i="1"/>
  <c r="D44" i="1"/>
  <c r="B45" i="1"/>
  <c r="F21" i="1"/>
  <c r="D18" i="1"/>
  <c r="D52" i="1"/>
  <c r="B48" i="1"/>
  <c r="B47" i="1"/>
  <c r="B46" i="1"/>
  <c r="E14" i="1"/>
  <c r="F11" i="1"/>
  <c r="E27" i="1"/>
  <c r="D33" i="1"/>
  <c r="D39" i="1"/>
  <c r="D35" i="1"/>
  <c r="B17" i="1"/>
  <c r="C48" i="1"/>
  <c r="B9" i="1"/>
  <c r="C37" i="1"/>
  <c r="B21" i="1"/>
  <c r="B28" i="1"/>
  <c r="E44" i="1"/>
  <c r="C53" i="1"/>
  <c r="F20" i="1"/>
  <c r="D47" i="1"/>
  <c r="F25" i="1"/>
  <c r="C35" i="1"/>
  <c r="B53" i="1"/>
  <c r="D8" i="1"/>
  <c r="B26" i="1"/>
  <c r="E24" i="1"/>
  <c r="E7" i="1"/>
  <c r="F23" i="1"/>
  <c r="E42" i="1"/>
  <c r="C50" i="1"/>
  <c r="C25" i="1"/>
  <c r="C39" i="1"/>
  <c r="E40" i="1"/>
  <c r="B15" i="1"/>
  <c r="E20" i="1"/>
  <c r="C9" i="1"/>
  <c r="C22" i="1"/>
  <c r="E15" i="1"/>
  <c r="F12" i="1"/>
  <c r="E21" i="1"/>
  <c r="E34" i="1"/>
  <c r="F43" i="1"/>
  <c r="E16" i="1"/>
  <c r="B40" i="1"/>
  <c r="B12" i="1"/>
  <c r="D28" i="1"/>
  <c r="F24" i="1"/>
  <c r="D48" i="1"/>
  <c r="C13" i="1"/>
  <c r="C51" i="1"/>
  <c r="F40" i="1"/>
  <c r="F22" i="1"/>
  <c r="F9" i="1"/>
  <c r="F16" i="1"/>
  <c r="D40" i="1"/>
  <c r="F8" i="1"/>
  <c r="E25" i="1"/>
  <c r="E19" i="1"/>
  <c r="B13" i="1"/>
  <c r="C43" i="1"/>
  <c r="B20" i="1"/>
  <c r="D26" i="1"/>
  <c r="D37" i="1"/>
  <c r="F45" i="1"/>
  <c r="F42" i="1"/>
  <c r="C30" i="1"/>
  <c r="D24" i="1"/>
  <c r="F38" i="1"/>
  <c r="C27" i="1"/>
  <c r="B16" i="1"/>
  <c r="C10" i="1"/>
  <c r="E39" i="1"/>
  <c r="D50" i="1"/>
  <c r="E26" i="1"/>
  <c r="D27" i="1"/>
  <c r="F27" i="1"/>
  <c r="C33" i="1"/>
  <c r="E30" i="1"/>
  <c r="C47" i="1"/>
  <c r="B13" i="11" l="1"/>
  <c r="B9" i="11"/>
  <c r="F18" i="13"/>
  <c r="C43" i="11"/>
  <c r="B35" i="11"/>
  <c r="F43" i="11"/>
  <c r="F53" i="11"/>
  <c r="C48" i="11"/>
  <c r="D43" i="11"/>
  <c r="E27" i="11"/>
  <c r="B32" i="11"/>
  <c r="D42" i="11"/>
  <c r="B26" i="11"/>
  <c r="C8" i="11"/>
  <c r="D49" i="11"/>
  <c r="F30" i="11"/>
  <c r="D28" i="11"/>
  <c r="F40" i="11"/>
  <c r="F12" i="11"/>
  <c r="B30" i="11"/>
  <c r="D29" i="11"/>
  <c r="C44" i="11"/>
  <c r="F54" i="11"/>
  <c r="B53" i="11"/>
  <c r="F16" i="11"/>
  <c r="E49" i="11"/>
  <c r="C32" i="11"/>
  <c r="E23" i="11"/>
  <c r="C40" i="11"/>
  <c r="D35" i="11"/>
  <c r="F50" i="11"/>
  <c r="E36" i="11"/>
  <c r="C14" i="11"/>
  <c r="E20" i="11"/>
  <c r="E42" i="11"/>
  <c r="E24" i="11"/>
  <c r="D26" i="11"/>
  <c r="B47" i="11"/>
  <c r="E12" i="11"/>
  <c r="F52" i="11"/>
  <c r="E35" i="11"/>
  <c r="D23" i="11"/>
  <c r="E51" i="11"/>
  <c r="E38" i="11"/>
  <c r="F35" i="11"/>
  <c r="F9" i="11"/>
  <c r="C31" i="11"/>
  <c r="D13" i="11"/>
  <c r="D53" i="11"/>
  <c r="E32" i="11"/>
  <c r="B37" i="11"/>
  <c r="F33" i="11"/>
  <c r="E53" i="11"/>
  <c r="E22" i="11"/>
  <c r="F24" i="11"/>
  <c r="B28" i="11"/>
  <c r="F11" i="11"/>
  <c r="D45" i="11"/>
  <c r="B31" i="11"/>
  <c r="B33" i="11"/>
  <c r="D17" i="11"/>
  <c r="D47" i="11"/>
  <c r="D34" i="11"/>
  <c r="B16" i="11"/>
  <c r="C17" i="11"/>
  <c r="D15" i="11"/>
  <c r="F18" i="11"/>
  <c r="C35" i="11"/>
  <c r="F8" i="11"/>
  <c r="E21" i="11"/>
  <c r="D36" i="11"/>
  <c r="B12" i="11"/>
  <c r="B17" i="11"/>
  <c r="E28" i="11"/>
  <c r="E15" i="11"/>
  <c r="F7" i="11"/>
  <c r="C16" i="11"/>
  <c r="C27" i="11"/>
  <c r="E7" i="11"/>
  <c r="D25" i="11"/>
  <c r="C29" i="11"/>
  <c r="F21" i="11"/>
  <c r="E50" i="11"/>
  <c r="B38" i="11"/>
  <c r="E44" i="11"/>
  <c r="F41" i="11"/>
  <c r="C28" i="11"/>
  <c r="E25" i="11"/>
  <c r="F42" i="11"/>
  <c r="B22" i="11"/>
  <c r="E13" i="11"/>
  <c r="B51" i="11"/>
  <c r="E19" i="11"/>
  <c r="B52" i="11"/>
  <c r="B25" i="11"/>
  <c r="C47" i="11"/>
  <c r="E46" i="11"/>
  <c r="D18" i="11"/>
  <c r="D31" i="11"/>
  <c r="B40" i="11"/>
  <c r="B41" i="11"/>
  <c r="C49" i="11"/>
  <c r="E10" i="11"/>
  <c r="C52" i="11"/>
  <c r="C25" i="11"/>
  <c r="E43" i="11"/>
  <c r="F39" i="11"/>
  <c r="F47" i="11"/>
  <c r="F22" i="11"/>
  <c r="C36" i="11"/>
  <c r="F45" i="11"/>
  <c r="F29" i="11"/>
  <c r="E26" i="11"/>
  <c r="C37" i="11"/>
  <c r="C26" i="11"/>
  <c r="D27" i="11"/>
  <c r="C21" i="11"/>
  <c r="E55" i="11"/>
  <c r="F31" i="11"/>
  <c r="C12" i="11"/>
  <c r="F48" i="11"/>
  <c r="F46" i="11"/>
  <c r="E17" i="11"/>
  <c r="D38" i="11"/>
  <c r="C10" i="11"/>
  <c r="B54" i="11"/>
  <c r="E54" i="11"/>
  <c r="F28" i="11"/>
  <c r="E37" i="11"/>
  <c r="B36" i="11"/>
  <c r="C34" i="11"/>
  <c r="B14" i="11"/>
  <c r="F14" i="11"/>
  <c r="E48" i="11"/>
  <c r="D7" i="11"/>
  <c r="B24" i="11"/>
  <c r="C11" i="11"/>
  <c r="E30" i="11"/>
  <c r="D55" i="11"/>
  <c r="C22" i="11"/>
  <c r="D52" i="11"/>
  <c r="D12" i="11"/>
  <c r="C23" i="11"/>
  <c r="D33" i="11"/>
  <c r="B21" i="11"/>
  <c r="D51" i="11"/>
  <c r="F49" i="11"/>
  <c r="B39" i="11"/>
  <c r="F15" i="11"/>
  <c r="D8" i="11"/>
  <c r="F25" i="11"/>
  <c r="B48" i="11"/>
  <c r="C33" i="11"/>
  <c r="E14" i="11"/>
  <c r="C46" i="11"/>
  <c r="D9" i="11"/>
  <c r="C39" i="11"/>
  <c r="C42" i="11"/>
  <c r="E47" i="11"/>
  <c r="D44" i="11"/>
  <c r="E45" i="11"/>
  <c r="C50" i="11"/>
  <c r="B11" i="11"/>
  <c r="D14" i="11"/>
  <c r="D21" i="11"/>
  <c r="B49" i="11"/>
  <c r="D46" i="11"/>
  <c r="C30" i="11"/>
  <c r="D32" i="11"/>
  <c r="E29" i="11"/>
  <c r="C9" i="11"/>
  <c r="E16" i="11"/>
  <c r="C51" i="11"/>
  <c r="F37" i="11"/>
  <c r="D20" i="11"/>
  <c r="C41" i="11"/>
  <c r="B43" i="11"/>
  <c r="D30" i="11"/>
  <c r="C24" i="11"/>
  <c r="F51" i="11"/>
  <c r="D54" i="11"/>
  <c r="F17" i="11"/>
  <c r="F38" i="11"/>
  <c r="B15" i="11"/>
  <c r="C7" i="11"/>
  <c r="C15" i="11"/>
  <c r="E34" i="11"/>
  <c r="D19" i="11"/>
  <c r="B7" i="11"/>
  <c r="E9" i="11"/>
  <c r="B29" i="11"/>
  <c r="E8" i="11"/>
  <c r="E33" i="11"/>
  <c r="B46" i="11"/>
  <c r="C20" i="11"/>
  <c r="F13" i="11"/>
  <c r="E31" i="11"/>
  <c r="D41" i="11"/>
  <c r="C45" i="11"/>
  <c r="F26" i="11"/>
  <c r="B23" i="11"/>
  <c r="B34" i="11"/>
  <c r="E40" i="11"/>
  <c r="E52" i="11"/>
  <c r="C19" i="11"/>
  <c r="B8" i="11"/>
  <c r="E39" i="11"/>
  <c r="F32" i="11"/>
  <c r="B19" i="11"/>
  <c r="F44" i="11"/>
  <c r="F10" i="11"/>
  <c r="B18" i="11"/>
  <c r="F27" i="11"/>
  <c r="D16" i="11"/>
  <c r="F55" i="11"/>
  <c r="F20" i="11"/>
  <c r="E41" i="11"/>
  <c r="D10" i="11"/>
  <c r="F36" i="11"/>
  <c r="B44" i="11"/>
  <c r="B10" i="11"/>
  <c r="C38" i="11"/>
  <c r="D50" i="11"/>
  <c r="D48" i="11"/>
  <c r="B20" i="11"/>
  <c r="D39" i="11"/>
  <c r="D11" i="11"/>
  <c r="D24" i="11"/>
  <c r="F23" i="11"/>
  <c r="B50" i="11"/>
  <c r="D22" i="11"/>
  <c r="E11" i="11"/>
  <c r="C54" i="11"/>
  <c r="F19" i="11"/>
  <c r="C13" i="11"/>
  <c r="B55" i="11"/>
  <c r="D37" i="11"/>
  <c r="B42" i="11"/>
  <c r="F34" i="11"/>
  <c r="B27" i="11"/>
  <c r="D40" i="11"/>
  <c r="B45" i="11"/>
  <c r="C53" i="11"/>
  <c r="C55" i="11"/>
  <c r="E18" i="11"/>
  <c r="C18" i="11"/>
  <c r="F19" i="13"/>
  <c r="F17" i="13"/>
  <c r="F15" i="13"/>
  <c r="F21" i="13"/>
  <c r="F14" i="13"/>
  <c r="F20" i="13"/>
  <c r="F16" i="13"/>
</calcChain>
</file>

<file path=xl/sharedStrings.xml><?xml version="1.0" encoding="utf-8"?>
<sst xmlns="http://schemas.openxmlformats.org/spreadsheetml/2006/main" count="1262" uniqueCount="183">
  <si>
    <t>England</t>
  </si>
  <si>
    <t>Wholetime</t>
  </si>
  <si>
    <t>Retained Duty System</t>
  </si>
  <si>
    <t>Fire Control</t>
  </si>
  <si>
    <t>Support Staff</t>
  </si>
  <si>
    <t>Total</t>
  </si>
  <si>
    <t>The full set of fire statistics releases, tables and guidance can be found on our landing page, here-</t>
  </si>
  <si>
    <t>https://www.gov.uk/government/collections/fire-statistics</t>
  </si>
  <si>
    <t>Metropolitan fire and rescue authorities</t>
  </si>
  <si>
    <t>Non Metropolitan fire and rescue authorities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</si>
  <si>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</si>
  <si>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</si>
  <si>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</si>
  <si>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</si>
  <si>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</si>
  <si>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</si>
  <si>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</si>
  <si>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</si>
  <si>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</si>
  <si>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</si>
  <si>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</si>
  <si>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</si>
  <si>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</si>
  <si>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</si>
  <si>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</si>
  <si>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</si>
  <si>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</si>
  <si>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</si>
  <si>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</si>
  <si>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Hereford and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</si>
  <si>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</si>
  <si>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</si>
  <si>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</si>
  <si>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</si>
  <si>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</si>
  <si>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</si>
  <si>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</si>
  <si>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</si>
  <si>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</si>
  <si>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</si>
  <si>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West Fire Control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</si>
  <si>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</si>
  <si>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</si>
  <si>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</si>
  <si>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</si>
  <si>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</si>
  <si>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</si>
  <si>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</si>
  <si>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</si>
  <si>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</si>
  <si>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</si>
  <si>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and Wear</t>
  </si>
  <si>
    <t>Warwickshire</t>
  </si>
  <si>
    <t>West Midlands</t>
  </si>
  <si>
    <t>West Sussex</t>
  </si>
  <si>
    <t>West Yorkshire</t>
  </si>
  <si>
    <t>Wiltshire</t>
  </si>
  <si>
    <t>2015-16</t>
  </si>
  <si>
    <r>
      <t>Appendix 4. Personnel leaving (headcount) by duty system in England at 31 March 2015</t>
    </r>
    <r>
      <rPr>
        <b/>
        <vertAlign val="superscript"/>
        <sz val="14"/>
        <color indexed="43"/>
        <rFont val="Arial"/>
        <family val="2"/>
      </rPr>
      <t>1</t>
    </r>
  </si>
  <si>
    <t>Retained duty system</t>
  </si>
  <si>
    <t>Fire control</t>
  </si>
  <si>
    <t>Support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</si>
  <si>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</si>
  <si>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</si>
  <si>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</si>
  <si>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</si>
  <si>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</si>
  <si>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</si>
  <si>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1. Includes re-employment as support staff by the same FRA</t>
  </si>
  <si>
    <t>Source:  DCLG Annual Returns</t>
  </si>
  <si>
    <t>FRA</t>
  </si>
  <si>
    <t>Select a year from the drop-down list in the orange box below:</t>
  </si>
  <si>
    <t>2014-15</t>
  </si>
  <si>
    <r>
      <t>Appendix 4. Personnel leaving (headcount) by duty system in England at 31 March 2011</t>
    </r>
    <r>
      <rPr>
        <b/>
        <vertAlign val="superscript"/>
        <sz val="14"/>
        <color indexed="43"/>
        <rFont val="Arial"/>
        <family val="2"/>
      </rPr>
      <t>1</t>
    </r>
  </si>
  <si>
    <r>
      <t>Appendix 4. Personnel leaving (headcount) by duty system in England at 31 March 2016</t>
    </r>
    <r>
      <rPr>
        <b/>
        <vertAlign val="superscript"/>
        <sz val="14"/>
        <color indexed="43"/>
        <rFont val="Arial"/>
        <family val="2"/>
      </rPr>
      <t>1</t>
    </r>
  </si>
  <si>
    <t>..</t>
  </si>
  <si>
    <t>2010-11</t>
  </si>
  <si>
    <t>2011-12</t>
  </si>
  <si>
    <t>2012-13</t>
  </si>
  <si>
    <t>2013-14</t>
  </si>
  <si>
    <r>
      <t>Appendix 4. Personnel leaving (headcount) by duty system in England at 31 March 2014</t>
    </r>
    <r>
      <rPr>
        <b/>
        <vertAlign val="superscript"/>
        <sz val="14"/>
        <color indexed="43"/>
        <rFont val="Arial"/>
        <family val="2"/>
      </rPr>
      <t>1</t>
    </r>
  </si>
  <si>
    <r>
      <t>Appendix 3. Job applicants, successful applicants, leavers and joiners in England in 2009/10</t>
    </r>
    <r>
      <rPr>
        <b/>
        <vertAlign val="superscript"/>
        <sz val="14"/>
        <color indexed="43"/>
        <rFont val="Arial"/>
        <family val="2"/>
      </rPr>
      <t>1</t>
    </r>
  </si>
  <si>
    <t>Leavers</t>
  </si>
  <si>
    <r>
      <t>Cleveland</t>
    </r>
    <r>
      <rPr>
        <vertAlign val="superscript"/>
        <sz val="10"/>
        <rFont val="Arial"/>
        <family val="2"/>
      </rPr>
      <t>2</t>
    </r>
  </si>
  <si>
    <r>
      <t>Durham</t>
    </r>
    <r>
      <rPr>
        <vertAlign val="superscript"/>
        <sz val="10"/>
        <rFont val="Arial"/>
        <family val="2"/>
      </rPr>
      <t>2</t>
    </r>
  </si>
  <si>
    <r>
      <t>Northumberland</t>
    </r>
    <r>
      <rPr>
        <vertAlign val="superscript"/>
        <sz val="10"/>
        <rFont val="Arial"/>
        <family val="2"/>
      </rPr>
      <t>2</t>
    </r>
  </si>
  <si>
    <r>
      <t>Greater Manchester</t>
    </r>
    <r>
      <rPr>
        <vertAlign val="superscript"/>
        <sz val="10"/>
        <rFont val="Arial"/>
        <family val="2"/>
      </rPr>
      <t>3</t>
    </r>
  </si>
  <si>
    <r>
      <t>Tyne &amp; Wear</t>
    </r>
    <r>
      <rPr>
        <vertAlign val="superscript"/>
        <sz val="10"/>
        <rFont val="Arial"/>
        <family val="2"/>
      </rPr>
      <t>4</t>
    </r>
  </si>
  <si>
    <r>
      <t>Greater London</t>
    </r>
    <r>
      <rPr>
        <vertAlign val="superscript"/>
        <sz val="10"/>
        <color indexed="8"/>
        <rFont val="Arial"/>
        <family val="2"/>
      </rPr>
      <t>5</t>
    </r>
  </si>
  <si>
    <t>1. The outcome of an application may not be in the same year as the application was made</t>
  </si>
  <si>
    <t>2. Some wholetime applicant and successful applicant figures may be included with those for Tyne &amp; Wear</t>
  </si>
  <si>
    <t xml:space="preserve">3. Partial figure, as information not available for the whole financial year </t>
  </si>
  <si>
    <t>4. Wholetime applicant and successful applicant figures may include some of those for Cleveland, County Durham &amp; Darlington and Northumberland</t>
  </si>
  <si>
    <t>5. Number of applicants and successful applications are not available for London</t>
  </si>
  <si>
    <t>N/a  Not available</t>
  </si>
  <si>
    <t>Source:  CLG Annual Returns</t>
  </si>
  <si>
    <r>
      <t>Appendix 4. Personnel leaving (headcount) by duty system in England during 2011-12</t>
    </r>
    <r>
      <rPr>
        <b/>
        <vertAlign val="superscript"/>
        <sz val="14"/>
        <color indexed="43"/>
        <rFont val="Arial"/>
        <family val="2"/>
      </rPr>
      <t>1</t>
    </r>
  </si>
  <si>
    <r>
      <t>Hampshire</t>
    </r>
    <r>
      <rPr>
        <vertAlign val="superscript"/>
        <sz val="10"/>
        <rFont val="Arial"/>
        <family val="2"/>
      </rPr>
      <t>2</t>
    </r>
  </si>
  <si>
    <t xml:space="preserve">2. Hampshire retained duty system leavers now include new starters that fail elements of recruitment process </t>
  </si>
  <si>
    <r>
      <t>Appendix 4. Personnel leaving (headcount) by duty system in England at 31 March 2013</t>
    </r>
    <r>
      <rPr>
        <b/>
        <vertAlign val="superscript"/>
        <sz val="14"/>
        <color indexed="43"/>
        <rFont val="Arial"/>
        <family val="2"/>
      </rPr>
      <t>1</t>
    </r>
  </si>
  <si>
    <t>2009-10</t>
  </si>
  <si>
    <t>Note on North West Fire Control</t>
  </si>
  <si>
    <t>North West Fire Control is a public sector company set up exclusively by some of the fire and rescue services in the North West (Cheshire, Cumbria, Lancashire and Greater Manchester). It started operating in May 2015.</t>
  </si>
  <si>
    <t>The statistics in this table are Official Statistics.</t>
  </si>
  <si>
    <r>
      <t>FIRE STATISTICS TABLE 1110: Staff leaving fire authorities, by fire and rescue authority and by role</t>
    </r>
    <r>
      <rPr>
        <b/>
        <vertAlign val="superscript"/>
        <sz val="11"/>
        <color rgb="FFFFFFFF"/>
        <rFont val="Arial Black"/>
        <family val="2"/>
      </rPr>
      <t>1</t>
    </r>
  </si>
  <si>
    <t>Appendix 4. Personnel leaving (headcount) by duty system in England at 31 March 2017</t>
  </si>
  <si>
    <t>Dorset and Wiltshire</t>
  </si>
  <si>
    <t>2016-17</t>
  </si>
  <si>
    <t>drop down menu works</t>
  </si>
  <si>
    <t>London is one of the biggest</t>
  </si>
  <si>
    <t>Isles of Scilly and Isle of Wight one of smallest</t>
  </si>
  <si>
    <t>Source: Home Office Operational Statistics Data Collection, figures supplied by fire and rescue authorities.</t>
  </si>
  <si>
    <t>Appendix 4. Personnel leaving (headcount) by duty system in England at 31 March 2018</t>
  </si>
  <si>
    <t>2017-18</t>
  </si>
  <si>
    <t>Pink cells</t>
  </si>
  <si>
    <t>are the ones picked up in the macro</t>
  </si>
  <si>
    <t>red font</t>
  </si>
  <si>
    <t>are the cells you need to check are still correct</t>
  </si>
  <si>
    <t>Link_Start</t>
  </si>
  <si>
    <t>Year</t>
  </si>
  <si>
    <t>Return_Name</t>
  </si>
  <si>
    <t>FRS_Loop</t>
  </si>
  <si>
    <t>Link_End</t>
  </si>
  <si>
    <t>2018_19</t>
  </si>
  <si>
    <t>\\Poise.Homeoffice.Local\Home\RQG\Users\BeevorE\My Documents\003 Fire Operational Statistics\</t>
  </si>
  <si>
    <t>\data supplied\LE\LE_</t>
  </si>
  <si>
    <t>Sheet_Name_LE1</t>
  </si>
  <si>
    <t>LE1</t>
  </si>
  <si>
    <t>Sheet_Name_LE2</t>
  </si>
  <si>
    <t>LE2</t>
  </si>
  <si>
    <t>Sheet_Name_LE3</t>
  </si>
  <si>
    <t>LE3</t>
  </si>
  <si>
    <t>Sheet_Name_LE4</t>
  </si>
  <si>
    <t>LE4</t>
  </si>
  <si>
    <t>Cell_Loop_LE1</t>
  </si>
  <si>
    <t>Cell_Loop_Desc_LE1</t>
  </si>
  <si>
    <t>Cell_Loop_LE2</t>
  </si>
  <si>
    <t>Cell_Loop_Desc_LE2</t>
  </si>
  <si>
    <t>Cell_Loop_Desc_LE3</t>
  </si>
  <si>
    <t>Cell_Loop_LE3</t>
  </si>
  <si>
    <t>Cell_Loop_LE4</t>
  </si>
  <si>
    <t>Cell_Loop_Desc_LE4</t>
  </si>
  <si>
    <t>FRS_name</t>
  </si>
  <si>
    <t>Role</t>
  </si>
  <si>
    <t>I27</t>
  </si>
  <si>
    <t>G30</t>
  </si>
  <si>
    <t>G27</t>
  </si>
  <si>
    <t>B27</t>
  </si>
  <si>
    <t>Count</t>
  </si>
  <si>
    <t>2018-19</t>
  </si>
  <si>
    <t>Appendix 4. Personnel leaving (headcount) by duty system in England at 31 March 2019</t>
  </si>
  <si>
    <t>Contact: FireStatistics@homeoffice.gov.uk</t>
  </si>
  <si>
    <t>Next Update: Autumn 2020</t>
  </si>
  <si>
    <t>Last Updated: 31 October 2019</t>
  </si>
  <si>
    <t>Checklist</t>
  </si>
  <si>
    <t>wholetime + on call + fire control + support staff = total staff</t>
  </si>
  <si>
    <t>spot check some figures from the raw sheet</t>
  </si>
  <si>
    <t>Newest year has been included</t>
  </si>
  <si>
    <t>Footnotes are relevant</t>
  </si>
  <si>
    <t>Notes are correct</t>
  </si>
  <si>
    <t>Links work</t>
  </si>
  <si>
    <t>Last updated date is correct</t>
  </si>
  <si>
    <t>Next update date is planned next  release period</t>
  </si>
  <si>
    <t>Checker</t>
  </si>
  <si>
    <t>Error?</t>
  </si>
  <si>
    <t>Eliot</t>
  </si>
  <si>
    <t>Comments</t>
  </si>
  <si>
    <t>Colleen</t>
  </si>
  <si>
    <t>Deborah</t>
  </si>
  <si>
    <t>Molly</t>
  </si>
  <si>
    <t>Victoria</t>
  </si>
  <si>
    <t>Checks left to do or resolve</t>
  </si>
  <si>
    <t>Paul</t>
  </si>
  <si>
    <t>No</t>
  </si>
  <si>
    <t>Yes</t>
  </si>
  <si>
    <t>Checks for 1110</t>
  </si>
  <si>
    <t>Check totals match 1111</t>
  </si>
  <si>
    <t>no</t>
  </si>
  <si>
    <t>NO</t>
  </si>
  <si>
    <t>1 Includes re-employment as support staff by the same FRA.</t>
  </si>
  <si>
    <t>2 Also known as Retained Duty System.</t>
  </si>
  <si>
    <t>Wholetime firefighters</t>
  </si>
  <si>
    <r>
      <t>On-call firefighters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</si>
</sst>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_ ;\-#,##0\ "/>
    <numFmt numFmtId="167" formatCode="#,##0.000_ ;\-#,##0.000\ "/>
    <numFmt numFmtId="168" formatCode="0.0%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vertAlign val="superscript"/>
      <sz val="14"/>
      <color indexed="4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</font>
    <font>
      <sz val="10"/>
      <name val="Arial"/>
      <family val="2"/>
    </font>
    <font>
      <sz val="14"/>
      <color indexed="9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2"/>
      <name val="Arial"/>
      <family val="2"/>
    </font>
    <font>
      <b/>
      <vertAlign val="superscript"/>
      <sz val="11"/>
      <color rgb="FFFFFFFF"/>
      <name val="Arial Black"/>
      <family val="2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MS Sans Serif"/>
    </font>
    <font>
      <vertAlign val="superscript"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12" fillId="0" borderId="0"/>
    <xf numFmtId="0" fontId="16" fillId="0" borderId="0"/>
    <xf numFmtId="0" fontId="17" fillId="0" borderId="0"/>
    <xf numFmtId="9" fontId="23" fillId="0" borderId="0" applyFont="0" applyFill="0" applyBorder="0" applyAlignment="0" applyProtection="0"/>
  </cellStyleXfs>
  <cellXfs count="164">
    <xf numFmtId="0" fontId="0" fillId="0" borderId="0" xfId="0"/>
    <xf numFmtId="0" fontId="2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1" fontId="0" fillId="4" borderId="0" xfId="0" applyNumberFormat="1" applyFill="1"/>
    <xf numFmtId="164" fontId="0" fillId="5" borderId="0" xfId="0" applyNumberFormat="1" applyFill="1"/>
    <xf numFmtId="1" fontId="0" fillId="5" borderId="0" xfId="0" applyNumberFormat="1" applyFill="1"/>
    <xf numFmtId="3" fontId="0" fillId="5" borderId="0" xfId="0" applyNumberForma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0" fontId="0" fillId="4" borderId="1" xfId="0" applyFill="1" applyBorder="1"/>
    <xf numFmtId="0" fontId="4" fillId="4" borderId="0" xfId="0" applyFont="1" applyFill="1"/>
    <xf numFmtId="0" fontId="0" fillId="4" borderId="0" xfId="0" applyFill="1" applyAlignment="1">
      <alignment horizontal="left" wrapText="1"/>
    </xf>
    <xf numFmtId="0" fontId="5" fillId="4" borderId="0" xfId="2" applyFont="1" applyFill="1"/>
    <xf numFmtId="0" fontId="0" fillId="4" borderId="0" xfId="0" applyFill="1" applyAlignment="1">
      <alignment horizontal="right"/>
    </xf>
    <xf numFmtId="3" fontId="0" fillId="4" borderId="0" xfId="0" applyNumberFormat="1" applyFill="1"/>
    <xf numFmtId="0" fontId="7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0" fillId="0" borderId="6" xfId="3" applyFont="1" applyBorder="1" applyAlignment="1">
      <alignment horizontal="right" vertical="center" wrapText="1"/>
    </xf>
    <xf numFmtId="0" fontId="11" fillId="0" borderId="6" xfId="3" applyFont="1" applyBorder="1" applyAlignment="1">
      <alignment horizontal="right" vertical="center" wrapText="1"/>
    </xf>
    <xf numFmtId="0" fontId="11" fillId="0" borderId="0" xfId="3" applyFont="1" applyBorder="1" applyAlignment="1">
      <alignment vertical="center"/>
    </xf>
    <xf numFmtId="3" fontId="11" fillId="0" borderId="0" xfId="3" applyNumberFormat="1" applyFont="1" applyBorder="1" applyAlignment="1">
      <alignment horizontal="right" vertical="center" wrapText="1"/>
    </xf>
    <xf numFmtId="165" fontId="10" fillId="0" borderId="0" xfId="3" applyNumberFormat="1" applyFont="1" applyBorder="1" applyAlignment="1">
      <alignment vertical="center"/>
    </xf>
    <xf numFmtId="3" fontId="10" fillId="0" borderId="0" xfId="3" applyNumberFormat="1" applyFont="1" applyBorder="1" applyAlignment="1">
      <alignment vertical="center"/>
    </xf>
    <xf numFmtId="0" fontId="10" fillId="0" borderId="0" xfId="3" applyFont="1" applyAlignment="1">
      <alignment vertical="center"/>
    </xf>
    <xf numFmtId="3" fontId="11" fillId="0" borderId="0" xfId="3" applyNumberFormat="1" applyFont="1" applyBorder="1" applyAlignment="1">
      <alignment horizontal="right" vertical="center"/>
    </xf>
    <xf numFmtId="0" fontId="12" fillId="0" borderId="0" xfId="3" applyFont="1" applyAlignment="1">
      <alignment vertical="center"/>
    </xf>
    <xf numFmtId="0" fontId="12" fillId="0" borderId="0" xfId="3" applyFont="1" applyBorder="1" applyAlignment="1">
      <alignment vertical="center"/>
    </xf>
    <xf numFmtId="3" fontId="12" fillId="0" borderId="0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vertical="center"/>
    </xf>
    <xf numFmtId="0" fontId="13" fillId="0" borderId="0" xfId="3" applyFont="1" applyBorder="1" applyAlignment="1">
      <alignment vertical="center"/>
    </xf>
    <xf numFmtId="3" fontId="12" fillId="0" borderId="0" xfId="3" applyNumberFormat="1" applyFont="1" applyBorder="1" applyAlignment="1">
      <alignment horizontal="right" vertical="center"/>
    </xf>
    <xf numFmtId="0" fontId="14" fillId="0" borderId="6" xfId="3" applyFont="1" applyBorder="1" applyAlignment="1">
      <alignment vertical="center"/>
    </xf>
    <xf numFmtId="3" fontId="12" fillId="0" borderId="6" xfId="3" applyNumberFormat="1" applyFont="1" applyFill="1" applyBorder="1" applyAlignment="1">
      <alignment horizontal="right" vertical="center"/>
    </xf>
    <xf numFmtId="3" fontId="12" fillId="0" borderId="6" xfId="3" applyNumberFormat="1" applyFont="1" applyBorder="1" applyAlignment="1">
      <alignment horizontal="right" vertical="center"/>
    </xf>
    <xf numFmtId="3" fontId="11" fillId="0" borderId="6" xfId="3" applyNumberFormat="1" applyFont="1" applyBorder="1" applyAlignment="1">
      <alignment horizontal="right" vertical="center" wrapText="1"/>
    </xf>
    <xf numFmtId="0" fontId="14" fillId="0" borderId="0" xfId="3" applyFont="1" applyBorder="1" applyAlignment="1">
      <alignment vertical="center"/>
    </xf>
    <xf numFmtId="166" fontId="12" fillId="0" borderId="0" xfId="3" applyNumberFormat="1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49" fontId="12" fillId="0" borderId="0" xfId="4" applyNumberFormat="1" applyFont="1" applyBorder="1" applyAlignment="1">
      <alignment vertical="center"/>
    </xf>
    <xf numFmtId="166" fontId="15" fillId="0" borderId="0" xfId="3" applyNumberFormat="1" applyFont="1" applyBorder="1" applyAlignment="1">
      <alignment vertical="center"/>
    </xf>
    <xf numFmtId="167" fontId="15" fillId="0" borderId="0" xfId="3" applyNumberFormat="1" applyFont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4" fillId="4" borderId="0" xfId="1" applyFont="1" applyFill="1" applyAlignment="1">
      <alignment vertical="center"/>
    </xf>
    <xf numFmtId="0" fontId="3" fillId="5" borderId="0" xfId="1" applyFill="1"/>
    <xf numFmtId="0" fontId="1" fillId="4" borderId="0" xfId="0" applyFont="1" applyFill="1"/>
    <xf numFmtId="0" fontId="1" fillId="4" borderId="2" xfId="0" applyFont="1" applyFill="1" applyBorder="1"/>
    <xf numFmtId="0" fontId="1" fillId="4" borderId="0" xfId="0" applyFont="1" applyFill="1" applyBorder="1"/>
    <xf numFmtId="0" fontId="7" fillId="0" borderId="0" xfId="5" applyFont="1" applyBorder="1" applyAlignment="1">
      <alignment vertical="center"/>
    </xf>
    <xf numFmtId="0" fontId="10" fillId="0" borderId="0" xfId="5" applyFont="1" applyBorder="1" applyAlignment="1">
      <alignment vertical="center"/>
    </xf>
    <xf numFmtId="0" fontId="10" fillId="0" borderId="6" xfId="5" applyFont="1" applyBorder="1" applyAlignment="1">
      <alignment horizontal="right" vertical="center" wrapText="1"/>
    </xf>
    <xf numFmtId="0" fontId="10" fillId="0" borderId="4" xfId="5" applyFont="1" applyBorder="1" applyAlignment="1">
      <alignment horizontal="right" vertical="center" wrapText="1"/>
    </xf>
    <xf numFmtId="0" fontId="11" fillId="0" borderId="4" xfId="5" applyFont="1" applyBorder="1" applyAlignment="1">
      <alignment horizontal="right" vertical="center" wrapText="1"/>
    </xf>
    <xf numFmtId="0" fontId="11" fillId="0" borderId="0" xfId="5" applyFont="1" applyBorder="1" applyAlignment="1">
      <alignment vertical="center"/>
    </xf>
    <xf numFmtId="3" fontId="11" fillId="0" borderId="0" xfId="5" applyNumberFormat="1" applyFont="1" applyBorder="1" applyAlignment="1">
      <alignment horizontal="right" vertical="center" wrapText="1"/>
    </xf>
    <xf numFmtId="0" fontId="10" fillId="0" borderId="0" xfId="5" applyFont="1" applyAlignment="1">
      <alignment vertical="center"/>
    </xf>
    <xf numFmtId="3" fontId="11" fillId="0" borderId="0" xfId="5" applyNumberFormat="1" applyFont="1" applyBorder="1" applyAlignment="1">
      <alignment horizontal="right" vertical="center"/>
    </xf>
    <xf numFmtId="0" fontId="12" fillId="0" borderId="0" xfId="5" applyFont="1" applyAlignment="1">
      <alignment vertical="center"/>
    </xf>
    <xf numFmtId="0" fontId="12" fillId="0" borderId="0" xfId="5" applyFont="1" applyBorder="1" applyAlignment="1">
      <alignment vertical="center"/>
    </xf>
    <xf numFmtId="3" fontId="12" fillId="0" borderId="0" xfId="5" applyNumberFormat="1" applyFont="1" applyFill="1" applyBorder="1" applyAlignment="1">
      <alignment horizontal="right" vertical="center"/>
    </xf>
    <xf numFmtId="0" fontId="12" fillId="0" borderId="0" xfId="5" applyFont="1" applyFill="1" applyBorder="1" applyAlignment="1">
      <alignment vertical="center"/>
    </xf>
    <xf numFmtId="0" fontId="13" fillId="0" borderId="0" xfId="5" applyFont="1" applyBorder="1" applyAlignment="1">
      <alignment vertical="center"/>
    </xf>
    <xf numFmtId="3" fontId="12" fillId="0" borderId="0" xfId="5" applyNumberFormat="1" applyFont="1" applyBorder="1" applyAlignment="1">
      <alignment horizontal="right" vertical="center"/>
    </xf>
    <xf numFmtId="0" fontId="14" fillId="0" borderId="6" xfId="5" applyFont="1" applyBorder="1" applyAlignment="1">
      <alignment vertical="center"/>
    </xf>
    <xf numFmtId="3" fontId="12" fillId="0" borderId="6" xfId="5" applyNumberFormat="1" applyFont="1" applyFill="1" applyBorder="1" applyAlignment="1">
      <alignment horizontal="right" vertical="center"/>
    </xf>
    <xf numFmtId="3" fontId="12" fillId="0" borderId="6" xfId="5" applyNumberFormat="1" applyFont="1" applyBorder="1" applyAlignment="1">
      <alignment horizontal="right" vertical="center"/>
    </xf>
    <xf numFmtId="3" fontId="11" fillId="0" borderId="6" xfId="5" applyNumberFormat="1" applyFont="1" applyBorder="1" applyAlignment="1">
      <alignment horizontal="right" vertical="center" wrapText="1"/>
    </xf>
    <xf numFmtId="0" fontId="14" fillId="0" borderId="0" xfId="5" applyFont="1" applyBorder="1" applyAlignment="1">
      <alignment vertical="center"/>
    </xf>
    <xf numFmtId="166" fontId="12" fillId="0" borderId="0" xfId="5" applyNumberFormat="1" applyFont="1" applyBorder="1" applyAlignment="1">
      <alignment vertical="center"/>
    </xf>
    <xf numFmtId="0" fontId="15" fillId="0" borderId="0" xfId="5" applyFont="1" applyBorder="1" applyAlignment="1">
      <alignment vertical="center"/>
    </xf>
    <xf numFmtId="49" fontId="12" fillId="0" borderId="0" xfId="6" applyNumberFormat="1" applyFont="1" applyBorder="1" applyAlignment="1">
      <alignment vertical="center"/>
    </xf>
    <xf numFmtId="166" fontId="15" fillId="0" borderId="0" xfId="5" applyNumberFormat="1" applyFont="1" applyBorder="1" applyAlignment="1">
      <alignment vertical="center"/>
    </xf>
    <xf numFmtId="167" fontId="15" fillId="0" borderId="0" xfId="5" applyNumberFormat="1" applyFont="1" applyBorder="1" applyAlignment="1">
      <alignment vertical="center"/>
    </xf>
    <xf numFmtId="3" fontId="10" fillId="0" borderId="0" xfId="3" applyNumberFormat="1" applyFont="1" applyBorder="1" applyAlignment="1">
      <alignment horizontal="right" vertical="center"/>
    </xf>
    <xf numFmtId="0" fontId="12" fillId="8" borderId="0" xfId="3" applyFont="1" applyFill="1" applyBorder="1" applyAlignment="1">
      <alignment vertical="center"/>
    </xf>
    <xf numFmtId="3" fontId="12" fillId="8" borderId="0" xfId="3" applyNumberFormat="1" applyFont="1" applyFill="1" applyBorder="1" applyAlignment="1">
      <alignment horizontal="right" vertical="center"/>
    </xf>
    <xf numFmtId="3" fontId="11" fillId="8" borderId="0" xfId="3" applyNumberFormat="1" applyFont="1" applyFill="1" applyBorder="1" applyAlignment="1">
      <alignment horizontal="right" vertical="center" wrapText="1"/>
    </xf>
    <xf numFmtId="0" fontId="11" fillId="0" borderId="6" xfId="5" applyFont="1" applyBorder="1" applyAlignment="1">
      <alignment horizontal="right" vertical="center" wrapText="1"/>
    </xf>
    <xf numFmtId="3" fontId="10" fillId="0" borderId="0" xfId="5" applyNumberFormat="1" applyFont="1" applyBorder="1" applyAlignment="1">
      <alignment vertical="center"/>
    </xf>
    <xf numFmtId="3" fontId="11" fillId="0" borderId="0" xfId="5" applyNumberFormat="1" applyFont="1" applyBorder="1" applyAlignment="1">
      <alignment vertical="center"/>
    </xf>
    <xf numFmtId="3" fontId="11" fillId="0" borderId="0" xfId="5" applyNumberFormat="1" applyFont="1" applyFill="1" applyBorder="1" applyAlignment="1">
      <alignment vertical="center"/>
    </xf>
    <xf numFmtId="49" fontId="12" fillId="0" borderId="0" xfId="5" applyNumberFormat="1" applyFont="1" applyBorder="1" applyAlignment="1">
      <alignment horizontal="left" vertical="center"/>
    </xf>
    <xf numFmtId="0" fontId="12" fillId="0" borderId="0" xfId="5" applyFont="1" applyBorder="1" applyAlignment="1">
      <alignment horizontal="left" vertical="center"/>
    </xf>
    <xf numFmtId="166" fontId="12" fillId="0" borderId="0" xfId="5" applyNumberFormat="1" applyFont="1" applyBorder="1" applyAlignment="1">
      <alignment horizontal="left" vertical="center"/>
    </xf>
    <xf numFmtId="49" fontId="12" fillId="0" borderId="0" xfId="5" applyNumberFormat="1" applyFont="1" applyFill="1" applyBorder="1" applyAlignment="1">
      <alignment vertical="center"/>
    </xf>
    <xf numFmtId="49" fontId="12" fillId="0" borderId="0" xfId="5" applyNumberFormat="1" applyFont="1" applyBorder="1" applyAlignment="1">
      <alignment vertical="center"/>
    </xf>
    <xf numFmtId="0" fontId="8" fillId="9" borderId="0" xfId="5" applyFont="1" applyFill="1" applyBorder="1" applyAlignment="1">
      <alignment vertical="center"/>
    </xf>
    <xf numFmtId="0" fontId="18" fillId="9" borderId="0" xfId="5" applyFont="1" applyFill="1" applyBorder="1" applyAlignment="1">
      <alignment vertical="center"/>
    </xf>
    <xf numFmtId="0" fontId="7" fillId="9" borderId="0" xfId="5" applyFont="1" applyFill="1" applyBorder="1" applyAlignment="1">
      <alignment vertical="center"/>
    </xf>
    <xf numFmtId="0" fontId="12" fillId="10" borderId="0" xfId="5" applyFont="1" applyFill="1" applyBorder="1" applyAlignment="1">
      <alignment vertical="center"/>
    </xf>
    <xf numFmtId="3" fontId="12" fillId="10" borderId="0" xfId="5" applyNumberFormat="1" applyFont="1" applyFill="1" applyBorder="1" applyAlignment="1">
      <alignment horizontal="right" vertical="center"/>
    </xf>
    <xf numFmtId="3" fontId="11" fillId="10" borderId="0" xfId="5" applyNumberFormat="1" applyFont="1" applyFill="1" applyBorder="1" applyAlignment="1">
      <alignment horizontal="right" vertical="center" wrapText="1"/>
    </xf>
    <xf numFmtId="168" fontId="10" fillId="0" borderId="0" xfId="5" applyNumberFormat="1" applyFont="1" applyBorder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0" fontId="21" fillId="0" borderId="0" xfId="5" applyFont="1" applyFill="1" applyBorder="1" applyAlignment="1">
      <alignment vertical="center"/>
    </xf>
    <xf numFmtId="0" fontId="0" fillId="4" borderId="0" xfId="0" applyFill="1" applyAlignment="1">
      <alignment horizontal="left" wrapText="1"/>
    </xf>
    <xf numFmtId="0" fontId="0" fillId="4" borderId="0" xfId="0" applyFill="1" applyAlignment="1"/>
    <xf numFmtId="3" fontId="0" fillId="5" borderId="0" xfId="0" applyNumberFormat="1" applyFont="1" applyFill="1" applyBorder="1" applyAlignment="1">
      <alignment horizontal="right"/>
    </xf>
    <xf numFmtId="3" fontId="0" fillId="5" borderId="2" xfId="0" applyNumberFormat="1" applyFill="1" applyBorder="1" applyAlignment="1">
      <alignment horizontal="right"/>
    </xf>
    <xf numFmtId="0" fontId="0" fillId="4" borderId="0" xfId="0" applyFill="1" applyBorder="1"/>
    <xf numFmtId="3" fontId="0" fillId="0" borderId="0" xfId="0" applyNumberFormat="1"/>
    <xf numFmtId="3" fontId="0" fillId="5" borderId="1" xfId="0" applyNumberFormat="1" applyFont="1" applyFill="1" applyBorder="1" applyAlignment="1">
      <alignment horizontal="right"/>
    </xf>
    <xf numFmtId="0" fontId="24" fillId="0" borderId="0" xfId="0" applyFont="1"/>
    <xf numFmtId="0" fontId="25" fillId="0" borderId="0" xfId="0" applyFont="1"/>
    <xf numFmtId="14" fontId="25" fillId="0" borderId="0" xfId="0" applyNumberFormat="1" applyFont="1"/>
    <xf numFmtId="3" fontId="1" fillId="5" borderId="1" xfId="0" applyNumberFormat="1" applyFont="1" applyFill="1" applyBorder="1" applyAlignment="1">
      <alignment horizontal="right"/>
    </xf>
    <xf numFmtId="0" fontId="0" fillId="0" borderId="0" xfId="0" applyFill="1"/>
    <xf numFmtId="3" fontId="0" fillId="0" borderId="0" xfId="0" applyNumberFormat="1" applyFill="1"/>
    <xf numFmtId="9" fontId="0" fillId="0" borderId="0" xfId="7" applyFont="1" applyFill="1"/>
    <xf numFmtId="0" fontId="0" fillId="9" borderId="0" xfId="0" applyFill="1"/>
    <xf numFmtId="3" fontId="0" fillId="9" borderId="0" xfId="0" applyNumberFormat="1" applyFill="1"/>
    <xf numFmtId="9" fontId="0" fillId="9" borderId="0" xfId="7" applyFont="1" applyFill="1"/>
    <xf numFmtId="0" fontId="0" fillId="11" borderId="0" xfId="0" applyFill="1"/>
    <xf numFmtId="3" fontId="0" fillId="11" borderId="0" xfId="0" applyNumberFormat="1" applyFill="1"/>
    <xf numFmtId="9" fontId="0" fillId="11" borderId="0" xfId="7" applyFont="1" applyFill="1"/>
    <xf numFmtId="10" fontId="0" fillId="0" borderId="0" xfId="0" applyNumberFormat="1"/>
    <xf numFmtId="0" fontId="16" fillId="11" borderId="0" xfId="5" applyFill="1"/>
    <xf numFmtId="0" fontId="16" fillId="0" borderId="0" xfId="5"/>
    <xf numFmtId="0" fontId="26" fillId="0" borderId="0" xfId="5" applyFont="1"/>
    <xf numFmtId="0" fontId="16" fillId="12" borderId="0" xfId="5" applyFill="1"/>
    <xf numFmtId="0" fontId="1" fillId="12" borderId="0" xfId="5" applyFont="1" applyFill="1"/>
    <xf numFmtId="0" fontId="0" fillId="12" borderId="0" xfId="0" applyFill="1"/>
    <xf numFmtId="0" fontId="26" fillId="11" borderId="0" xfId="5" quotePrefix="1" applyFont="1" applyFill="1"/>
    <xf numFmtId="0" fontId="26" fillId="11" borderId="0" xfId="5" applyFont="1" applyFill="1"/>
    <xf numFmtId="0" fontId="26" fillId="11" borderId="0" xfId="0" applyFont="1" applyFill="1"/>
    <xf numFmtId="0" fontId="16" fillId="11" borderId="0" xfId="5" applyFont="1" applyFill="1"/>
    <xf numFmtId="0" fontId="26" fillId="0" borderId="0" xfId="0" applyFont="1"/>
    <xf numFmtId="0" fontId="26" fillId="0" borderId="0" xfId="5" applyFont="1" applyFill="1"/>
    <xf numFmtId="0" fontId="16" fillId="0" borderId="0" xfId="5" applyFill="1"/>
    <xf numFmtId="0" fontId="27" fillId="0" borderId="0" xfId="5" applyFont="1"/>
    <xf numFmtId="0" fontId="1" fillId="0" borderId="0" xfId="5" applyFont="1" applyFill="1"/>
    <xf numFmtId="0" fontId="26" fillId="0" borderId="0" xfId="0" applyFont="1" applyFill="1"/>
    <xf numFmtId="0" fontId="27" fillId="0" borderId="0" xfId="5" applyFont="1" applyFill="1"/>
    <xf numFmtId="0" fontId="28" fillId="0" borderId="0" xfId="5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4" borderId="0" xfId="2" applyFill="1"/>
    <xf numFmtId="0" fontId="0" fillId="4" borderId="0" xfId="0" applyFill="1" applyAlignment="1">
      <alignment horizontal="left" wrapText="1"/>
    </xf>
    <xf numFmtId="0" fontId="8" fillId="7" borderId="0" xfId="5" applyFont="1" applyFill="1" applyBorder="1" applyAlignment="1">
      <alignment vertical="center"/>
    </xf>
    <xf numFmtId="0" fontId="16" fillId="0" borderId="0" xfId="5" applyAlignment="1">
      <alignment vertical="center"/>
    </xf>
    <xf numFmtId="0" fontId="8" fillId="7" borderId="4" xfId="5" applyFont="1" applyFill="1" applyBorder="1" applyAlignment="1">
      <alignment vertical="center"/>
    </xf>
    <xf numFmtId="0" fontId="16" fillId="0" borderId="4" xfId="5" applyBorder="1" applyAlignment="1">
      <alignment vertical="center"/>
    </xf>
    <xf numFmtId="0" fontId="8" fillId="7" borderId="3" xfId="5" applyFont="1" applyFill="1" applyBorder="1" applyAlignment="1">
      <alignment vertical="center"/>
    </xf>
    <xf numFmtId="0" fontId="16" fillId="0" borderId="5" xfId="5" applyBorder="1" applyAlignment="1">
      <alignment vertical="center"/>
    </xf>
    <xf numFmtId="0" fontId="8" fillId="7" borderId="3" xfId="3" applyFont="1" applyFill="1" applyBorder="1" applyAlignment="1">
      <alignment vertical="center"/>
    </xf>
    <xf numFmtId="0" fontId="8" fillId="7" borderId="4" xfId="3" applyFont="1" applyFill="1" applyBorder="1" applyAlignment="1">
      <alignment vertical="center"/>
    </xf>
    <xf numFmtId="0" fontId="6" fillId="0" borderId="5" xfId="3" applyBorder="1" applyAlignment="1">
      <alignment vertical="center"/>
    </xf>
    <xf numFmtId="0" fontId="0" fillId="9" borderId="0" xfId="0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4" fillId="6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5" borderId="0" xfId="2" applyFill="1" applyAlignment="1">
      <alignment horizontal="right"/>
    </xf>
    <xf numFmtId="0" fontId="5" fillId="5" borderId="0" xfId="2" applyFill="1" applyAlignment="1">
      <alignment horizontal="right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5" fillId="4" borderId="0" xfId="2" applyFont="1" applyFill="1" applyAlignment="1">
      <alignment horizontal="left"/>
    </xf>
  </cellXfs>
  <cellStyles count="8">
    <cellStyle name="Hyperlink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Normal_Book1" xfId="4" xr:uid="{00000000-0005-0000-0000-000005000000}"/>
    <cellStyle name="Normal_Book1 2" xfId="6" xr:uid="{00000000-0005-0000-0000-000006000000}"/>
    <cellStyle name="Percent" xfId="7" builtinId="5"/>
  </cellStyles>
  <dxfs count="10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291737</xdr:colOff>
      <xdr:row>12</xdr:row>
      <xdr:rowOff>77289</xdr:rowOff>
    </xdr:from>
    <xdr:to>
      <xdr:col>6</xdr:col>
      <xdr:colOff>500743</xdr:colOff>
      <xdr:row>45</xdr:row>
      <xdr:rowOff>130629</xdr:rowOff>
    </xdr:to>
    <xdr:sp macro="" textlink="">
      <xdr:nvSpPr>
        <xdr:cNvPr id="2" name="Star: 5 Points 1">
          <a:extLst>
            <a:ext uri="{FF2B5EF4-FFF2-40B4-BE49-F238E27FC236}">
              <a16:creationId xmlns:a16="http://schemas.microsoft.com/office/drawing/2014/main" id="{37B3DDC1-50BD-4AFE-BE4B-B80F2F9A5C0A}"/>
            </a:ext>
          </a:extLst>
        </xdr:cNvPr>
        <xdr:cNvSpPr/>
      </xdr:nvSpPr>
      <xdr:spPr>
        <a:xfrm>
          <a:off x="291737" y="2229939"/>
          <a:ext cx="3904706" cy="613029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 b="1"/>
            <a:t>RUN MACRO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2"/>
  </sheetPr>
  <dimension ref="B1:N64"/>
  <sheetViews>
    <sheetView showGridLines="0" zoomScale="85" zoomScaleNormal="100" workbookViewId="0">
      <pane xSplit="2" ySplit="2" topLeftCell="C3" activePane="bottomRight" state="frozen"/>
      <selection activeCell="A57" sqref="A57:F57"/>
      <selection pane="topRight" activeCell="A57" sqref="A57:F57"/>
      <selection pane="bottomLeft" activeCell="A57" sqref="A57:F57"/>
      <selection pane="bottomRight" activeCell="A57" sqref="A57:F57"/>
    </sheetView>
  </sheetViews>
  <sheetFormatPr defaultRowHeight="13" x14ac:dyDescent="0.35"/>
  <cols>
    <col min="1" max="1" width="9.1796875" style="76"/>
    <col min="2" max="2" width="24.1796875" style="76" customWidth="1"/>
    <col min="3" max="6" width="11.1796875" style="76" customWidth="1"/>
    <col min="7" max="245" width="9.1796875" style="76"/>
    <col min="246" max="246" width="24.1796875" style="76" customWidth="1"/>
    <col min="247" max="249" width="11.1796875" style="76" customWidth="1"/>
    <col min="250" max="250" width="10" style="76" customWidth="1"/>
    <col min="251" max="251" width="16.54296875" style="76" customWidth="1"/>
    <col min="252" max="254" width="11.1796875" style="76" customWidth="1"/>
    <col min="255" max="255" width="16" style="76" customWidth="1"/>
    <col min="256" max="258" width="11.1796875" style="76" customWidth="1"/>
    <col min="259" max="259" width="16.81640625" style="76" customWidth="1"/>
    <col min="260" max="262" width="11.1796875" style="76" customWidth="1"/>
    <col min="263" max="501" width="9.1796875" style="76"/>
    <col min="502" max="502" width="24.1796875" style="76" customWidth="1"/>
    <col min="503" max="505" width="11.1796875" style="76" customWidth="1"/>
    <col min="506" max="506" width="10" style="76" customWidth="1"/>
    <col min="507" max="507" width="16.54296875" style="76" customWidth="1"/>
    <col min="508" max="510" width="11.1796875" style="76" customWidth="1"/>
    <col min="511" max="511" width="16" style="76" customWidth="1"/>
    <col min="512" max="514" width="11.1796875" style="76" customWidth="1"/>
    <col min="515" max="515" width="16.81640625" style="76" customWidth="1"/>
    <col min="516" max="518" width="11.1796875" style="76" customWidth="1"/>
    <col min="519" max="757" width="9.1796875" style="76"/>
    <col min="758" max="758" width="24.1796875" style="76" customWidth="1"/>
    <col min="759" max="761" width="11.1796875" style="76" customWidth="1"/>
    <col min="762" max="762" width="10" style="76" customWidth="1"/>
    <col min="763" max="763" width="16.54296875" style="76" customWidth="1"/>
    <col min="764" max="766" width="11.1796875" style="76" customWidth="1"/>
    <col min="767" max="767" width="16" style="76" customWidth="1"/>
    <col min="768" max="770" width="11.1796875" style="76" customWidth="1"/>
    <col min="771" max="771" width="16.81640625" style="76" customWidth="1"/>
    <col min="772" max="774" width="11.1796875" style="76" customWidth="1"/>
    <col min="775" max="1013" width="9.1796875" style="76"/>
    <col min="1014" max="1014" width="24.1796875" style="76" customWidth="1"/>
    <col min="1015" max="1017" width="11.1796875" style="76" customWidth="1"/>
    <col min="1018" max="1018" width="10" style="76" customWidth="1"/>
    <col min="1019" max="1019" width="16.54296875" style="76" customWidth="1"/>
    <col min="1020" max="1022" width="11.1796875" style="76" customWidth="1"/>
    <col min="1023" max="1023" width="16" style="76" customWidth="1"/>
    <col min="1024" max="1026" width="11.1796875" style="76" customWidth="1"/>
    <col min="1027" max="1027" width="16.81640625" style="76" customWidth="1"/>
    <col min="1028" max="1030" width="11.1796875" style="76" customWidth="1"/>
    <col min="1031" max="1269" width="9.1796875" style="76"/>
    <col min="1270" max="1270" width="24.1796875" style="76" customWidth="1"/>
    <col min="1271" max="1273" width="11.1796875" style="76" customWidth="1"/>
    <col min="1274" max="1274" width="10" style="76" customWidth="1"/>
    <col min="1275" max="1275" width="16.54296875" style="76" customWidth="1"/>
    <col min="1276" max="1278" width="11.1796875" style="76" customWidth="1"/>
    <col min="1279" max="1279" width="16" style="76" customWidth="1"/>
    <col min="1280" max="1282" width="11.1796875" style="76" customWidth="1"/>
    <col min="1283" max="1283" width="16.81640625" style="76" customWidth="1"/>
    <col min="1284" max="1286" width="11.1796875" style="76" customWidth="1"/>
    <col min="1287" max="1525" width="9.1796875" style="76"/>
    <col min="1526" max="1526" width="24.1796875" style="76" customWidth="1"/>
    <col min="1527" max="1529" width="11.1796875" style="76" customWidth="1"/>
    <col min="1530" max="1530" width="10" style="76" customWidth="1"/>
    <col min="1531" max="1531" width="16.54296875" style="76" customWidth="1"/>
    <col min="1532" max="1534" width="11.1796875" style="76" customWidth="1"/>
    <col min="1535" max="1535" width="16" style="76" customWidth="1"/>
    <col min="1536" max="1538" width="11.1796875" style="76" customWidth="1"/>
    <col min="1539" max="1539" width="16.81640625" style="76" customWidth="1"/>
    <col min="1540" max="1542" width="11.1796875" style="76" customWidth="1"/>
    <col min="1543" max="1781" width="9.1796875" style="76"/>
    <col min="1782" max="1782" width="24.1796875" style="76" customWidth="1"/>
    <col min="1783" max="1785" width="11.1796875" style="76" customWidth="1"/>
    <col min="1786" max="1786" width="10" style="76" customWidth="1"/>
    <col min="1787" max="1787" width="16.54296875" style="76" customWidth="1"/>
    <col min="1788" max="1790" width="11.1796875" style="76" customWidth="1"/>
    <col min="1791" max="1791" width="16" style="76" customWidth="1"/>
    <col min="1792" max="1794" width="11.1796875" style="76" customWidth="1"/>
    <col min="1795" max="1795" width="16.81640625" style="76" customWidth="1"/>
    <col min="1796" max="1798" width="11.1796875" style="76" customWidth="1"/>
    <col min="1799" max="2037" width="9.1796875" style="76"/>
    <col min="2038" max="2038" width="24.1796875" style="76" customWidth="1"/>
    <col min="2039" max="2041" width="11.1796875" style="76" customWidth="1"/>
    <col min="2042" max="2042" width="10" style="76" customWidth="1"/>
    <col min="2043" max="2043" width="16.54296875" style="76" customWidth="1"/>
    <col min="2044" max="2046" width="11.1796875" style="76" customWidth="1"/>
    <col min="2047" max="2047" width="16" style="76" customWidth="1"/>
    <col min="2048" max="2050" width="11.1796875" style="76" customWidth="1"/>
    <col min="2051" max="2051" width="16.81640625" style="76" customWidth="1"/>
    <col min="2052" max="2054" width="11.1796875" style="76" customWidth="1"/>
    <col min="2055" max="2293" width="9.1796875" style="76"/>
    <col min="2294" max="2294" width="24.1796875" style="76" customWidth="1"/>
    <col min="2295" max="2297" width="11.1796875" style="76" customWidth="1"/>
    <col min="2298" max="2298" width="10" style="76" customWidth="1"/>
    <col min="2299" max="2299" width="16.54296875" style="76" customWidth="1"/>
    <col min="2300" max="2302" width="11.1796875" style="76" customWidth="1"/>
    <col min="2303" max="2303" width="16" style="76" customWidth="1"/>
    <col min="2304" max="2306" width="11.1796875" style="76" customWidth="1"/>
    <col min="2307" max="2307" width="16.81640625" style="76" customWidth="1"/>
    <col min="2308" max="2310" width="11.1796875" style="76" customWidth="1"/>
    <col min="2311" max="2549" width="9.1796875" style="76"/>
    <col min="2550" max="2550" width="24.1796875" style="76" customWidth="1"/>
    <col min="2551" max="2553" width="11.1796875" style="76" customWidth="1"/>
    <col min="2554" max="2554" width="10" style="76" customWidth="1"/>
    <col min="2555" max="2555" width="16.54296875" style="76" customWidth="1"/>
    <col min="2556" max="2558" width="11.1796875" style="76" customWidth="1"/>
    <col min="2559" max="2559" width="16" style="76" customWidth="1"/>
    <col min="2560" max="2562" width="11.1796875" style="76" customWidth="1"/>
    <col min="2563" max="2563" width="16.81640625" style="76" customWidth="1"/>
    <col min="2564" max="2566" width="11.1796875" style="76" customWidth="1"/>
    <col min="2567" max="2805" width="9.1796875" style="76"/>
    <col min="2806" max="2806" width="24.1796875" style="76" customWidth="1"/>
    <col min="2807" max="2809" width="11.1796875" style="76" customWidth="1"/>
    <col min="2810" max="2810" width="10" style="76" customWidth="1"/>
    <col min="2811" max="2811" width="16.54296875" style="76" customWidth="1"/>
    <col min="2812" max="2814" width="11.1796875" style="76" customWidth="1"/>
    <col min="2815" max="2815" width="16" style="76" customWidth="1"/>
    <col min="2816" max="2818" width="11.1796875" style="76" customWidth="1"/>
    <col min="2819" max="2819" width="16.81640625" style="76" customWidth="1"/>
    <col min="2820" max="2822" width="11.1796875" style="76" customWidth="1"/>
    <col min="2823" max="3061" width="9.1796875" style="76"/>
    <col min="3062" max="3062" width="24.1796875" style="76" customWidth="1"/>
    <col min="3063" max="3065" width="11.1796875" style="76" customWidth="1"/>
    <col min="3066" max="3066" width="10" style="76" customWidth="1"/>
    <col min="3067" max="3067" width="16.54296875" style="76" customWidth="1"/>
    <col min="3068" max="3070" width="11.1796875" style="76" customWidth="1"/>
    <col min="3071" max="3071" width="16" style="76" customWidth="1"/>
    <col min="3072" max="3074" width="11.1796875" style="76" customWidth="1"/>
    <col min="3075" max="3075" width="16.81640625" style="76" customWidth="1"/>
    <col min="3076" max="3078" width="11.1796875" style="76" customWidth="1"/>
    <col min="3079" max="3317" width="9.1796875" style="76"/>
    <col min="3318" max="3318" width="24.1796875" style="76" customWidth="1"/>
    <col min="3319" max="3321" width="11.1796875" style="76" customWidth="1"/>
    <col min="3322" max="3322" width="10" style="76" customWidth="1"/>
    <col min="3323" max="3323" width="16.54296875" style="76" customWidth="1"/>
    <col min="3324" max="3326" width="11.1796875" style="76" customWidth="1"/>
    <col min="3327" max="3327" width="16" style="76" customWidth="1"/>
    <col min="3328" max="3330" width="11.1796875" style="76" customWidth="1"/>
    <col min="3331" max="3331" width="16.81640625" style="76" customWidth="1"/>
    <col min="3332" max="3334" width="11.1796875" style="76" customWidth="1"/>
    <col min="3335" max="3573" width="9.1796875" style="76"/>
    <col min="3574" max="3574" width="24.1796875" style="76" customWidth="1"/>
    <col min="3575" max="3577" width="11.1796875" style="76" customWidth="1"/>
    <col min="3578" max="3578" width="10" style="76" customWidth="1"/>
    <col min="3579" max="3579" width="16.54296875" style="76" customWidth="1"/>
    <col min="3580" max="3582" width="11.1796875" style="76" customWidth="1"/>
    <col min="3583" max="3583" width="16" style="76" customWidth="1"/>
    <col min="3584" max="3586" width="11.1796875" style="76" customWidth="1"/>
    <col min="3587" max="3587" width="16.81640625" style="76" customWidth="1"/>
    <col min="3588" max="3590" width="11.1796875" style="76" customWidth="1"/>
    <col min="3591" max="3829" width="9.1796875" style="76"/>
    <col min="3830" max="3830" width="24.1796875" style="76" customWidth="1"/>
    <col min="3831" max="3833" width="11.1796875" style="76" customWidth="1"/>
    <col min="3834" max="3834" width="10" style="76" customWidth="1"/>
    <col min="3835" max="3835" width="16.54296875" style="76" customWidth="1"/>
    <col min="3836" max="3838" width="11.1796875" style="76" customWidth="1"/>
    <col min="3839" max="3839" width="16" style="76" customWidth="1"/>
    <col min="3840" max="3842" width="11.1796875" style="76" customWidth="1"/>
    <col min="3843" max="3843" width="16.81640625" style="76" customWidth="1"/>
    <col min="3844" max="3846" width="11.1796875" style="76" customWidth="1"/>
    <col min="3847" max="4085" width="9.1796875" style="76"/>
    <col min="4086" max="4086" width="24.1796875" style="76" customWidth="1"/>
    <col min="4087" max="4089" width="11.1796875" style="76" customWidth="1"/>
    <col min="4090" max="4090" width="10" style="76" customWidth="1"/>
    <col min="4091" max="4091" width="16.54296875" style="76" customWidth="1"/>
    <col min="4092" max="4094" width="11.1796875" style="76" customWidth="1"/>
    <col min="4095" max="4095" width="16" style="76" customWidth="1"/>
    <col min="4096" max="4098" width="11.1796875" style="76" customWidth="1"/>
    <col min="4099" max="4099" width="16.81640625" style="76" customWidth="1"/>
    <col min="4100" max="4102" width="11.1796875" style="76" customWidth="1"/>
    <col min="4103" max="4341" width="9.1796875" style="76"/>
    <col min="4342" max="4342" width="24.1796875" style="76" customWidth="1"/>
    <col min="4343" max="4345" width="11.1796875" style="76" customWidth="1"/>
    <col min="4346" max="4346" width="10" style="76" customWidth="1"/>
    <col min="4347" max="4347" width="16.54296875" style="76" customWidth="1"/>
    <col min="4348" max="4350" width="11.1796875" style="76" customWidth="1"/>
    <col min="4351" max="4351" width="16" style="76" customWidth="1"/>
    <col min="4352" max="4354" width="11.1796875" style="76" customWidth="1"/>
    <col min="4355" max="4355" width="16.81640625" style="76" customWidth="1"/>
    <col min="4356" max="4358" width="11.1796875" style="76" customWidth="1"/>
    <col min="4359" max="4597" width="9.1796875" style="76"/>
    <col min="4598" max="4598" width="24.1796875" style="76" customWidth="1"/>
    <col min="4599" max="4601" width="11.1796875" style="76" customWidth="1"/>
    <col min="4602" max="4602" width="10" style="76" customWidth="1"/>
    <col min="4603" max="4603" width="16.54296875" style="76" customWidth="1"/>
    <col min="4604" max="4606" width="11.1796875" style="76" customWidth="1"/>
    <col min="4607" max="4607" width="16" style="76" customWidth="1"/>
    <col min="4608" max="4610" width="11.1796875" style="76" customWidth="1"/>
    <col min="4611" max="4611" width="16.81640625" style="76" customWidth="1"/>
    <col min="4612" max="4614" width="11.1796875" style="76" customWidth="1"/>
    <col min="4615" max="4853" width="9.1796875" style="76"/>
    <col min="4854" max="4854" width="24.1796875" style="76" customWidth="1"/>
    <col min="4855" max="4857" width="11.1796875" style="76" customWidth="1"/>
    <col min="4858" max="4858" width="10" style="76" customWidth="1"/>
    <col min="4859" max="4859" width="16.54296875" style="76" customWidth="1"/>
    <col min="4860" max="4862" width="11.1796875" style="76" customWidth="1"/>
    <col min="4863" max="4863" width="16" style="76" customWidth="1"/>
    <col min="4864" max="4866" width="11.1796875" style="76" customWidth="1"/>
    <col min="4867" max="4867" width="16.81640625" style="76" customWidth="1"/>
    <col min="4868" max="4870" width="11.1796875" style="76" customWidth="1"/>
    <col min="4871" max="5109" width="9.1796875" style="76"/>
    <col min="5110" max="5110" width="24.1796875" style="76" customWidth="1"/>
    <col min="5111" max="5113" width="11.1796875" style="76" customWidth="1"/>
    <col min="5114" max="5114" width="10" style="76" customWidth="1"/>
    <col min="5115" max="5115" width="16.54296875" style="76" customWidth="1"/>
    <col min="5116" max="5118" width="11.1796875" style="76" customWidth="1"/>
    <col min="5119" max="5119" width="16" style="76" customWidth="1"/>
    <col min="5120" max="5122" width="11.1796875" style="76" customWidth="1"/>
    <col min="5123" max="5123" width="16.81640625" style="76" customWidth="1"/>
    <col min="5124" max="5126" width="11.1796875" style="76" customWidth="1"/>
    <col min="5127" max="5365" width="9.1796875" style="76"/>
    <col min="5366" max="5366" width="24.1796875" style="76" customWidth="1"/>
    <col min="5367" max="5369" width="11.1796875" style="76" customWidth="1"/>
    <col min="5370" max="5370" width="10" style="76" customWidth="1"/>
    <col min="5371" max="5371" width="16.54296875" style="76" customWidth="1"/>
    <col min="5372" max="5374" width="11.1796875" style="76" customWidth="1"/>
    <col min="5375" max="5375" width="16" style="76" customWidth="1"/>
    <col min="5376" max="5378" width="11.1796875" style="76" customWidth="1"/>
    <col min="5379" max="5379" width="16.81640625" style="76" customWidth="1"/>
    <col min="5380" max="5382" width="11.1796875" style="76" customWidth="1"/>
    <col min="5383" max="5621" width="9.1796875" style="76"/>
    <col min="5622" max="5622" width="24.1796875" style="76" customWidth="1"/>
    <col min="5623" max="5625" width="11.1796875" style="76" customWidth="1"/>
    <col min="5626" max="5626" width="10" style="76" customWidth="1"/>
    <col min="5627" max="5627" width="16.54296875" style="76" customWidth="1"/>
    <col min="5628" max="5630" width="11.1796875" style="76" customWidth="1"/>
    <col min="5631" max="5631" width="16" style="76" customWidth="1"/>
    <col min="5632" max="5634" width="11.1796875" style="76" customWidth="1"/>
    <col min="5635" max="5635" width="16.81640625" style="76" customWidth="1"/>
    <col min="5636" max="5638" width="11.1796875" style="76" customWidth="1"/>
    <col min="5639" max="5877" width="9.1796875" style="76"/>
    <col min="5878" max="5878" width="24.1796875" style="76" customWidth="1"/>
    <col min="5879" max="5881" width="11.1796875" style="76" customWidth="1"/>
    <col min="5882" max="5882" width="10" style="76" customWidth="1"/>
    <col min="5883" max="5883" width="16.54296875" style="76" customWidth="1"/>
    <col min="5884" max="5886" width="11.1796875" style="76" customWidth="1"/>
    <col min="5887" max="5887" width="16" style="76" customWidth="1"/>
    <col min="5888" max="5890" width="11.1796875" style="76" customWidth="1"/>
    <col min="5891" max="5891" width="16.81640625" style="76" customWidth="1"/>
    <col min="5892" max="5894" width="11.1796875" style="76" customWidth="1"/>
    <col min="5895" max="6133" width="9.1796875" style="76"/>
    <col min="6134" max="6134" width="24.1796875" style="76" customWidth="1"/>
    <col min="6135" max="6137" width="11.1796875" style="76" customWidth="1"/>
    <col min="6138" max="6138" width="10" style="76" customWidth="1"/>
    <col min="6139" max="6139" width="16.54296875" style="76" customWidth="1"/>
    <col min="6140" max="6142" width="11.1796875" style="76" customWidth="1"/>
    <col min="6143" max="6143" width="16" style="76" customWidth="1"/>
    <col min="6144" max="6146" width="11.1796875" style="76" customWidth="1"/>
    <col min="6147" max="6147" width="16.81640625" style="76" customWidth="1"/>
    <col min="6148" max="6150" width="11.1796875" style="76" customWidth="1"/>
    <col min="6151" max="6389" width="9.1796875" style="76"/>
    <col min="6390" max="6390" width="24.1796875" style="76" customWidth="1"/>
    <col min="6391" max="6393" width="11.1796875" style="76" customWidth="1"/>
    <col min="6394" max="6394" width="10" style="76" customWidth="1"/>
    <col min="6395" max="6395" width="16.54296875" style="76" customWidth="1"/>
    <col min="6396" max="6398" width="11.1796875" style="76" customWidth="1"/>
    <col min="6399" max="6399" width="16" style="76" customWidth="1"/>
    <col min="6400" max="6402" width="11.1796875" style="76" customWidth="1"/>
    <col min="6403" max="6403" width="16.81640625" style="76" customWidth="1"/>
    <col min="6404" max="6406" width="11.1796875" style="76" customWidth="1"/>
    <col min="6407" max="6645" width="9.1796875" style="76"/>
    <col min="6646" max="6646" width="24.1796875" style="76" customWidth="1"/>
    <col min="6647" max="6649" width="11.1796875" style="76" customWidth="1"/>
    <col min="6650" max="6650" width="10" style="76" customWidth="1"/>
    <col min="6651" max="6651" width="16.54296875" style="76" customWidth="1"/>
    <col min="6652" max="6654" width="11.1796875" style="76" customWidth="1"/>
    <col min="6655" max="6655" width="16" style="76" customWidth="1"/>
    <col min="6656" max="6658" width="11.1796875" style="76" customWidth="1"/>
    <col min="6659" max="6659" width="16.81640625" style="76" customWidth="1"/>
    <col min="6660" max="6662" width="11.1796875" style="76" customWidth="1"/>
    <col min="6663" max="6901" width="9.1796875" style="76"/>
    <col min="6902" max="6902" width="24.1796875" style="76" customWidth="1"/>
    <col min="6903" max="6905" width="11.1796875" style="76" customWidth="1"/>
    <col min="6906" max="6906" width="10" style="76" customWidth="1"/>
    <col min="6907" max="6907" width="16.54296875" style="76" customWidth="1"/>
    <col min="6908" max="6910" width="11.1796875" style="76" customWidth="1"/>
    <col min="6911" max="6911" width="16" style="76" customWidth="1"/>
    <col min="6912" max="6914" width="11.1796875" style="76" customWidth="1"/>
    <col min="6915" max="6915" width="16.81640625" style="76" customWidth="1"/>
    <col min="6916" max="6918" width="11.1796875" style="76" customWidth="1"/>
    <col min="6919" max="7157" width="9.1796875" style="76"/>
    <col min="7158" max="7158" width="24.1796875" style="76" customWidth="1"/>
    <col min="7159" max="7161" width="11.1796875" style="76" customWidth="1"/>
    <col min="7162" max="7162" width="10" style="76" customWidth="1"/>
    <col min="7163" max="7163" width="16.54296875" style="76" customWidth="1"/>
    <col min="7164" max="7166" width="11.1796875" style="76" customWidth="1"/>
    <col min="7167" max="7167" width="16" style="76" customWidth="1"/>
    <col min="7168" max="7170" width="11.1796875" style="76" customWidth="1"/>
    <col min="7171" max="7171" width="16.81640625" style="76" customWidth="1"/>
    <col min="7172" max="7174" width="11.1796875" style="76" customWidth="1"/>
    <col min="7175" max="7413" width="9.1796875" style="76"/>
    <col min="7414" max="7414" width="24.1796875" style="76" customWidth="1"/>
    <col min="7415" max="7417" width="11.1796875" style="76" customWidth="1"/>
    <col min="7418" max="7418" width="10" style="76" customWidth="1"/>
    <col min="7419" max="7419" width="16.54296875" style="76" customWidth="1"/>
    <col min="7420" max="7422" width="11.1796875" style="76" customWidth="1"/>
    <col min="7423" max="7423" width="16" style="76" customWidth="1"/>
    <col min="7424" max="7426" width="11.1796875" style="76" customWidth="1"/>
    <col min="7427" max="7427" width="16.81640625" style="76" customWidth="1"/>
    <col min="7428" max="7430" width="11.1796875" style="76" customWidth="1"/>
    <col min="7431" max="7669" width="9.1796875" style="76"/>
    <col min="7670" max="7670" width="24.1796875" style="76" customWidth="1"/>
    <col min="7671" max="7673" width="11.1796875" style="76" customWidth="1"/>
    <col min="7674" max="7674" width="10" style="76" customWidth="1"/>
    <col min="7675" max="7675" width="16.54296875" style="76" customWidth="1"/>
    <col min="7676" max="7678" width="11.1796875" style="76" customWidth="1"/>
    <col min="7679" max="7679" width="16" style="76" customWidth="1"/>
    <col min="7680" max="7682" width="11.1796875" style="76" customWidth="1"/>
    <col min="7683" max="7683" width="16.81640625" style="76" customWidth="1"/>
    <col min="7684" max="7686" width="11.1796875" style="76" customWidth="1"/>
    <col min="7687" max="7925" width="9.1796875" style="76"/>
    <col min="7926" max="7926" width="24.1796875" style="76" customWidth="1"/>
    <col min="7927" max="7929" width="11.1796875" style="76" customWidth="1"/>
    <col min="7930" max="7930" width="10" style="76" customWidth="1"/>
    <col min="7931" max="7931" width="16.54296875" style="76" customWidth="1"/>
    <col min="7932" max="7934" width="11.1796875" style="76" customWidth="1"/>
    <col min="7935" max="7935" width="16" style="76" customWidth="1"/>
    <col min="7936" max="7938" width="11.1796875" style="76" customWidth="1"/>
    <col min="7939" max="7939" width="16.81640625" style="76" customWidth="1"/>
    <col min="7940" max="7942" width="11.1796875" style="76" customWidth="1"/>
    <col min="7943" max="8181" width="9.1796875" style="76"/>
    <col min="8182" max="8182" width="24.1796875" style="76" customWidth="1"/>
    <col min="8183" max="8185" width="11.1796875" style="76" customWidth="1"/>
    <col min="8186" max="8186" width="10" style="76" customWidth="1"/>
    <col min="8187" max="8187" width="16.54296875" style="76" customWidth="1"/>
    <col min="8188" max="8190" width="11.1796875" style="76" customWidth="1"/>
    <col min="8191" max="8191" width="16" style="76" customWidth="1"/>
    <col min="8192" max="8194" width="11.1796875" style="76" customWidth="1"/>
    <col min="8195" max="8195" width="16.81640625" style="76" customWidth="1"/>
    <col min="8196" max="8198" width="11.1796875" style="76" customWidth="1"/>
    <col min="8199" max="8437" width="9.1796875" style="76"/>
    <col min="8438" max="8438" width="24.1796875" style="76" customWidth="1"/>
    <col min="8439" max="8441" width="11.1796875" style="76" customWidth="1"/>
    <col min="8442" max="8442" width="10" style="76" customWidth="1"/>
    <col min="8443" max="8443" width="16.54296875" style="76" customWidth="1"/>
    <col min="8444" max="8446" width="11.1796875" style="76" customWidth="1"/>
    <col min="8447" max="8447" width="16" style="76" customWidth="1"/>
    <col min="8448" max="8450" width="11.1796875" style="76" customWidth="1"/>
    <col min="8451" max="8451" width="16.81640625" style="76" customWidth="1"/>
    <col min="8452" max="8454" width="11.1796875" style="76" customWidth="1"/>
    <col min="8455" max="8693" width="9.1796875" style="76"/>
    <col min="8694" max="8694" width="24.1796875" style="76" customWidth="1"/>
    <col min="8695" max="8697" width="11.1796875" style="76" customWidth="1"/>
    <col min="8698" max="8698" width="10" style="76" customWidth="1"/>
    <col min="8699" max="8699" width="16.54296875" style="76" customWidth="1"/>
    <col min="8700" max="8702" width="11.1796875" style="76" customWidth="1"/>
    <col min="8703" max="8703" width="16" style="76" customWidth="1"/>
    <col min="8704" max="8706" width="11.1796875" style="76" customWidth="1"/>
    <col min="8707" max="8707" width="16.81640625" style="76" customWidth="1"/>
    <col min="8708" max="8710" width="11.1796875" style="76" customWidth="1"/>
    <col min="8711" max="8949" width="9.1796875" style="76"/>
    <col min="8950" max="8950" width="24.1796875" style="76" customWidth="1"/>
    <col min="8951" max="8953" width="11.1796875" style="76" customWidth="1"/>
    <col min="8954" max="8954" width="10" style="76" customWidth="1"/>
    <col min="8955" max="8955" width="16.54296875" style="76" customWidth="1"/>
    <col min="8956" max="8958" width="11.1796875" style="76" customWidth="1"/>
    <col min="8959" max="8959" width="16" style="76" customWidth="1"/>
    <col min="8960" max="8962" width="11.1796875" style="76" customWidth="1"/>
    <col min="8963" max="8963" width="16.81640625" style="76" customWidth="1"/>
    <col min="8964" max="8966" width="11.1796875" style="76" customWidth="1"/>
    <col min="8967" max="9205" width="9.1796875" style="76"/>
    <col min="9206" max="9206" width="24.1796875" style="76" customWidth="1"/>
    <col min="9207" max="9209" width="11.1796875" style="76" customWidth="1"/>
    <col min="9210" max="9210" width="10" style="76" customWidth="1"/>
    <col min="9211" max="9211" width="16.54296875" style="76" customWidth="1"/>
    <col min="9212" max="9214" width="11.1796875" style="76" customWidth="1"/>
    <col min="9215" max="9215" width="16" style="76" customWidth="1"/>
    <col min="9216" max="9218" width="11.1796875" style="76" customWidth="1"/>
    <col min="9219" max="9219" width="16.81640625" style="76" customWidth="1"/>
    <col min="9220" max="9222" width="11.1796875" style="76" customWidth="1"/>
    <col min="9223" max="9461" width="9.1796875" style="76"/>
    <col min="9462" max="9462" width="24.1796875" style="76" customWidth="1"/>
    <col min="9463" max="9465" width="11.1796875" style="76" customWidth="1"/>
    <col min="9466" max="9466" width="10" style="76" customWidth="1"/>
    <col min="9467" max="9467" width="16.54296875" style="76" customWidth="1"/>
    <col min="9468" max="9470" width="11.1796875" style="76" customWidth="1"/>
    <col min="9471" max="9471" width="16" style="76" customWidth="1"/>
    <col min="9472" max="9474" width="11.1796875" style="76" customWidth="1"/>
    <col min="9475" max="9475" width="16.81640625" style="76" customWidth="1"/>
    <col min="9476" max="9478" width="11.1796875" style="76" customWidth="1"/>
    <col min="9479" max="9717" width="9.1796875" style="76"/>
    <col min="9718" max="9718" width="24.1796875" style="76" customWidth="1"/>
    <col min="9719" max="9721" width="11.1796875" style="76" customWidth="1"/>
    <col min="9722" max="9722" width="10" style="76" customWidth="1"/>
    <col min="9723" max="9723" width="16.54296875" style="76" customWidth="1"/>
    <col min="9724" max="9726" width="11.1796875" style="76" customWidth="1"/>
    <col min="9727" max="9727" width="16" style="76" customWidth="1"/>
    <col min="9728" max="9730" width="11.1796875" style="76" customWidth="1"/>
    <col min="9731" max="9731" width="16.81640625" style="76" customWidth="1"/>
    <col min="9732" max="9734" width="11.1796875" style="76" customWidth="1"/>
    <col min="9735" max="9973" width="9.1796875" style="76"/>
    <col min="9974" max="9974" width="24.1796875" style="76" customWidth="1"/>
    <col min="9975" max="9977" width="11.1796875" style="76" customWidth="1"/>
    <col min="9978" max="9978" width="10" style="76" customWidth="1"/>
    <col min="9979" max="9979" width="16.54296875" style="76" customWidth="1"/>
    <col min="9980" max="9982" width="11.1796875" style="76" customWidth="1"/>
    <col min="9983" max="9983" width="16" style="76" customWidth="1"/>
    <col min="9984" max="9986" width="11.1796875" style="76" customWidth="1"/>
    <col min="9987" max="9987" width="16.81640625" style="76" customWidth="1"/>
    <col min="9988" max="9990" width="11.1796875" style="76" customWidth="1"/>
    <col min="9991" max="10229" width="9.1796875" style="76"/>
    <col min="10230" max="10230" width="24.1796875" style="76" customWidth="1"/>
    <col min="10231" max="10233" width="11.1796875" style="76" customWidth="1"/>
    <col min="10234" max="10234" width="10" style="76" customWidth="1"/>
    <col min="10235" max="10235" width="16.54296875" style="76" customWidth="1"/>
    <col min="10236" max="10238" width="11.1796875" style="76" customWidth="1"/>
    <col min="10239" max="10239" width="16" style="76" customWidth="1"/>
    <col min="10240" max="10242" width="11.1796875" style="76" customWidth="1"/>
    <col min="10243" max="10243" width="16.81640625" style="76" customWidth="1"/>
    <col min="10244" max="10246" width="11.1796875" style="76" customWidth="1"/>
    <col min="10247" max="10485" width="9.1796875" style="76"/>
    <col min="10486" max="10486" width="24.1796875" style="76" customWidth="1"/>
    <col min="10487" max="10489" width="11.1796875" style="76" customWidth="1"/>
    <col min="10490" max="10490" width="10" style="76" customWidth="1"/>
    <col min="10491" max="10491" width="16.54296875" style="76" customWidth="1"/>
    <col min="10492" max="10494" width="11.1796875" style="76" customWidth="1"/>
    <col min="10495" max="10495" width="16" style="76" customWidth="1"/>
    <col min="10496" max="10498" width="11.1796875" style="76" customWidth="1"/>
    <col min="10499" max="10499" width="16.81640625" style="76" customWidth="1"/>
    <col min="10500" max="10502" width="11.1796875" style="76" customWidth="1"/>
    <col min="10503" max="10741" width="9.1796875" style="76"/>
    <col min="10742" max="10742" width="24.1796875" style="76" customWidth="1"/>
    <col min="10743" max="10745" width="11.1796875" style="76" customWidth="1"/>
    <col min="10746" max="10746" width="10" style="76" customWidth="1"/>
    <col min="10747" max="10747" width="16.54296875" style="76" customWidth="1"/>
    <col min="10748" max="10750" width="11.1796875" style="76" customWidth="1"/>
    <col min="10751" max="10751" width="16" style="76" customWidth="1"/>
    <col min="10752" max="10754" width="11.1796875" style="76" customWidth="1"/>
    <col min="10755" max="10755" width="16.81640625" style="76" customWidth="1"/>
    <col min="10756" max="10758" width="11.1796875" style="76" customWidth="1"/>
    <col min="10759" max="10997" width="9.1796875" style="76"/>
    <col min="10998" max="10998" width="24.1796875" style="76" customWidth="1"/>
    <col min="10999" max="11001" width="11.1796875" style="76" customWidth="1"/>
    <col min="11002" max="11002" width="10" style="76" customWidth="1"/>
    <col min="11003" max="11003" width="16.54296875" style="76" customWidth="1"/>
    <col min="11004" max="11006" width="11.1796875" style="76" customWidth="1"/>
    <col min="11007" max="11007" width="16" style="76" customWidth="1"/>
    <col min="11008" max="11010" width="11.1796875" style="76" customWidth="1"/>
    <col min="11011" max="11011" width="16.81640625" style="76" customWidth="1"/>
    <col min="11012" max="11014" width="11.1796875" style="76" customWidth="1"/>
    <col min="11015" max="11253" width="9.1796875" style="76"/>
    <col min="11254" max="11254" width="24.1796875" style="76" customWidth="1"/>
    <col min="11255" max="11257" width="11.1796875" style="76" customWidth="1"/>
    <col min="11258" max="11258" width="10" style="76" customWidth="1"/>
    <col min="11259" max="11259" width="16.54296875" style="76" customWidth="1"/>
    <col min="11260" max="11262" width="11.1796875" style="76" customWidth="1"/>
    <col min="11263" max="11263" width="16" style="76" customWidth="1"/>
    <col min="11264" max="11266" width="11.1796875" style="76" customWidth="1"/>
    <col min="11267" max="11267" width="16.81640625" style="76" customWidth="1"/>
    <col min="11268" max="11270" width="11.1796875" style="76" customWidth="1"/>
    <col min="11271" max="11509" width="9.1796875" style="76"/>
    <col min="11510" max="11510" width="24.1796875" style="76" customWidth="1"/>
    <col min="11511" max="11513" width="11.1796875" style="76" customWidth="1"/>
    <col min="11514" max="11514" width="10" style="76" customWidth="1"/>
    <col min="11515" max="11515" width="16.54296875" style="76" customWidth="1"/>
    <col min="11516" max="11518" width="11.1796875" style="76" customWidth="1"/>
    <col min="11519" max="11519" width="16" style="76" customWidth="1"/>
    <col min="11520" max="11522" width="11.1796875" style="76" customWidth="1"/>
    <col min="11523" max="11523" width="16.81640625" style="76" customWidth="1"/>
    <col min="11524" max="11526" width="11.1796875" style="76" customWidth="1"/>
    <col min="11527" max="11765" width="9.1796875" style="76"/>
    <col min="11766" max="11766" width="24.1796875" style="76" customWidth="1"/>
    <col min="11767" max="11769" width="11.1796875" style="76" customWidth="1"/>
    <col min="11770" max="11770" width="10" style="76" customWidth="1"/>
    <col min="11771" max="11771" width="16.54296875" style="76" customWidth="1"/>
    <col min="11772" max="11774" width="11.1796875" style="76" customWidth="1"/>
    <col min="11775" max="11775" width="16" style="76" customWidth="1"/>
    <col min="11776" max="11778" width="11.1796875" style="76" customWidth="1"/>
    <col min="11779" max="11779" width="16.81640625" style="76" customWidth="1"/>
    <col min="11780" max="11782" width="11.1796875" style="76" customWidth="1"/>
    <col min="11783" max="12021" width="9.1796875" style="76"/>
    <col min="12022" max="12022" width="24.1796875" style="76" customWidth="1"/>
    <col min="12023" max="12025" width="11.1796875" style="76" customWidth="1"/>
    <col min="12026" max="12026" width="10" style="76" customWidth="1"/>
    <col min="12027" max="12027" width="16.54296875" style="76" customWidth="1"/>
    <col min="12028" max="12030" width="11.1796875" style="76" customWidth="1"/>
    <col min="12031" max="12031" width="16" style="76" customWidth="1"/>
    <col min="12032" max="12034" width="11.1796875" style="76" customWidth="1"/>
    <col min="12035" max="12035" width="16.81640625" style="76" customWidth="1"/>
    <col min="12036" max="12038" width="11.1796875" style="76" customWidth="1"/>
    <col min="12039" max="12277" width="9.1796875" style="76"/>
    <col min="12278" max="12278" width="24.1796875" style="76" customWidth="1"/>
    <col min="12279" max="12281" width="11.1796875" style="76" customWidth="1"/>
    <col min="12282" max="12282" width="10" style="76" customWidth="1"/>
    <col min="12283" max="12283" width="16.54296875" style="76" customWidth="1"/>
    <col min="12284" max="12286" width="11.1796875" style="76" customWidth="1"/>
    <col min="12287" max="12287" width="16" style="76" customWidth="1"/>
    <col min="12288" max="12290" width="11.1796875" style="76" customWidth="1"/>
    <col min="12291" max="12291" width="16.81640625" style="76" customWidth="1"/>
    <col min="12292" max="12294" width="11.1796875" style="76" customWidth="1"/>
    <col min="12295" max="12533" width="9.1796875" style="76"/>
    <col min="12534" max="12534" width="24.1796875" style="76" customWidth="1"/>
    <col min="12535" max="12537" width="11.1796875" style="76" customWidth="1"/>
    <col min="12538" max="12538" width="10" style="76" customWidth="1"/>
    <col min="12539" max="12539" width="16.54296875" style="76" customWidth="1"/>
    <col min="12540" max="12542" width="11.1796875" style="76" customWidth="1"/>
    <col min="12543" max="12543" width="16" style="76" customWidth="1"/>
    <col min="12544" max="12546" width="11.1796875" style="76" customWidth="1"/>
    <col min="12547" max="12547" width="16.81640625" style="76" customWidth="1"/>
    <col min="12548" max="12550" width="11.1796875" style="76" customWidth="1"/>
    <col min="12551" max="12789" width="9.1796875" style="76"/>
    <col min="12790" max="12790" width="24.1796875" style="76" customWidth="1"/>
    <col min="12791" max="12793" width="11.1796875" style="76" customWidth="1"/>
    <col min="12794" max="12794" width="10" style="76" customWidth="1"/>
    <col min="12795" max="12795" width="16.54296875" style="76" customWidth="1"/>
    <col min="12796" max="12798" width="11.1796875" style="76" customWidth="1"/>
    <col min="12799" max="12799" width="16" style="76" customWidth="1"/>
    <col min="12800" max="12802" width="11.1796875" style="76" customWidth="1"/>
    <col min="12803" max="12803" width="16.81640625" style="76" customWidth="1"/>
    <col min="12804" max="12806" width="11.1796875" style="76" customWidth="1"/>
    <col min="12807" max="13045" width="9.1796875" style="76"/>
    <col min="13046" max="13046" width="24.1796875" style="76" customWidth="1"/>
    <col min="13047" max="13049" width="11.1796875" style="76" customWidth="1"/>
    <col min="13050" max="13050" width="10" style="76" customWidth="1"/>
    <col min="13051" max="13051" width="16.54296875" style="76" customWidth="1"/>
    <col min="13052" max="13054" width="11.1796875" style="76" customWidth="1"/>
    <col min="13055" max="13055" width="16" style="76" customWidth="1"/>
    <col min="13056" max="13058" width="11.1796875" style="76" customWidth="1"/>
    <col min="13059" max="13059" width="16.81640625" style="76" customWidth="1"/>
    <col min="13060" max="13062" width="11.1796875" style="76" customWidth="1"/>
    <col min="13063" max="13301" width="9.1796875" style="76"/>
    <col min="13302" max="13302" width="24.1796875" style="76" customWidth="1"/>
    <col min="13303" max="13305" width="11.1796875" style="76" customWidth="1"/>
    <col min="13306" max="13306" width="10" style="76" customWidth="1"/>
    <col min="13307" max="13307" width="16.54296875" style="76" customWidth="1"/>
    <col min="13308" max="13310" width="11.1796875" style="76" customWidth="1"/>
    <col min="13311" max="13311" width="16" style="76" customWidth="1"/>
    <col min="13312" max="13314" width="11.1796875" style="76" customWidth="1"/>
    <col min="13315" max="13315" width="16.81640625" style="76" customWidth="1"/>
    <col min="13316" max="13318" width="11.1796875" style="76" customWidth="1"/>
    <col min="13319" max="13557" width="9.1796875" style="76"/>
    <col min="13558" max="13558" width="24.1796875" style="76" customWidth="1"/>
    <col min="13559" max="13561" width="11.1796875" style="76" customWidth="1"/>
    <col min="13562" max="13562" width="10" style="76" customWidth="1"/>
    <col min="13563" max="13563" width="16.54296875" style="76" customWidth="1"/>
    <col min="13564" max="13566" width="11.1796875" style="76" customWidth="1"/>
    <col min="13567" max="13567" width="16" style="76" customWidth="1"/>
    <col min="13568" max="13570" width="11.1796875" style="76" customWidth="1"/>
    <col min="13571" max="13571" width="16.81640625" style="76" customWidth="1"/>
    <col min="13572" max="13574" width="11.1796875" style="76" customWidth="1"/>
    <col min="13575" max="13813" width="9.1796875" style="76"/>
    <col min="13814" max="13814" width="24.1796875" style="76" customWidth="1"/>
    <col min="13815" max="13817" width="11.1796875" style="76" customWidth="1"/>
    <col min="13818" max="13818" width="10" style="76" customWidth="1"/>
    <col min="13819" max="13819" width="16.54296875" style="76" customWidth="1"/>
    <col min="13820" max="13822" width="11.1796875" style="76" customWidth="1"/>
    <col min="13823" max="13823" width="16" style="76" customWidth="1"/>
    <col min="13824" max="13826" width="11.1796875" style="76" customWidth="1"/>
    <col min="13827" max="13827" width="16.81640625" style="76" customWidth="1"/>
    <col min="13828" max="13830" width="11.1796875" style="76" customWidth="1"/>
    <col min="13831" max="14069" width="9.1796875" style="76"/>
    <col min="14070" max="14070" width="24.1796875" style="76" customWidth="1"/>
    <col min="14071" max="14073" width="11.1796875" style="76" customWidth="1"/>
    <col min="14074" max="14074" width="10" style="76" customWidth="1"/>
    <col min="14075" max="14075" width="16.54296875" style="76" customWidth="1"/>
    <col min="14076" max="14078" width="11.1796875" style="76" customWidth="1"/>
    <col min="14079" max="14079" width="16" style="76" customWidth="1"/>
    <col min="14080" max="14082" width="11.1796875" style="76" customWidth="1"/>
    <col min="14083" max="14083" width="16.81640625" style="76" customWidth="1"/>
    <col min="14084" max="14086" width="11.1796875" style="76" customWidth="1"/>
    <col min="14087" max="14325" width="9.1796875" style="76"/>
    <col min="14326" max="14326" width="24.1796875" style="76" customWidth="1"/>
    <col min="14327" max="14329" width="11.1796875" style="76" customWidth="1"/>
    <col min="14330" max="14330" width="10" style="76" customWidth="1"/>
    <col min="14331" max="14331" width="16.54296875" style="76" customWidth="1"/>
    <col min="14332" max="14334" width="11.1796875" style="76" customWidth="1"/>
    <col min="14335" max="14335" width="16" style="76" customWidth="1"/>
    <col min="14336" max="14338" width="11.1796875" style="76" customWidth="1"/>
    <col min="14339" max="14339" width="16.81640625" style="76" customWidth="1"/>
    <col min="14340" max="14342" width="11.1796875" style="76" customWidth="1"/>
    <col min="14343" max="14581" width="9.1796875" style="76"/>
    <col min="14582" max="14582" width="24.1796875" style="76" customWidth="1"/>
    <col min="14583" max="14585" width="11.1796875" style="76" customWidth="1"/>
    <col min="14586" max="14586" width="10" style="76" customWidth="1"/>
    <col min="14587" max="14587" width="16.54296875" style="76" customWidth="1"/>
    <col min="14588" max="14590" width="11.1796875" style="76" customWidth="1"/>
    <col min="14591" max="14591" width="16" style="76" customWidth="1"/>
    <col min="14592" max="14594" width="11.1796875" style="76" customWidth="1"/>
    <col min="14595" max="14595" width="16.81640625" style="76" customWidth="1"/>
    <col min="14596" max="14598" width="11.1796875" style="76" customWidth="1"/>
    <col min="14599" max="14837" width="9.1796875" style="76"/>
    <col min="14838" max="14838" width="24.1796875" style="76" customWidth="1"/>
    <col min="14839" max="14841" width="11.1796875" style="76" customWidth="1"/>
    <col min="14842" max="14842" width="10" style="76" customWidth="1"/>
    <col min="14843" max="14843" width="16.54296875" style="76" customWidth="1"/>
    <col min="14844" max="14846" width="11.1796875" style="76" customWidth="1"/>
    <col min="14847" max="14847" width="16" style="76" customWidth="1"/>
    <col min="14848" max="14850" width="11.1796875" style="76" customWidth="1"/>
    <col min="14851" max="14851" width="16.81640625" style="76" customWidth="1"/>
    <col min="14852" max="14854" width="11.1796875" style="76" customWidth="1"/>
    <col min="14855" max="15093" width="9.1796875" style="76"/>
    <col min="15094" max="15094" width="24.1796875" style="76" customWidth="1"/>
    <col min="15095" max="15097" width="11.1796875" style="76" customWidth="1"/>
    <col min="15098" max="15098" width="10" style="76" customWidth="1"/>
    <col min="15099" max="15099" width="16.54296875" style="76" customWidth="1"/>
    <col min="15100" max="15102" width="11.1796875" style="76" customWidth="1"/>
    <col min="15103" max="15103" width="16" style="76" customWidth="1"/>
    <col min="15104" max="15106" width="11.1796875" style="76" customWidth="1"/>
    <col min="15107" max="15107" width="16.81640625" style="76" customWidth="1"/>
    <col min="15108" max="15110" width="11.1796875" style="76" customWidth="1"/>
    <col min="15111" max="15349" width="9.1796875" style="76"/>
    <col min="15350" max="15350" width="24.1796875" style="76" customWidth="1"/>
    <col min="15351" max="15353" width="11.1796875" style="76" customWidth="1"/>
    <col min="15354" max="15354" width="10" style="76" customWidth="1"/>
    <col min="15355" max="15355" width="16.54296875" style="76" customWidth="1"/>
    <col min="15356" max="15358" width="11.1796875" style="76" customWidth="1"/>
    <col min="15359" max="15359" width="16" style="76" customWidth="1"/>
    <col min="15360" max="15362" width="11.1796875" style="76" customWidth="1"/>
    <col min="15363" max="15363" width="16.81640625" style="76" customWidth="1"/>
    <col min="15364" max="15366" width="11.1796875" style="76" customWidth="1"/>
    <col min="15367" max="15605" width="9.1796875" style="76"/>
    <col min="15606" max="15606" width="24.1796875" style="76" customWidth="1"/>
    <col min="15607" max="15609" width="11.1796875" style="76" customWidth="1"/>
    <col min="15610" max="15610" width="10" style="76" customWidth="1"/>
    <col min="15611" max="15611" width="16.54296875" style="76" customWidth="1"/>
    <col min="15612" max="15614" width="11.1796875" style="76" customWidth="1"/>
    <col min="15615" max="15615" width="16" style="76" customWidth="1"/>
    <col min="15616" max="15618" width="11.1796875" style="76" customWidth="1"/>
    <col min="15619" max="15619" width="16.81640625" style="76" customWidth="1"/>
    <col min="15620" max="15622" width="11.1796875" style="76" customWidth="1"/>
    <col min="15623" max="15861" width="9.1796875" style="76"/>
    <col min="15862" max="15862" width="24.1796875" style="76" customWidth="1"/>
    <col min="15863" max="15865" width="11.1796875" style="76" customWidth="1"/>
    <col min="15866" max="15866" width="10" style="76" customWidth="1"/>
    <col min="15867" max="15867" width="16.54296875" style="76" customWidth="1"/>
    <col min="15868" max="15870" width="11.1796875" style="76" customWidth="1"/>
    <col min="15871" max="15871" width="16" style="76" customWidth="1"/>
    <col min="15872" max="15874" width="11.1796875" style="76" customWidth="1"/>
    <col min="15875" max="15875" width="16.81640625" style="76" customWidth="1"/>
    <col min="15876" max="15878" width="11.1796875" style="76" customWidth="1"/>
    <col min="15879" max="16117" width="9.1796875" style="76"/>
    <col min="16118" max="16118" width="24.1796875" style="76" customWidth="1"/>
    <col min="16119" max="16121" width="11.1796875" style="76" customWidth="1"/>
    <col min="16122" max="16122" width="10" style="76" customWidth="1"/>
    <col min="16123" max="16123" width="16.54296875" style="76" customWidth="1"/>
    <col min="16124" max="16126" width="11.1796875" style="76" customWidth="1"/>
    <col min="16127" max="16127" width="16" style="76" customWidth="1"/>
    <col min="16128" max="16130" width="11.1796875" style="76" customWidth="1"/>
    <col min="16131" max="16131" width="16.81640625" style="76" customWidth="1"/>
    <col min="16132" max="16134" width="11.1796875" style="76" customWidth="1"/>
    <col min="16135" max="16384" width="9.1796875" style="76"/>
  </cols>
  <sheetData>
    <row r="1" spans="2:14" s="55" customFormat="1" ht="35.25" customHeight="1" x14ac:dyDescent="0.35">
      <c r="B1" s="93" t="s">
        <v>81</v>
      </c>
      <c r="C1" s="94"/>
      <c r="D1" s="94"/>
      <c r="E1" s="94"/>
      <c r="F1" s="94"/>
      <c r="G1" s="95"/>
      <c r="H1" s="95"/>
      <c r="I1" s="95"/>
      <c r="J1" s="95"/>
      <c r="K1" s="95"/>
      <c r="L1" s="95"/>
      <c r="M1" s="95"/>
      <c r="N1" s="95"/>
    </row>
    <row r="2" spans="2:14" s="56" customFormat="1" ht="28.5" customHeight="1" x14ac:dyDescent="0.35">
      <c r="C2" s="57" t="s">
        <v>82</v>
      </c>
      <c r="D2" s="57" t="s">
        <v>82</v>
      </c>
      <c r="E2" s="57" t="s">
        <v>82</v>
      </c>
      <c r="F2" s="57" t="s">
        <v>82</v>
      </c>
    </row>
    <row r="3" spans="2:14" s="56" customFormat="1" ht="28.5" customHeight="1" x14ac:dyDescent="0.35">
      <c r="B3" s="60" t="s">
        <v>0</v>
      </c>
      <c r="C3" s="86">
        <v>1622</v>
      </c>
      <c r="D3" s="86">
        <v>1174</v>
      </c>
      <c r="E3" s="86">
        <v>92</v>
      </c>
      <c r="F3" s="86">
        <v>890</v>
      </c>
      <c r="G3" s="86">
        <f>SUM(C3:F3)</f>
        <v>3778</v>
      </c>
    </row>
    <row r="4" spans="2:14" s="60" customFormat="1" ht="25.5" customHeight="1" x14ac:dyDescent="0.35">
      <c r="B4" s="60" t="s">
        <v>62</v>
      </c>
      <c r="C4" s="87">
        <v>792</v>
      </c>
      <c r="D4" s="87">
        <v>1133</v>
      </c>
      <c r="E4" s="87">
        <v>71</v>
      </c>
      <c r="F4" s="87">
        <v>574</v>
      </c>
      <c r="G4" s="86">
        <f t="shared" ref="G4:G51" si="0">SUM(C4:F4)</f>
        <v>2570</v>
      </c>
    </row>
    <row r="5" spans="2:14" s="65" customFormat="1" ht="12.75" customHeight="1" x14ac:dyDescent="0.35">
      <c r="B5" s="65" t="s">
        <v>10</v>
      </c>
      <c r="C5" s="69">
        <v>10</v>
      </c>
      <c r="D5" s="69">
        <v>28</v>
      </c>
      <c r="E5" s="69">
        <v>0</v>
      </c>
      <c r="F5" s="69">
        <v>17</v>
      </c>
      <c r="G5" s="86">
        <f t="shared" si="0"/>
        <v>55</v>
      </c>
    </row>
    <row r="6" spans="2:14" s="65" customFormat="1" ht="12.75" customHeight="1" x14ac:dyDescent="0.35">
      <c r="B6" s="65" t="s">
        <v>11</v>
      </c>
      <c r="C6" s="69">
        <v>22</v>
      </c>
      <c r="D6" s="69">
        <v>17</v>
      </c>
      <c r="E6" s="69">
        <v>3</v>
      </c>
      <c r="F6" s="69">
        <v>7</v>
      </c>
      <c r="G6" s="86">
        <f t="shared" si="0"/>
        <v>49</v>
      </c>
    </row>
    <row r="7" spans="2:14" s="65" customFormat="1" ht="12.75" customHeight="1" x14ac:dyDescent="0.35">
      <c r="B7" s="65" t="s">
        <v>12</v>
      </c>
      <c r="C7" s="69">
        <v>22</v>
      </c>
      <c r="D7" s="69">
        <v>14</v>
      </c>
      <c r="E7" s="69">
        <v>2</v>
      </c>
      <c r="F7" s="69">
        <v>4</v>
      </c>
      <c r="G7" s="86">
        <f t="shared" si="0"/>
        <v>42</v>
      </c>
    </row>
    <row r="8" spans="2:14" s="65" customFormat="1" ht="14" x14ac:dyDescent="0.35">
      <c r="B8" s="65" t="s">
        <v>13</v>
      </c>
      <c r="C8" s="69">
        <v>13</v>
      </c>
      <c r="D8" s="69">
        <v>27</v>
      </c>
      <c r="E8" s="69">
        <v>0</v>
      </c>
      <c r="F8" s="69">
        <v>8</v>
      </c>
      <c r="G8" s="86">
        <f t="shared" si="0"/>
        <v>48</v>
      </c>
    </row>
    <row r="9" spans="2:14" s="65" customFormat="1" ht="12.75" customHeight="1" x14ac:dyDescent="0.35">
      <c r="B9" s="65" t="s">
        <v>14</v>
      </c>
      <c r="C9" s="69">
        <v>8</v>
      </c>
      <c r="D9" s="69">
        <v>22</v>
      </c>
      <c r="E9" s="69">
        <v>1</v>
      </c>
      <c r="F9" s="69">
        <v>20</v>
      </c>
      <c r="G9" s="86">
        <f t="shared" si="0"/>
        <v>51</v>
      </c>
    </row>
    <row r="10" spans="2:14" s="65" customFormat="1" ht="12.75" customHeight="1" x14ac:dyDescent="0.35">
      <c r="B10" s="65" t="s">
        <v>15</v>
      </c>
      <c r="C10" s="69">
        <v>40</v>
      </c>
      <c r="D10" s="69">
        <v>17</v>
      </c>
      <c r="E10" s="69">
        <v>1</v>
      </c>
      <c r="F10" s="69">
        <v>28</v>
      </c>
      <c r="G10" s="86">
        <f t="shared" si="0"/>
        <v>86</v>
      </c>
    </row>
    <row r="11" spans="2:14" s="65" customFormat="1" ht="13.5" customHeight="1" x14ac:dyDescent="0.35">
      <c r="B11" s="65" t="s">
        <v>83</v>
      </c>
      <c r="C11" s="69">
        <v>30</v>
      </c>
      <c r="D11" s="69">
        <v>4</v>
      </c>
      <c r="E11" s="69">
        <v>3</v>
      </c>
      <c r="F11" s="69">
        <v>12</v>
      </c>
      <c r="G11" s="86">
        <f t="shared" si="0"/>
        <v>49</v>
      </c>
    </row>
    <row r="12" spans="2:14" s="65" customFormat="1" ht="12.75" customHeight="1" x14ac:dyDescent="0.35">
      <c r="B12" s="65" t="s">
        <v>17</v>
      </c>
      <c r="C12" s="69">
        <v>7</v>
      </c>
      <c r="D12" s="69">
        <v>20</v>
      </c>
      <c r="E12" s="69">
        <v>2</v>
      </c>
      <c r="F12" s="69">
        <v>11</v>
      </c>
      <c r="G12" s="86">
        <f t="shared" si="0"/>
        <v>40</v>
      </c>
    </row>
    <row r="13" spans="2:14" s="65" customFormat="1" ht="12.75" customHeight="1" x14ac:dyDescent="0.35">
      <c r="B13" s="65" t="s">
        <v>18</v>
      </c>
      <c r="C13" s="69">
        <v>17</v>
      </c>
      <c r="D13" s="69">
        <v>26</v>
      </c>
      <c r="E13" s="69">
        <v>2</v>
      </c>
      <c r="F13" s="69">
        <v>16</v>
      </c>
      <c r="G13" s="86">
        <f t="shared" si="0"/>
        <v>61</v>
      </c>
    </row>
    <row r="14" spans="2:14" s="65" customFormat="1" ht="12.75" customHeight="1" x14ac:dyDescent="0.35">
      <c r="B14" s="65" t="s">
        <v>19</v>
      </c>
      <c r="C14" s="69">
        <v>33</v>
      </c>
      <c r="D14" s="69">
        <v>39</v>
      </c>
      <c r="E14" s="69">
        <v>2</v>
      </c>
      <c r="F14" s="69">
        <v>11</v>
      </c>
      <c r="G14" s="86">
        <f t="shared" si="0"/>
        <v>85</v>
      </c>
    </row>
    <row r="15" spans="2:14" s="65" customFormat="1" ht="12.75" customHeight="1" x14ac:dyDescent="0.35">
      <c r="B15" s="67" t="s">
        <v>63</v>
      </c>
      <c r="C15" s="69">
        <v>21</v>
      </c>
      <c r="D15" s="69">
        <v>61</v>
      </c>
      <c r="E15" s="69">
        <v>4</v>
      </c>
      <c r="F15" s="69">
        <v>21</v>
      </c>
      <c r="G15" s="86">
        <f t="shared" si="0"/>
        <v>107</v>
      </c>
    </row>
    <row r="16" spans="2:14" s="65" customFormat="1" ht="12.75" customHeight="1" x14ac:dyDescent="0.35">
      <c r="B16" s="65" t="s">
        <v>106</v>
      </c>
      <c r="C16" s="69">
        <f>C63+C64</f>
        <v>14</v>
      </c>
      <c r="D16" s="69">
        <f t="shared" ref="D16:G16" si="1">D63+D64</f>
        <v>60</v>
      </c>
      <c r="E16" s="69">
        <f t="shared" si="1"/>
        <v>4</v>
      </c>
      <c r="F16" s="69">
        <f t="shared" si="1"/>
        <v>29</v>
      </c>
      <c r="G16" s="69">
        <f t="shared" si="1"/>
        <v>107</v>
      </c>
    </row>
    <row r="17" spans="2:7" s="65" customFormat="1" ht="12.75" customHeight="1" x14ac:dyDescent="0.35">
      <c r="B17" s="65" t="s">
        <v>84</v>
      </c>
      <c r="C17" s="69">
        <v>18</v>
      </c>
      <c r="D17" s="69">
        <v>13</v>
      </c>
      <c r="E17" s="69">
        <v>3</v>
      </c>
      <c r="F17" s="69">
        <v>8</v>
      </c>
      <c r="G17" s="86">
        <f t="shared" si="0"/>
        <v>42</v>
      </c>
    </row>
    <row r="18" spans="2:7" s="65" customFormat="1" ht="12.75" customHeight="1" x14ac:dyDescent="0.35">
      <c r="B18" s="65" t="s">
        <v>23</v>
      </c>
      <c r="C18" s="69">
        <v>26</v>
      </c>
      <c r="D18" s="69">
        <v>10</v>
      </c>
      <c r="E18" s="69">
        <v>2</v>
      </c>
      <c r="F18" s="69">
        <v>23</v>
      </c>
      <c r="G18" s="86">
        <f t="shared" si="0"/>
        <v>61</v>
      </c>
    </row>
    <row r="19" spans="2:7" s="65" customFormat="1" ht="12.75" customHeight="1" x14ac:dyDescent="0.35">
      <c r="B19" s="65" t="s">
        <v>24</v>
      </c>
      <c r="C19" s="69">
        <v>63</v>
      </c>
      <c r="D19" s="69">
        <v>65</v>
      </c>
      <c r="E19" s="69">
        <v>5</v>
      </c>
      <c r="F19" s="69">
        <v>30</v>
      </c>
      <c r="G19" s="86">
        <f t="shared" si="0"/>
        <v>163</v>
      </c>
    </row>
    <row r="20" spans="2:7" s="65" customFormat="1" ht="12.75" customHeight="1" x14ac:dyDescent="0.35">
      <c r="B20" s="65" t="s">
        <v>25</v>
      </c>
      <c r="C20" s="69">
        <v>8</v>
      </c>
      <c r="D20" s="69">
        <v>12</v>
      </c>
      <c r="E20" s="69">
        <v>2</v>
      </c>
      <c r="F20" s="69">
        <v>12</v>
      </c>
      <c r="G20" s="86">
        <f t="shared" si="0"/>
        <v>34</v>
      </c>
    </row>
    <row r="21" spans="2:7" s="65" customFormat="1" ht="12.75" customHeight="1" x14ac:dyDescent="0.35">
      <c r="B21" s="65" t="s">
        <v>28</v>
      </c>
      <c r="C21" s="69">
        <v>19</v>
      </c>
      <c r="D21" s="69">
        <v>57</v>
      </c>
      <c r="E21" s="69">
        <v>1</v>
      </c>
      <c r="F21" s="69">
        <v>20</v>
      </c>
      <c r="G21" s="86">
        <f t="shared" si="0"/>
        <v>97</v>
      </c>
    </row>
    <row r="22" spans="2:7" s="65" customFormat="1" ht="12.75" customHeight="1" x14ac:dyDescent="0.35">
      <c r="B22" s="65" t="s">
        <v>64</v>
      </c>
      <c r="C22" s="69">
        <v>24</v>
      </c>
      <c r="D22" s="69">
        <v>44</v>
      </c>
      <c r="E22" s="69">
        <v>2</v>
      </c>
      <c r="F22" s="69">
        <v>15</v>
      </c>
      <c r="G22" s="86">
        <f t="shared" si="0"/>
        <v>85</v>
      </c>
    </row>
    <row r="23" spans="2:7" s="65" customFormat="1" ht="12.75" customHeight="1" x14ac:dyDescent="0.35">
      <c r="B23" s="65" t="s">
        <v>30</v>
      </c>
      <c r="C23" s="69">
        <v>38</v>
      </c>
      <c r="D23" s="69">
        <v>24</v>
      </c>
      <c r="E23" s="69">
        <v>2</v>
      </c>
      <c r="F23" s="69">
        <v>12</v>
      </c>
      <c r="G23" s="86">
        <f t="shared" si="0"/>
        <v>76</v>
      </c>
    </row>
    <row r="24" spans="2:7" s="65" customFormat="1" ht="12.75" customHeight="1" x14ac:dyDescent="0.35">
      <c r="B24" s="65" t="s">
        <v>31</v>
      </c>
      <c r="C24" s="69">
        <v>29</v>
      </c>
      <c r="D24" s="69">
        <v>24</v>
      </c>
      <c r="E24" s="69">
        <v>2</v>
      </c>
      <c r="F24" s="69">
        <v>22</v>
      </c>
      <c r="G24" s="86">
        <f t="shared" si="0"/>
        <v>77</v>
      </c>
    </row>
    <row r="25" spans="2:7" s="65" customFormat="1" ht="12.75" customHeight="1" x14ac:dyDescent="0.35">
      <c r="B25" s="65" t="s">
        <v>65</v>
      </c>
      <c r="C25" s="69">
        <v>1</v>
      </c>
      <c r="D25" s="69">
        <v>8</v>
      </c>
      <c r="E25" s="69">
        <v>2</v>
      </c>
      <c r="F25" s="69">
        <v>3</v>
      </c>
      <c r="G25" s="86">
        <f t="shared" si="0"/>
        <v>14</v>
      </c>
    </row>
    <row r="26" spans="2:7" s="65" customFormat="1" ht="12.75" customHeight="1" x14ac:dyDescent="0.35">
      <c r="B26" s="65" t="s">
        <v>34</v>
      </c>
      <c r="C26" s="69">
        <v>27</v>
      </c>
      <c r="D26" s="69">
        <v>69</v>
      </c>
      <c r="E26" s="69">
        <v>2</v>
      </c>
      <c r="F26" s="69">
        <v>38</v>
      </c>
      <c r="G26" s="86">
        <f t="shared" si="0"/>
        <v>136</v>
      </c>
    </row>
    <row r="27" spans="2:7" s="65" customFormat="1" ht="12.75" customHeight="1" x14ac:dyDescent="0.35">
      <c r="B27" s="65" t="s">
        <v>35</v>
      </c>
      <c r="C27" s="69">
        <v>38</v>
      </c>
      <c r="D27" s="69">
        <v>48</v>
      </c>
      <c r="E27" s="69">
        <v>3</v>
      </c>
      <c r="F27" s="69">
        <v>35</v>
      </c>
      <c r="G27" s="86">
        <f t="shared" si="0"/>
        <v>124</v>
      </c>
    </row>
    <row r="28" spans="2:7" s="65" customFormat="1" ht="12.75" customHeight="1" x14ac:dyDescent="0.35">
      <c r="B28" s="65" t="s">
        <v>36</v>
      </c>
      <c r="C28" s="69">
        <v>20</v>
      </c>
      <c r="D28" s="69">
        <v>14</v>
      </c>
      <c r="E28" s="69">
        <v>2</v>
      </c>
      <c r="F28" s="69">
        <v>14</v>
      </c>
      <c r="G28" s="86">
        <f t="shared" si="0"/>
        <v>50</v>
      </c>
    </row>
    <row r="29" spans="2:7" s="65" customFormat="1" ht="12.75" customHeight="1" x14ac:dyDescent="0.35">
      <c r="B29" s="65" t="s">
        <v>37</v>
      </c>
      <c r="C29" s="69">
        <v>15</v>
      </c>
      <c r="D29" s="69">
        <v>63</v>
      </c>
      <c r="E29" s="69">
        <v>4</v>
      </c>
      <c r="F29" s="69">
        <v>12</v>
      </c>
      <c r="G29" s="86">
        <f t="shared" si="0"/>
        <v>94</v>
      </c>
    </row>
    <row r="30" spans="2:7" s="65" customFormat="1" ht="12.75" customHeight="1" x14ac:dyDescent="0.35">
      <c r="B30" s="65" t="s">
        <v>39</v>
      </c>
      <c r="C30" s="69">
        <v>13</v>
      </c>
      <c r="D30" s="69">
        <v>40</v>
      </c>
      <c r="E30" s="69">
        <v>4</v>
      </c>
      <c r="F30" s="69">
        <v>12</v>
      </c>
      <c r="G30" s="86">
        <f t="shared" si="0"/>
        <v>69</v>
      </c>
    </row>
    <row r="31" spans="2:7" s="65" customFormat="1" ht="12.75" customHeight="1" x14ac:dyDescent="0.35">
      <c r="B31" s="96" t="s">
        <v>40</v>
      </c>
      <c r="C31" s="97" t="s">
        <v>75</v>
      </c>
      <c r="D31" s="97" t="s">
        <v>75</v>
      </c>
      <c r="E31" s="97" t="s">
        <v>75</v>
      </c>
      <c r="F31" s="97" t="s">
        <v>75</v>
      </c>
      <c r="G31" s="98" t="s">
        <v>75</v>
      </c>
    </row>
    <row r="32" spans="2:7" s="65" customFormat="1" ht="12.75" customHeight="1" x14ac:dyDescent="0.35">
      <c r="B32" s="65" t="s">
        <v>41</v>
      </c>
      <c r="C32" s="69">
        <v>15</v>
      </c>
      <c r="D32" s="69">
        <v>31</v>
      </c>
      <c r="E32" s="69">
        <v>0</v>
      </c>
      <c r="F32" s="69">
        <v>6</v>
      </c>
      <c r="G32" s="86">
        <f t="shared" si="0"/>
        <v>52</v>
      </c>
    </row>
    <row r="33" spans="2:9" s="65" customFormat="1" ht="13.5" customHeight="1" x14ac:dyDescent="0.35">
      <c r="B33" s="65" t="s">
        <v>42</v>
      </c>
      <c r="C33" s="69">
        <v>15</v>
      </c>
      <c r="D33" s="69">
        <v>25</v>
      </c>
      <c r="E33" s="69">
        <v>3</v>
      </c>
      <c r="F33" s="69">
        <v>10</v>
      </c>
      <c r="G33" s="86">
        <f t="shared" si="0"/>
        <v>53</v>
      </c>
    </row>
    <row r="34" spans="2:9" s="65" customFormat="1" ht="13.5" customHeight="1" x14ac:dyDescent="0.35">
      <c r="B34" s="65" t="s">
        <v>85</v>
      </c>
      <c r="C34" s="69">
        <v>9</v>
      </c>
      <c r="D34" s="69">
        <v>26</v>
      </c>
      <c r="E34" s="69">
        <v>2</v>
      </c>
      <c r="F34" s="69">
        <v>14</v>
      </c>
      <c r="G34" s="86">
        <f t="shared" si="0"/>
        <v>51</v>
      </c>
    </row>
    <row r="35" spans="2:9" s="65" customFormat="1" ht="12.75" customHeight="1" x14ac:dyDescent="0.35">
      <c r="B35" s="65" t="s">
        <v>44</v>
      </c>
      <c r="C35" s="69">
        <v>28</v>
      </c>
      <c r="D35" s="69">
        <v>27</v>
      </c>
      <c r="E35" s="69">
        <v>3</v>
      </c>
      <c r="F35" s="69">
        <v>17</v>
      </c>
      <c r="G35" s="86">
        <f t="shared" si="0"/>
        <v>75</v>
      </c>
    </row>
    <row r="36" spans="2:9" s="65" customFormat="1" ht="12.75" customHeight="1" x14ac:dyDescent="0.35">
      <c r="B36" s="65" t="s">
        <v>45</v>
      </c>
      <c r="C36" s="69">
        <v>14</v>
      </c>
      <c r="D36" s="69">
        <v>44</v>
      </c>
      <c r="E36" s="69">
        <v>0</v>
      </c>
      <c r="F36" s="69">
        <v>1</v>
      </c>
      <c r="G36" s="86">
        <f t="shared" si="0"/>
        <v>59</v>
      </c>
    </row>
    <row r="37" spans="2:9" s="65" customFormat="1" ht="12.75" customHeight="1" x14ac:dyDescent="0.35">
      <c r="B37" s="65" t="s">
        <v>46</v>
      </c>
      <c r="C37" s="69">
        <v>20</v>
      </c>
      <c r="D37" s="69">
        <v>20</v>
      </c>
      <c r="E37" s="69">
        <v>0</v>
      </c>
      <c r="F37" s="69">
        <v>11</v>
      </c>
      <c r="G37" s="86">
        <f t="shared" si="0"/>
        <v>51</v>
      </c>
      <c r="I37" s="68"/>
    </row>
    <row r="38" spans="2:9" s="65" customFormat="1" ht="12.75" customHeight="1" x14ac:dyDescent="0.35">
      <c r="B38" s="65" t="s">
        <v>48</v>
      </c>
      <c r="C38" s="69">
        <v>27</v>
      </c>
      <c r="D38" s="69">
        <v>46</v>
      </c>
      <c r="E38" s="69">
        <v>1</v>
      </c>
      <c r="F38" s="69">
        <v>37</v>
      </c>
      <c r="G38" s="86">
        <f t="shared" si="0"/>
        <v>111</v>
      </c>
    </row>
    <row r="39" spans="2:9" s="65" customFormat="1" ht="12.75" customHeight="1" x14ac:dyDescent="0.35">
      <c r="B39" s="65" t="s">
        <v>49</v>
      </c>
      <c r="C39" s="69">
        <v>4</v>
      </c>
      <c r="D39" s="69">
        <v>31</v>
      </c>
      <c r="E39" s="69">
        <v>1</v>
      </c>
      <c r="F39" s="69">
        <v>5</v>
      </c>
      <c r="G39" s="86">
        <f t="shared" si="0"/>
        <v>41</v>
      </c>
    </row>
    <row r="40" spans="2:9" s="65" customFormat="1" ht="12.75" customHeight="1" x14ac:dyDescent="0.35">
      <c r="B40" s="65" t="s">
        <v>50</v>
      </c>
      <c r="C40" s="69">
        <v>39</v>
      </c>
      <c r="D40" s="69">
        <v>7</v>
      </c>
      <c r="E40" s="69">
        <v>0</v>
      </c>
      <c r="F40" s="69">
        <v>10</v>
      </c>
      <c r="G40" s="86">
        <f t="shared" si="0"/>
        <v>56</v>
      </c>
    </row>
    <row r="41" spans="2:9" s="65" customFormat="1" ht="12.75" customHeight="1" x14ac:dyDescent="0.35">
      <c r="B41" s="65" t="s">
        <v>52</v>
      </c>
      <c r="C41" s="69">
        <v>17</v>
      </c>
      <c r="D41" s="69">
        <v>13</v>
      </c>
      <c r="E41" s="69">
        <v>1</v>
      </c>
      <c r="F41" s="69">
        <v>8</v>
      </c>
      <c r="G41" s="86">
        <f t="shared" si="0"/>
        <v>39</v>
      </c>
    </row>
    <row r="42" spans="2:9" s="65" customFormat="1" ht="12.75" customHeight="1" x14ac:dyDescent="0.35">
      <c r="B42" s="65" t="s">
        <v>54</v>
      </c>
      <c r="C42" s="69">
        <v>28</v>
      </c>
      <c r="D42" s="69">
        <v>35</v>
      </c>
      <c r="E42" s="69">
        <v>0</v>
      </c>
      <c r="F42" s="69">
        <v>15</v>
      </c>
      <c r="G42" s="86">
        <f t="shared" si="0"/>
        <v>78</v>
      </c>
      <c r="H42" s="68"/>
    </row>
    <row r="43" spans="2:9" s="65" customFormat="1" ht="12.75" customHeight="1" x14ac:dyDescent="0.35">
      <c r="B43" s="65" t="s">
        <v>33</v>
      </c>
      <c r="C43" s="69">
        <v>0</v>
      </c>
      <c r="D43" s="69">
        <v>2</v>
      </c>
      <c r="E43" s="69">
        <v>0</v>
      </c>
      <c r="F43" s="69">
        <v>0</v>
      </c>
      <c r="G43" s="86">
        <f t="shared" si="0"/>
        <v>2</v>
      </c>
    </row>
    <row r="44" spans="2:9" s="60" customFormat="1" ht="25.5" customHeight="1" x14ac:dyDescent="0.35">
      <c r="B44" s="60" t="s">
        <v>66</v>
      </c>
      <c r="C44" s="86">
        <v>830</v>
      </c>
      <c r="D44" s="86">
        <v>41</v>
      </c>
      <c r="E44" s="86">
        <v>21</v>
      </c>
      <c r="F44" s="86">
        <v>316</v>
      </c>
      <c r="G44" s="86">
        <f t="shared" si="0"/>
        <v>1208</v>
      </c>
    </row>
    <row r="45" spans="2:9" s="65" customFormat="1" ht="12.75" customHeight="1" x14ac:dyDescent="0.35">
      <c r="B45" s="65" t="s">
        <v>86</v>
      </c>
      <c r="C45" s="69">
        <v>115</v>
      </c>
      <c r="D45" s="69">
        <v>1</v>
      </c>
      <c r="E45" s="69">
        <v>4</v>
      </c>
      <c r="F45" s="69">
        <v>46</v>
      </c>
      <c r="G45" s="86">
        <f t="shared" si="0"/>
        <v>166</v>
      </c>
    </row>
    <row r="46" spans="2:9" s="65" customFormat="1" ht="14.25" customHeight="1" x14ac:dyDescent="0.35">
      <c r="B46" s="65" t="s">
        <v>38</v>
      </c>
      <c r="C46" s="69">
        <v>86</v>
      </c>
      <c r="D46" s="69">
        <v>0</v>
      </c>
      <c r="E46" s="69">
        <v>2</v>
      </c>
      <c r="F46" s="69">
        <v>44</v>
      </c>
      <c r="G46" s="86">
        <f t="shared" si="0"/>
        <v>132</v>
      </c>
    </row>
    <row r="47" spans="2:9" s="65" customFormat="1" ht="12.75" customHeight="1" x14ac:dyDescent="0.35">
      <c r="B47" s="65" t="s">
        <v>47</v>
      </c>
      <c r="C47" s="69">
        <v>58</v>
      </c>
      <c r="D47" s="69">
        <v>10</v>
      </c>
      <c r="E47" s="69">
        <v>2</v>
      </c>
      <c r="F47" s="69">
        <v>24</v>
      </c>
      <c r="G47" s="86">
        <f t="shared" si="0"/>
        <v>94</v>
      </c>
    </row>
    <row r="48" spans="2:9" s="65" customFormat="1" ht="12.75" customHeight="1" x14ac:dyDescent="0.35">
      <c r="B48" s="65" t="s">
        <v>87</v>
      </c>
      <c r="C48" s="69">
        <v>26</v>
      </c>
      <c r="D48" s="69">
        <v>1</v>
      </c>
      <c r="E48" s="69">
        <v>2</v>
      </c>
      <c r="F48" s="69">
        <v>24</v>
      </c>
      <c r="G48" s="86">
        <f t="shared" si="0"/>
        <v>53</v>
      </c>
    </row>
    <row r="49" spans="2:9" s="65" customFormat="1" ht="12.75" customHeight="1" x14ac:dyDescent="0.35">
      <c r="B49" s="65" t="s">
        <v>53</v>
      </c>
      <c r="C49" s="69">
        <v>111</v>
      </c>
      <c r="D49" s="69">
        <v>0</v>
      </c>
      <c r="E49" s="69">
        <v>4</v>
      </c>
      <c r="F49" s="69">
        <v>57</v>
      </c>
      <c r="G49" s="86">
        <f t="shared" si="0"/>
        <v>172</v>
      </c>
    </row>
    <row r="50" spans="2:9" s="65" customFormat="1" ht="12.75" customHeight="1" x14ac:dyDescent="0.35">
      <c r="B50" s="65" t="s">
        <v>55</v>
      </c>
      <c r="C50" s="69">
        <v>100</v>
      </c>
      <c r="D50" s="69">
        <v>29</v>
      </c>
      <c r="E50" s="69">
        <v>1</v>
      </c>
      <c r="F50" s="69">
        <v>35</v>
      </c>
      <c r="G50" s="86">
        <f t="shared" si="0"/>
        <v>165</v>
      </c>
    </row>
    <row r="51" spans="2:9" s="74" customFormat="1" ht="12.75" customHeight="1" x14ac:dyDescent="0.35">
      <c r="B51" s="70" t="s">
        <v>88</v>
      </c>
      <c r="C51" s="72">
        <v>334</v>
      </c>
      <c r="D51" s="71">
        <v>0</v>
      </c>
      <c r="E51" s="71">
        <v>6</v>
      </c>
      <c r="F51" s="72">
        <v>86</v>
      </c>
      <c r="G51" s="86">
        <f t="shared" si="0"/>
        <v>426</v>
      </c>
    </row>
    <row r="52" spans="2:9" s="65" customFormat="1" ht="10.5" customHeight="1" x14ac:dyDescent="0.35">
      <c r="C52" s="75"/>
      <c r="I52" s="76"/>
    </row>
    <row r="53" spans="2:9" s="65" customFormat="1" ht="13.5" customHeight="1" x14ac:dyDescent="0.35">
      <c r="B53" s="88" t="s">
        <v>89</v>
      </c>
      <c r="C53" s="89"/>
      <c r="D53" s="89"/>
      <c r="E53" s="90"/>
      <c r="F53" s="75"/>
      <c r="I53" s="76"/>
    </row>
    <row r="54" spans="2:9" s="65" customFormat="1" ht="13.5" customHeight="1" x14ac:dyDescent="0.35">
      <c r="B54" s="91" t="s">
        <v>90</v>
      </c>
      <c r="C54" s="67"/>
      <c r="H54" s="76"/>
      <c r="I54" s="76"/>
    </row>
    <row r="55" spans="2:9" s="65" customFormat="1" ht="13.5" customHeight="1" x14ac:dyDescent="0.35">
      <c r="B55" s="88" t="s">
        <v>91</v>
      </c>
      <c r="C55" s="89"/>
      <c r="D55" s="89"/>
      <c r="E55" s="89"/>
      <c r="F55" s="75"/>
      <c r="I55" s="76"/>
    </row>
    <row r="56" spans="2:9" s="65" customFormat="1" ht="13.5" customHeight="1" x14ac:dyDescent="0.35">
      <c r="B56" s="92" t="s">
        <v>92</v>
      </c>
      <c r="I56" s="76"/>
    </row>
    <row r="57" spans="2:9" s="65" customFormat="1" ht="13.5" customHeight="1" x14ac:dyDescent="0.35">
      <c r="B57" s="88" t="s">
        <v>93</v>
      </c>
      <c r="C57" s="89"/>
      <c r="D57" s="89"/>
      <c r="E57" s="89"/>
      <c r="F57" s="75"/>
      <c r="I57" s="76"/>
    </row>
    <row r="58" spans="2:9" s="65" customFormat="1" ht="13.5" customHeight="1" x14ac:dyDescent="0.35">
      <c r="B58" s="65" t="s">
        <v>94</v>
      </c>
      <c r="H58" s="76"/>
      <c r="I58" s="76"/>
    </row>
    <row r="59" spans="2:9" s="65" customFormat="1" ht="13.5" customHeight="1" x14ac:dyDescent="0.35">
      <c r="H59" s="76"/>
      <c r="I59" s="76"/>
    </row>
    <row r="60" spans="2:9" s="65" customFormat="1" x14ac:dyDescent="0.35">
      <c r="B60" s="77" t="s">
        <v>95</v>
      </c>
      <c r="H60" s="76"/>
      <c r="I60" s="76"/>
    </row>
    <row r="63" spans="2:9" ht="14" x14ac:dyDescent="0.35">
      <c r="B63" s="65" t="s">
        <v>21</v>
      </c>
      <c r="C63" s="69">
        <v>7</v>
      </c>
      <c r="D63" s="69">
        <v>27</v>
      </c>
      <c r="E63" s="69">
        <v>3</v>
      </c>
      <c r="F63" s="69">
        <v>12</v>
      </c>
      <c r="G63" s="86">
        <v>49</v>
      </c>
    </row>
    <row r="64" spans="2:9" ht="14" x14ac:dyDescent="0.35">
      <c r="B64" s="65" t="s">
        <v>56</v>
      </c>
      <c r="C64" s="69">
        <v>7</v>
      </c>
      <c r="D64" s="69">
        <v>33</v>
      </c>
      <c r="E64" s="69">
        <v>1</v>
      </c>
      <c r="F64" s="69">
        <v>17</v>
      </c>
      <c r="G64" s="86">
        <v>58</v>
      </c>
    </row>
  </sheetData>
  <printOptions horizontalCentered="1" verticalCentered="1"/>
  <pageMargins left="0.2" right="0.34" top="0.32" bottom="0.25" header="0.51181102362204722" footer="0.51181102362204722"/>
  <pageSetup paperSize="9" scale="65" orientation="landscape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B8AB-390C-4ABF-8D5B-99970E4482BF}">
  <sheetPr codeName="Sheet17"/>
  <dimension ref="A1:I51"/>
  <sheetViews>
    <sheetView topLeftCell="A13" workbookViewId="0">
      <selection activeCell="A57" sqref="A57:F57"/>
    </sheetView>
  </sheetViews>
  <sheetFormatPr defaultRowHeight="14.5" x14ac:dyDescent="0.35"/>
  <cols>
    <col min="2" max="2" width="20.7265625" bestFit="1" customWidth="1"/>
    <col min="3" max="7" width="18.81640625" customWidth="1"/>
    <col min="8" max="9" width="11.26953125" customWidth="1"/>
  </cols>
  <sheetData>
    <row r="1" spans="1:9" x14ac:dyDescent="0.35">
      <c r="B1" s="155" t="s">
        <v>150</v>
      </c>
      <c r="C1" s="155"/>
      <c r="D1" s="155"/>
      <c r="E1" s="155"/>
      <c r="F1" s="155"/>
      <c r="G1" s="155"/>
      <c r="H1" s="155"/>
      <c r="I1" s="155"/>
    </row>
    <row r="2" spans="1:9" x14ac:dyDescent="0.35">
      <c r="C2" t="s">
        <v>1</v>
      </c>
      <c r="D2" t="s">
        <v>59</v>
      </c>
      <c r="E2" t="s">
        <v>60</v>
      </c>
      <c r="F2" t="s">
        <v>61</v>
      </c>
      <c r="G2" t="s">
        <v>5</v>
      </c>
    </row>
    <row r="3" spans="1:9" x14ac:dyDescent="0.35">
      <c r="A3">
        <v>2019</v>
      </c>
      <c r="B3" t="s">
        <v>0</v>
      </c>
      <c r="C3" s="107">
        <f>SUM(C4,C44)</f>
        <v>1733</v>
      </c>
      <c r="D3" s="107">
        <f t="shared" ref="D3:F3" si="0">SUM(D4,D44)</f>
        <v>1508</v>
      </c>
      <c r="E3" s="107">
        <f t="shared" si="0"/>
        <v>98</v>
      </c>
      <c r="F3" s="107">
        <f t="shared" si="0"/>
        <v>955</v>
      </c>
      <c r="G3" s="107">
        <f>SUM(C3:F3)</f>
        <v>4294</v>
      </c>
    </row>
    <row r="4" spans="1:9" x14ac:dyDescent="0.35">
      <c r="A4">
        <v>2019</v>
      </c>
      <c r="B4" t="s">
        <v>62</v>
      </c>
      <c r="C4" s="107">
        <f>SUM(C5:C43)</f>
        <v>1042</v>
      </c>
      <c r="D4" s="107">
        <f>SUM(D5:D43)</f>
        <v>1464</v>
      </c>
      <c r="E4" s="107">
        <f>SUM(E5:E43)</f>
        <v>70</v>
      </c>
      <c r="F4" s="107">
        <f>SUM(F5:F43)</f>
        <v>659</v>
      </c>
      <c r="G4" s="107">
        <f>SUM(G5:G43)</f>
        <v>3235</v>
      </c>
    </row>
    <row r="5" spans="1:9" x14ac:dyDescent="0.35">
      <c r="A5">
        <v>2019</v>
      </c>
      <c r="B5" t="s">
        <v>10</v>
      </c>
      <c r="C5" s="107">
        <f>SUMPRODUCT((raw!$A$2:$A$185='(2018-19)'!$A5)*(raw!$B$2:$B$185='(2018-19)'!$B5)*(raw!$C$2:$C$185='(2018-19)'!C$2)*(raw!$D$2:$D$185))</f>
        <v>37</v>
      </c>
      <c r="D5" s="107">
        <f>SUMPRODUCT((raw!$A$2:$A$185='(2018-19)'!$A5)*(raw!$B$2:$B$185='(2018-19)'!$B5)*(raw!$C$2:$C$185='(2018-19)'!D$2)*(raw!$D$2:$D$185))</f>
        <v>16</v>
      </c>
      <c r="E5" s="107">
        <f>SUMPRODUCT((raw!$A$2:$A$185='(2018-19)'!$A5)*(raw!$B$2:$B$185='(2018-19)'!$B5)*(raw!$C$2:$C$185='(2018-19)'!E$2)*(raw!$D$2:$D$185))</f>
        <v>0</v>
      </c>
      <c r="F5" s="107">
        <f>SUMPRODUCT((raw!$A$2:$A$185='(2018-19)'!$A5)*(raw!$B$2:$B$185='(2018-19)'!$B5)*(raw!$C$2:$C$185='(2018-19)'!F$2)*(raw!$D$2:$D$185))</f>
        <v>17</v>
      </c>
      <c r="G5" s="107">
        <f>SUM(C5:F5)</f>
        <v>70</v>
      </c>
    </row>
    <row r="6" spans="1:9" x14ac:dyDescent="0.35">
      <c r="A6">
        <v>2019</v>
      </c>
      <c r="B6" t="s">
        <v>11</v>
      </c>
      <c r="C6" s="107">
        <f>SUMPRODUCT((raw!$A$2:$A$185='(2018-19)'!$A6)*(raw!$B$2:$B$185='(2018-19)'!$B6)*(raw!$C$2:$C$185='(2018-19)'!C$2)*(raw!$D$2:$D$185))</f>
        <v>20</v>
      </c>
      <c r="D6" s="107">
        <f>SUMPRODUCT((raw!$A$2:$A$185='(2018-19)'!$A6)*(raw!$B$2:$B$185='(2018-19)'!$B6)*(raw!$C$2:$C$185='(2018-19)'!D$2)*(raw!$D$2:$D$185))</f>
        <v>14</v>
      </c>
      <c r="E6" s="107">
        <f>SUMPRODUCT((raw!$A$2:$A$185='(2018-19)'!$A6)*(raw!$B$2:$B$185='(2018-19)'!$B6)*(raw!$C$2:$C$185='(2018-19)'!E$2)*(raw!$D$2:$D$185))</f>
        <v>0</v>
      </c>
      <c r="F6" s="107">
        <f>SUMPRODUCT((raw!$A$2:$A$185='(2018-19)'!$A6)*(raw!$B$2:$B$185='(2018-19)'!$B6)*(raw!$C$2:$C$185='(2018-19)'!F$2)*(raw!$D$2:$D$185))</f>
        <v>20</v>
      </c>
      <c r="G6" s="107">
        <f t="shared" ref="G6:G51" si="1">SUM(C6:F6)</f>
        <v>54</v>
      </c>
    </row>
    <row r="7" spans="1:9" x14ac:dyDescent="0.35">
      <c r="A7">
        <v>2019</v>
      </c>
      <c r="B7" t="s">
        <v>12</v>
      </c>
      <c r="C7" s="107">
        <f>SUMPRODUCT((raw!$A$2:$A$185='(2018-19)'!$A7)*(raw!$B$2:$B$185='(2018-19)'!$B7)*(raw!$C$2:$C$185='(2018-19)'!C$2)*(raw!$D$2:$D$185))</f>
        <v>31</v>
      </c>
      <c r="D7" s="107">
        <f>SUMPRODUCT((raw!$A$2:$A$185='(2018-19)'!$A7)*(raw!$B$2:$B$185='(2018-19)'!$B7)*(raw!$C$2:$C$185='(2018-19)'!D$2)*(raw!$D$2:$D$185))</f>
        <v>15</v>
      </c>
      <c r="E7" s="107">
        <f>SUMPRODUCT((raw!$A$2:$A$185='(2018-19)'!$A7)*(raw!$B$2:$B$185='(2018-19)'!$B7)*(raw!$C$2:$C$185='(2018-19)'!E$2)*(raw!$D$2:$D$185))</f>
        <v>4</v>
      </c>
      <c r="F7" s="107">
        <f>SUMPRODUCT((raw!$A$2:$A$185='(2018-19)'!$A7)*(raw!$B$2:$B$185='(2018-19)'!$B7)*(raw!$C$2:$C$185='(2018-19)'!F$2)*(raw!$D$2:$D$185))</f>
        <v>33</v>
      </c>
      <c r="G7" s="107">
        <f t="shared" si="1"/>
        <v>83</v>
      </c>
    </row>
    <row r="8" spans="1:9" x14ac:dyDescent="0.35">
      <c r="A8">
        <v>2019</v>
      </c>
      <c r="B8" t="s">
        <v>13</v>
      </c>
      <c r="C8" s="107">
        <f>SUMPRODUCT((raw!$A$2:$A$185='(2018-19)'!$A8)*(raw!$B$2:$B$185='(2018-19)'!$B8)*(raw!$C$2:$C$185='(2018-19)'!C$2)*(raw!$D$2:$D$185))</f>
        <v>35</v>
      </c>
      <c r="D8" s="107">
        <f>SUMPRODUCT((raw!$A$2:$A$185='(2018-19)'!$A8)*(raw!$B$2:$B$185='(2018-19)'!$B8)*(raw!$C$2:$C$185='(2018-19)'!D$2)*(raw!$D$2:$D$185))</f>
        <v>21</v>
      </c>
      <c r="E8" s="107">
        <f>SUMPRODUCT((raw!$A$2:$A$185='(2018-19)'!$A8)*(raw!$B$2:$B$185='(2018-19)'!$B8)*(raw!$C$2:$C$185='(2018-19)'!E$2)*(raw!$D$2:$D$185))</f>
        <v>0</v>
      </c>
      <c r="F8" s="107">
        <f>SUMPRODUCT((raw!$A$2:$A$185='(2018-19)'!$A8)*(raw!$B$2:$B$185='(2018-19)'!$B8)*(raw!$C$2:$C$185='(2018-19)'!F$2)*(raw!$D$2:$D$185))</f>
        <v>9</v>
      </c>
      <c r="G8" s="107">
        <f t="shared" si="1"/>
        <v>65</v>
      </c>
    </row>
    <row r="9" spans="1:9" x14ac:dyDescent="0.35">
      <c r="A9">
        <v>2019</v>
      </c>
      <c r="B9" t="s">
        <v>14</v>
      </c>
      <c r="C9" s="107">
        <f>SUMPRODUCT((raw!$A$2:$A$185='(2018-19)'!$A9)*(raw!$B$2:$B$185='(2018-19)'!$B9)*(raw!$C$2:$C$185='(2018-19)'!C$2)*(raw!$D$2:$D$185))</f>
        <v>16</v>
      </c>
      <c r="D9" s="107">
        <f>SUMPRODUCT((raw!$A$2:$A$185='(2018-19)'!$A9)*(raw!$B$2:$B$185='(2018-19)'!$B9)*(raw!$C$2:$C$185='(2018-19)'!D$2)*(raw!$D$2:$D$185))</f>
        <v>31</v>
      </c>
      <c r="E9" s="107">
        <f>SUMPRODUCT((raw!$A$2:$A$185='(2018-19)'!$A9)*(raw!$B$2:$B$185='(2018-19)'!$B9)*(raw!$C$2:$C$185='(2018-19)'!E$2)*(raw!$D$2:$D$185))</f>
        <v>9</v>
      </c>
      <c r="F9" s="107">
        <f>SUMPRODUCT((raw!$A$2:$A$185='(2018-19)'!$A9)*(raw!$B$2:$B$185='(2018-19)'!$B9)*(raw!$C$2:$C$185='(2018-19)'!F$2)*(raw!$D$2:$D$185))</f>
        <v>17</v>
      </c>
      <c r="G9" s="107">
        <f t="shared" si="1"/>
        <v>73</v>
      </c>
    </row>
    <row r="10" spans="1:9" x14ac:dyDescent="0.35">
      <c r="A10">
        <v>2019</v>
      </c>
      <c r="B10" t="s">
        <v>15</v>
      </c>
      <c r="C10" s="107">
        <f>SUMPRODUCT((raw!$A$2:$A$185='(2018-19)'!$A10)*(raw!$B$2:$B$185='(2018-19)'!$B10)*(raw!$C$2:$C$185='(2018-19)'!C$2)*(raw!$D$2:$D$185))</f>
        <v>40</v>
      </c>
      <c r="D10" s="107">
        <f>SUMPRODUCT((raw!$A$2:$A$185='(2018-19)'!$A10)*(raw!$B$2:$B$185='(2018-19)'!$B10)*(raw!$C$2:$C$185='(2018-19)'!D$2)*(raw!$D$2:$D$185))</f>
        <v>63</v>
      </c>
      <c r="E10" s="107">
        <f>SUMPRODUCT((raw!$A$2:$A$185='(2018-19)'!$A10)*(raw!$B$2:$B$185='(2018-19)'!$B10)*(raw!$C$2:$C$185='(2018-19)'!E$2)*(raw!$D$2:$D$185))</f>
        <v>0</v>
      </c>
      <c r="F10" s="107">
        <f>SUMPRODUCT((raw!$A$2:$A$185='(2018-19)'!$A10)*(raw!$B$2:$B$185='(2018-19)'!$B10)*(raw!$C$2:$C$185='(2018-19)'!F$2)*(raw!$D$2:$D$185))</f>
        <v>17</v>
      </c>
      <c r="G10" s="107">
        <f t="shared" si="1"/>
        <v>120</v>
      </c>
    </row>
    <row r="11" spans="1:9" x14ac:dyDescent="0.35">
      <c r="A11">
        <v>2019</v>
      </c>
      <c r="B11" t="s">
        <v>16</v>
      </c>
      <c r="C11" s="107">
        <f>SUMPRODUCT((raw!$A$2:$A$185='(2018-19)'!$A11)*(raw!$B$2:$B$185='(2018-19)'!$B11)*(raw!$C$2:$C$185='(2018-19)'!C$2)*(raw!$D$2:$D$185))</f>
        <v>35</v>
      </c>
      <c r="D11" s="107">
        <f>SUMPRODUCT((raw!$A$2:$A$185='(2018-19)'!$A11)*(raw!$B$2:$B$185='(2018-19)'!$B11)*(raw!$C$2:$C$185='(2018-19)'!D$2)*(raw!$D$2:$D$185))</f>
        <v>18</v>
      </c>
      <c r="E11" s="107">
        <f>SUMPRODUCT((raw!$A$2:$A$185='(2018-19)'!$A11)*(raw!$B$2:$B$185='(2018-19)'!$B11)*(raw!$C$2:$C$185='(2018-19)'!E$2)*(raw!$D$2:$D$185))</f>
        <v>2</v>
      </c>
      <c r="F11" s="107">
        <f>SUMPRODUCT((raw!$A$2:$A$185='(2018-19)'!$A11)*(raw!$B$2:$B$185='(2018-19)'!$B11)*(raw!$C$2:$C$185='(2018-19)'!F$2)*(raw!$D$2:$D$185))</f>
        <v>13</v>
      </c>
      <c r="G11" s="107">
        <f t="shared" si="1"/>
        <v>68</v>
      </c>
    </row>
    <row r="12" spans="1:9" x14ac:dyDescent="0.35">
      <c r="A12">
        <v>2019</v>
      </c>
      <c r="B12" t="s">
        <v>17</v>
      </c>
      <c r="C12" s="107">
        <f>SUMPRODUCT((raw!$A$2:$A$185='(2018-19)'!$A12)*(raw!$B$2:$B$185='(2018-19)'!$B12)*(raw!$C$2:$C$185='(2018-19)'!C$2)*(raw!$D$2:$D$185))</f>
        <v>3</v>
      </c>
      <c r="D12" s="107">
        <f>SUMPRODUCT((raw!$A$2:$A$185='(2018-19)'!$A12)*(raw!$B$2:$B$185='(2018-19)'!$B12)*(raw!$C$2:$C$185='(2018-19)'!D$2)*(raw!$D$2:$D$185))</f>
        <v>25</v>
      </c>
      <c r="E12" s="107">
        <f>SUMPRODUCT((raw!$A$2:$A$185='(2018-19)'!$A12)*(raw!$B$2:$B$185='(2018-19)'!$B12)*(raw!$C$2:$C$185='(2018-19)'!E$2)*(raw!$D$2:$D$185))</f>
        <v>3</v>
      </c>
      <c r="F12" s="107">
        <f>SUMPRODUCT((raw!$A$2:$A$185='(2018-19)'!$A12)*(raw!$B$2:$B$185='(2018-19)'!$B12)*(raw!$C$2:$C$185='(2018-19)'!F$2)*(raw!$D$2:$D$185))</f>
        <v>9</v>
      </c>
      <c r="G12" s="107">
        <f t="shared" si="1"/>
        <v>40</v>
      </c>
    </row>
    <row r="13" spans="1:9" x14ac:dyDescent="0.35">
      <c r="A13">
        <v>2019</v>
      </c>
      <c r="B13" t="s">
        <v>18</v>
      </c>
      <c r="C13" s="107">
        <f>SUMPRODUCT((raw!$A$2:$A$185='(2018-19)'!$A13)*(raw!$B$2:$B$185='(2018-19)'!$B13)*(raw!$C$2:$C$185='(2018-19)'!C$2)*(raw!$D$2:$D$185))</f>
        <v>13</v>
      </c>
      <c r="D13" s="107">
        <f>SUMPRODUCT((raw!$A$2:$A$185='(2018-19)'!$A13)*(raw!$B$2:$B$185='(2018-19)'!$B13)*(raw!$C$2:$C$185='(2018-19)'!D$2)*(raw!$D$2:$D$185))</f>
        <v>28</v>
      </c>
      <c r="E13" s="107">
        <f>SUMPRODUCT((raw!$A$2:$A$185='(2018-19)'!$A13)*(raw!$B$2:$B$185='(2018-19)'!$B13)*(raw!$C$2:$C$185='(2018-19)'!E$2)*(raw!$D$2:$D$185))</f>
        <v>0</v>
      </c>
      <c r="F13" s="107">
        <f>SUMPRODUCT((raw!$A$2:$A$185='(2018-19)'!$A13)*(raw!$B$2:$B$185='(2018-19)'!$B13)*(raw!$C$2:$C$185='(2018-19)'!F$2)*(raw!$D$2:$D$185))</f>
        <v>2</v>
      </c>
      <c r="G13" s="107">
        <f t="shared" si="1"/>
        <v>43</v>
      </c>
    </row>
    <row r="14" spans="1:9" x14ac:dyDescent="0.35">
      <c r="A14">
        <v>2019</v>
      </c>
      <c r="B14" t="s">
        <v>19</v>
      </c>
      <c r="C14" s="107">
        <f>SUMPRODUCT((raw!$A$2:$A$185='(2018-19)'!$A14)*(raw!$B$2:$B$185='(2018-19)'!$B14)*(raw!$C$2:$C$185='(2018-19)'!C$2)*(raw!$D$2:$D$185))</f>
        <v>27</v>
      </c>
      <c r="D14" s="107">
        <f>SUMPRODUCT((raw!$A$2:$A$185='(2018-19)'!$A14)*(raw!$B$2:$B$185='(2018-19)'!$B14)*(raw!$C$2:$C$185='(2018-19)'!D$2)*(raw!$D$2:$D$185))</f>
        <v>36</v>
      </c>
      <c r="E14" s="107">
        <f>SUMPRODUCT((raw!$A$2:$A$185='(2018-19)'!$A14)*(raw!$B$2:$B$185='(2018-19)'!$B14)*(raw!$C$2:$C$185='(2018-19)'!E$2)*(raw!$D$2:$D$185))</f>
        <v>1</v>
      </c>
      <c r="F14" s="107">
        <f>SUMPRODUCT((raw!$A$2:$A$185='(2018-19)'!$A14)*(raw!$B$2:$B$185='(2018-19)'!$B14)*(raw!$C$2:$C$185='(2018-19)'!F$2)*(raw!$D$2:$D$185))</f>
        <v>16</v>
      </c>
      <c r="G14" s="107">
        <f t="shared" si="1"/>
        <v>80</v>
      </c>
    </row>
    <row r="15" spans="1:9" x14ac:dyDescent="0.35">
      <c r="A15">
        <v>2019</v>
      </c>
      <c r="B15" t="s">
        <v>20</v>
      </c>
      <c r="C15" s="107">
        <f>SUMPRODUCT((raw!$A$2:$A$185='(2018-19)'!$A15)*(raw!$B$2:$B$185='(2018-19)'!$B15)*(raw!$C$2:$C$185='(2018-19)'!C$2)*(raw!$D$2:$D$185))</f>
        <v>47</v>
      </c>
      <c r="D15" s="107">
        <f>SUMPRODUCT((raw!$A$2:$A$185='(2018-19)'!$A15)*(raw!$B$2:$B$185='(2018-19)'!$B15)*(raw!$C$2:$C$185='(2018-19)'!D$2)*(raw!$D$2:$D$185))</f>
        <v>132</v>
      </c>
      <c r="E15" s="107">
        <f>SUMPRODUCT((raw!$A$2:$A$185='(2018-19)'!$A15)*(raw!$B$2:$B$185='(2018-19)'!$B15)*(raw!$C$2:$C$185='(2018-19)'!E$2)*(raw!$D$2:$D$185))</f>
        <v>3</v>
      </c>
      <c r="F15" s="107">
        <f>SUMPRODUCT((raw!$A$2:$A$185='(2018-19)'!$A15)*(raw!$B$2:$B$185='(2018-19)'!$B15)*(raw!$C$2:$C$185='(2018-19)'!F$2)*(raw!$D$2:$D$185))</f>
        <v>27</v>
      </c>
      <c r="G15" s="107">
        <f t="shared" si="1"/>
        <v>209</v>
      </c>
    </row>
    <row r="16" spans="1:9" x14ac:dyDescent="0.35">
      <c r="A16">
        <v>2019</v>
      </c>
      <c r="B16" t="s">
        <v>106</v>
      </c>
      <c r="C16" s="107">
        <f>SUMPRODUCT((raw!$A$2:$A$185='(2018-19)'!$A16)*(raw!$B$2:$B$185='(2018-19)'!$B16)*(raw!$C$2:$C$185='(2018-19)'!C$2)*(raw!$D$2:$D$185))</f>
        <v>30</v>
      </c>
      <c r="D16" s="107">
        <f>SUMPRODUCT((raw!$A$2:$A$185='(2018-19)'!$A16)*(raw!$B$2:$B$185='(2018-19)'!$B16)*(raw!$C$2:$C$185='(2018-19)'!D$2)*(raw!$D$2:$D$185))</f>
        <v>80</v>
      </c>
      <c r="E16" s="107">
        <f>SUMPRODUCT((raw!$A$2:$A$185='(2018-19)'!$A16)*(raw!$B$2:$B$185='(2018-19)'!$B16)*(raw!$C$2:$C$185='(2018-19)'!E$2)*(raw!$D$2:$D$185))</f>
        <v>2</v>
      </c>
      <c r="F16" s="107">
        <f>SUMPRODUCT((raw!$A$2:$A$185='(2018-19)'!$A16)*(raw!$B$2:$B$185='(2018-19)'!$B16)*(raw!$C$2:$C$185='(2018-19)'!F$2)*(raw!$D$2:$D$185))</f>
        <v>41</v>
      </c>
      <c r="G16" s="107">
        <f t="shared" si="1"/>
        <v>153</v>
      </c>
    </row>
    <row r="17" spans="1:7" x14ac:dyDescent="0.35">
      <c r="A17">
        <v>2019</v>
      </c>
      <c r="B17" t="s">
        <v>22</v>
      </c>
      <c r="C17" s="107">
        <f>SUMPRODUCT((raw!$A$2:$A$185='(2018-19)'!$A17)*(raw!$B$2:$B$185='(2018-19)'!$B17)*(raw!$C$2:$C$185='(2018-19)'!C$2)*(raw!$D$2:$D$185))</f>
        <v>18</v>
      </c>
      <c r="D17" s="107">
        <f>SUMPRODUCT((raw!$A$2:$A$185='(2018-19)'!$A17)*(raw!$B$2:$B$185='(2018-19)'!$B17)*(raw!$C$2:$C$185='(2018-19)'!D$2)*(raw!$D$2:$D$185))</f>
        <v>23</v>
      </c>
      <c r="E17" s="107">
        <f>SUMPRODUCT((raw!$A$2:$A$185='(2018-19)'!$A17)*(raw!$B$2:$B$185='(2018-19)'!$B17)*(raw!$C$2:$C$185='(2018-19)'!E$2)*(raw!$D$2:$D$185))</f>
        <v>2</v>
      </c>
      <c r="F17" s="107">
        <f>SUMPRODUCT((raw!$A$2:$A$185='(2018-19)'!$A17)*(raw!$B$2:$B$185='(2018-19)'!$B17)*(raw!$C$2:$C$185='(2018-19)'!F$2)*(raw!$D$2:$D$185))</f>
        <v>6</v>
      </c>
      <c r="G17" s="107">
        <f t="shared" si="1"/>
        <v>49</v>
      </c>
    </row>
    <row r="18" spans="1:7" x14ac:dyDescent="0.35">
      <c r="A18">
        <v>2019</v>
      </c>
      <c r="B18" t="s">
        <v>23</v>
      </c>
      <c r="C18" s="107">
        <f>SUMPRODUCT((raw!$A$2:$A$185='(2018-19)'!$A18)*(raw!$B$2:$B$185='(2018-19)'!$B18)*(raw!$C$2:$C$185='(2018-19)'!C$2)*(raw!$D$2:$D$185))</f>
        <v>27</v>
      </c>
      <c r="D18" s="107">
        <f>SUMPRODUCT((raw!$A$2:$A$185='(2018-19)'!$A18)*(raw!$B$2:$B$185='(2018-19)'!$B18)*(raw!$C$2:$C$185='(2018-19)'!D$2)*(raw!$D$2:$D$185))</f>
        <v>25</v>
      </c>
      <c r="E18" s="107">
        <f>SUMPRODUCT((raw!$A$2:$A$185='(2018-19)'!$A18)*(raw!$B$2:$B$185='(2018-19)'!$B18)*(raw!$C$2:$C$185='(2018-19)'!E$2)*(raw!$D$2:$D$185))</f>
        <v>5</v>
      </c>
      <c r="F18" s="107">
        <f>SUMPRODUCT((raw!$A$2:$A$185='(2018-19)'!$A18)*(raw!$B$2:$B$185='(2018-19)'!$B18)*(raw!$C$2:$C$185='(2018-19)'!F$2)*(raw!$D$2:$D$185))</f>
        <v>16</v>
      </c>
      <c r="G18" s="107">
        <f t="shared" si="1"/>
        <v>73</v>
      </c>
    </row>
    <row r="19" spans="1:7" x14ac:dyDescent="0.35">
      <c r="A19">
        <v>2019</v>
      </c>
      <c r="B19" t="s">
        <v>24</v>
      </c>
      <c r="C19" s="107">
        <f>SUMPRODUCT((raw!$A$2:$A$185='(2018-19)'!$A19)*(raw!$B$2:$B$185='(2018-19)'!$B19)*(raw!$C$2:$C$185='(2018-19)'!C$2)*(raw!$D$2:$D$185))</f>
        <v>46</v>
      </c>
      <c r="D19" s="107">
        <f>SUMPRODUCT((raw!$A$2:$A$185='(2018-19)'!$A19)*(raw!$B$2:$B$185='(2018-19)'!$B19)*(raw!$C$2:$C$185='(2018-19)'!D$2)*(raw!$D$2:$D$185))</f>
        <v>72</v>
      </c>
      <c r="E19" s="107">
        <f>SUMPRODUCT((raw!$A$2:$A$185='(2018-19)'!$A19)*(raw!$B$2:$B$185='(2018-19)'!$B19)*(raw!$C$2:$C$185='(2018-19)'!E$2)*(raw!$D$2:$D$185))</f>
        <v>1</v>
      </c>
      <c r="F19" s="107">
        <f>SUMPRODUCT((raw!$A$2:$A$185='(2018-19)'!$A19)*(raw!$B$2:$B$185='(2018-19)'!$B19)*(raw!$C$2:$C$185='(2018-19)'!F$2)*(raw!$D$2:$D$185))</f>
        <v>57</v>
      </c>
      <c r="G19" s="107">
        <f t="shared" si="1"/>
        <v>176</v>
      </c>
    </row>
    <row r="20" spans="1:7" x14ac:dyDescent="0.35">
      <c r="A20">
        <v>2019</v>
      </c>
      <c r="B20" t="s">
        <v>25</v>
      </c>
      <c r="C20" s="107">
        <f>SUMPRODUCT((raw!$A$2:$A$185='(2018-19)'!$A20)*(raw!$B$2:$B$185='(2018-19)'!$B20)*(raw!$C$2:$C$185='(2018-19)'!C$2)*(raw!$D$2:$D$185))</f>
        <v>18</v>
      </c>
      <c r="D20" s="107">
        <f>SUMPRODUCT((raw!$A$2:$A$185='(2018-19)'!$A20)*(raw!$B$2:$B$185='(2018-19)'!$B20)*(raw!$C$2:$C$185='(2018-19)'!D$2)*(raw!$D$2:$D$185))</f>
        <v>34</v>
      </c>
      <c r="E20" s="107">
        <f>SUMPRODUCT((raw!$A$2:$A$185='(2018-19)'!$A20)*(raw!$B$2:$B$185='(2018-19)'!$B20)*(raw!$C$2:$C$185='(2018-19)'!E$2)*(raw!$D$2:$D$185))</f>
        <v>2</v>
      </c>
      <c r="F20" s="107">
        <f>SUMPRODUCT((raw!$A$2:$A$185='(2018-19)'!$A20)*(raw!$B$2:$B$185='(2018-19)'!$B20)*(raw!$C$2:$C$185='(2018-19)'!F$2)*(raw!$D$2:$D$185))</f>
        <v>6</v>
      </c>
      <c r="G20" s="107">
        <f t="shared" si="1"/>
        <v>60</v>
      </c>
    </row>
    <row r="21" spans="1:7" x14ac:dyDescent="0.35">
      <c r="A21">
        <v>2019</v>
      </c>
      <c r="B21" t="s">
        <v>28</v>
      </c>
      <c r="C21" s="107">
        <f>SUMPRODUCT((raw!$A$2:$A$185='(2018-19)'!$A21)*(raw!$B$2:$B$185='(2018-19)'!$B21)*(raw!$C$2:$C$185='(2018-19)'!C$2)*(raw!$D$2:$D$185))</f>
        <v>91</v>
      </c>
      <c r="D21" s="107">
        <f>SUMPRODUCT((raw!$A$2:$A$185='(2018-19)'!$A21)*(raw!$B$2:$B$185='(2018-19)'!$B21)*(raw!$C$2:$C$185='(2018-19)'!D$2)*(raw!$D$2:$D$185))</f>
        <v>92</v>
      </c>
      <c r="E21" s="107">
        <f>SUMPRODUCT((raw!$A$2:$A$185='(2018-19)'!$A21)*(raw!$B$2:$B$185='(2018-19)'!$B21)*(raw!$C$2:$C$185='(2018-19)'!E$2)*(raw!$D$2:$D$185))</f>
        <v>3</v>
      </c>
      <c r="F21" s="107">
        <f>SUMPRODUCT((raw!$A$2:$A$185='(2018-19)'!$A21)*(raw!$B$2:$B$185='(2018-19)'!$B21)*(raw!$C$2:$C$185='(2018-19)'!F$2)*(raw!$D$2:$D$185))</f>
        <v>44</v>
      </c>
      <c r="G21" s="107">
        <f t="shared" si="1"/>
        <v>230</v>
      </c>
    </row>
    <row r="22" spans="1:7" x14ac:dyDescent="0.35">
      <c r="A22">
        <v>2019</v>
      </c>
      <c r="B22" t="s">
        <v>29</v>
      </c>
      <c r="C22" s="107">
        <f>SUMPRODUCT((raw!$A$2:$A$185='(2018-19)'!$A22)*(raw!$B$2:$B$185='(2018-19)'!$B22)*(raw!$C$2:$C$185='(2018-19)'!C$2)*(raw!$D$2:$D$185))</f>
        <v>30</v>
      </c>
      <c r="D22" s="107">
        <f>SUMPRODUCT((raw!$A$2:$A$185='(2018-19)'!$A22)*(raw!$B$2:$B$185='(2018-19)'!$B22)*(raw!$C$2:$C$185='(2018-19)'!D$2)*(raw!$D$2:$D$185))</f>
        <v>62</v>
      </c>
      <c r="E22" s="107">
        <f>SUMPRODUCT((raw!$A$2:$A$185='(2018-19)'!$A22)*(raw!$B$2:$B$185='(2018-19)'!$B22)*(raw!$C$2:$C$185='(2018-19)'!E$2)*(raw!$D$2:$D$185))</f>
        <v>2</v>
      </c>
      <c r="F22" s="107">
        <f>SUMPRODUCT((raw!$A$2:$A$185='(2018-19)'!$A22)*(raw!$B$2:$B$185='(2018-19)'!$B22)*(raw!$C$2:$C$185='(2018-19)'!F$2)*(raw!$D$2:$D$185))</f>
        <v>26</v>
      </c>
      <c r="G22" s="107">
        <f t="shared" si="1"/>
        <v>120</v>
      </c>
    </row>
    <row r="23" spans="1:7" x14ac:dyDescent="0.35">
      <c r="A23">
        <v>2019</v>
      </c>
      <c r="B23" t="s">
        <v>30</v>
      </c>
      <c r="C23" s="107">
        <f>SUMPRODUCT((raw!$A$2:$A$185='(2018-19)'!$A23)*(raw!$B$2:$B$185='(2018-19)'!$B23)*(raw!$C$2:$C$185='(2018-19)'!C$2)*(raw!$D$2:$D$185))</f>
        <v>50</v>
      </c>
      <c r="D23" s="107">
        <f>SUMPRODUCT((raw!$A$2:$A$185='(2018-19)'!$A23)*(raw!$B$2:$B$185='(2018-19)'!$B23)*(raw!$C$2:$C$185='(2018-19)'!D$2)*(raw!$D$2:$D$185))</f>
        <v>40</v>
      </c>
      <c r="E23" s="107">
        <f>SUMPRODUCT((raw!$A$2:$A$185='(2018-19)'!$A23)*(raw!$B$2:$B$185='(2018-19)'!$B23)*(raw!$C$2:$C$185='(2018-19)'!E$2)*(raw!$D$2:$D$185))</f>
        <v>4</v>
      </c>
      <c r="F23" s="107">
        <f>SUMPRODUCT((raw!$A$2:$A$185='(2018-19)'!$A23)*(raw!$B$2:$B$185='(2018-19)'!$B23)*(raw!$C$2:$C$185='(2018-19)'!F$2)*(raw!$D$2:$D$185))</f>
        <v>28</v>
      </c>
      <c r="G23" s="107">
        <f t="shared" si="1"/>
        <v>122</v>
      </c>
    </row>
    <row r="24" spans="1:7" x14ac:dyDescent="0.35">
      <c r="A24">
        <v>2019</v>
      </c>
      <c r="B24" t="s">
        <v>31</v>
      </c>
      <c r="C24" s="107">
        <f>SUMPRODUCT((raw!$A$2:$A$185='(2018-19)'!$A24)*(raw!$B$2:$B$185='(2018-19)'!$B24)*(raw!$C$2:$C$185='(2018-19)'!C$2)*(raw!$D$2:$D$185))</f>
        <v>33</v>
      </c>
      <c r="D24" s="107">
        <f>SUMPRODUCT((raw!$A$2:$A$185='(2018-19)'!$A24)*(raw!$B$2:$B$185='(2018-19)'!$B24)*(raw!$C$2:$C$185='(2018-19)'!D$2)*(raw!$D$2:$D$185))</f>
        <v>25</v>
      </c>
      <c r="E24" s="107">
        <f>SUMPRODUCT((raw!$A$2:$A$185='(2018-19)'!$A24)*(raw!$B$2:$B$185='(2018-19)'!$B24)*(raw!$C$2:$C$185='(2018-19)'!E$2)*(raw!$D$2:$D$185))</f>
        <v>2</v>
      </c>
      <c r="F24" s="107">
        <f>SUMPRODUCT((raw!$A$2:$A$185='(2018-19)'!$A24)*(raw!$B$2:$B$185='(2018-19)'!$B24)*(raw!$C$2:$C$185='(2018-19)'!F$2)*(raw!$D$2:$D$185))</f>
        <v>12</v>
      </c>
      <c r="G24" s="107">
        <f t="shared" si="1"/>
        <v>72</v>
      </c>
    </row>
    <row r="25" spans="1:7" x14ac:dyDescent="0.35">
      <c r="A25">
        <v>2019</v>
      </c>
      <c r="B25" t="s">
        <v>65</v>
      </c>
      <c r="C25" s="107">
        <f>SUMPRODUCT((raw!$A$2:$A$185='(2018-19)'!$A25)*(raw!$B$2:$B$185='(2018-19)'!$B25)*(raw!$C$2:$C$185='(2018-19)'!C$2)*(raw!$D$2:$D$185))</f>
        <v>6</v>
      </c>
      <c r="D25" s="107">
        <f>SUMPRODUCT((raw!$A$2:$A$185='(2018-19)'!$A25)*(raw!$B$2:$B$185='(2018-19)'!$B25)*(raw!$C$2:$C$185='(2018-19)'!D$2)*(raw!$D$2:$D$185))</f>
        <v>7</v>
      </c>
      <c r="E25" s="107">
        <f>SUMPRODUCT((raw!$A$2:$A$185='(2018-19)'!$A25)*(raw!$B$2:$B$185='(2018-19)'!$B25)*(raw!$C$2:$C$185='(2018-19)'!E$2)*(raw!$D$2:$D$185))</f>
        <v>0</v>
      </c>
      <c r="F25" s="107">
        <f>SUMPRODUCT((raw!$A$2:$A$185='(2018-19)'!$A25)*(raw!$B$2:$B$185='(2018-19)'!$B25)*(raw!$C$2:$C$185='(2018-19)'!F$2)*(raw!$D$2:$D$185))</f>
        <v>4</v>
      </c>
      <c r="G25" s="107">
        <f t="shared" si="1"/>
        <v>17</v>
      </c>
    </row>
    <row r="26" spans="1:7" x14ac:dyDescent="0.35">
      <c r="A26">
        <v>2019</v>
      </c>
      <c r="B26" t="s">
        <v>34</v>
      </c>
      <c r="C26" s="107">
        <f>SUMPRODUCT((raw!$A$2:$A$185='(2018-19)'!$A26)*(raw!$B$2:$B$185='(2018-19)'!$B26)*(raw!$C$2:$C$185='(2018-19)'!C$2)*(raw!$D$2:$D$185))</f>
        <v>53</v>
      </c>
      <c r="D26" s="107">
        <f>SUMPRODUCT((raw!$A$2:$A$185='(2018-19)'!$A26)*(raw!$B$2:$B$185='(2018-19)'!$B26)*(raw!$C$2:$C$185='(2018-19)'!D$2)*(raw!$D$2:$D$185))</f>
        <v>53</v>
      </c>
      <c r="E26" s="107">
        <f>SUMPRODUCT((raw!$A$2:$A$185='(2018-19)'!$A26)*(raw!$B$2:$B$185='(2018-19)'!$B26)*(raw!$C$2:$C$185='(2018-19)'!E$2)*(raw!$D$2:$D$185))</f>
        <v>1</v>
      </c>
      <c r="F26" s="107">
        <f>SUMPRODUCT((raw!$A$2:$A$185='(2018-19)'!$A26)*(raw!$B$2:$B$185='(2018-19)'!$B26)*(raw!$C$2:$C$185='(2018-19)'!F$2)*(raw!$D$2:$D$185))</f>
        <v>25</v>
      </c>
      <c r="G26" s="107">
        <f t="shared" si="1"/>
        <v>132</v>
      </c>
    </row>
    <row r="27" spans="1:7" x14ac:dyDescent="0.35">
      <c r="A27">
        <v>2019</v>
      </c>
      <c r="B27" t="s">
        <v>35</v>
      </c>
      <c r="C27" s="107">
        <f>SUMPRODUCT((raw!$A$2:$A$185='(2018-19)'!$A27)*(raw!$B$2:$B$185='(2018-19)'!$B27)*(raw!$C$2:$C$185='(2018-19)'!C$2)*(raw!$D$2:$D$185))</f>
        <v>49</v>
      </c>
      <c r="D27" s="107">
        <f>SUMPRODUCT((raw!$A$2:$A$185='(2018-19)'!$A27)*(raw!$B$2:$B$185='(2018-19)'!$B27)*(raw!$C$2:$C$185='(2018-19)'!D$2)*(raw!$D$2:$D$185))</f>
        <v>66</v>
      </c>
      <c r="E27" s="107">
        <f>SUMPRODUCT((raw!$A$2:$A$185='(2018-19)'!$A27)*(raw!$B$2:$B$185='(2018-19)'!$B27)*(raw!$C$2:$C$185='(2018-19)'!E$2)*(raw!$D$2:$D$185))</f>
        <v>0</v>
      </c>
      <c r="F27" s="107">
        <f>SUMPRODUCT((raw!$A$2:$A$185='(2018-19)'!$A27)*(raw!$B$2:$B$185='(2018-19)'!$B27)*(raw!$C$2:$C$185='(2018-19)'!F$2)*(raw!$D$2:$D$185))</f>
        <v>24</v>
      </c>
      <c r="G27" s="107">
        <f t="shared" si="1"/>
        <v>139</v>
      </c>
    </row>
    <row r="28" spans="1:7" x14ac:dyDescent="0.35">
      <c r="A28">
        <v>2019</v>
      </c>
      <c r="B28" t="s">
        <v>36</v>
      </c>
      <c r="C28" s="107">
        <f>SUMPRODUCT((raw!$A$2:$A$185='(2018-19)'!$A28)*(raw!$B$2:$B$185='(2018-19)'!$B28)*(raw!$C$2:$C$185='(2018-19)'!C$2)*(raw!$D$2:$D$185))</f>
        <v>40</v>
      </c>
      <c r="D28" s="107">
        <f>SUMPRODUCT((raw!$A$2:$A$185='(2018-19)'!$A28)*(raw!$B$2:$B$185='(2018-19)'!$B28)*(raw!$C$2:$C$185='(2018-19)'!D$2)*(raw!$D$2:$D$185))</f>
        <v>35</v>
      </c>
      <c r="E28" s="107">
        <f>SUMPRODUCT((raw!$A$2:$A$185='(2018-19)'!$A28)*(raw!$B$2:$B$185='(2018-19)'!$B28)*(raw!$C$2:$C$185='(2018-19)'!E$2)*(raw!$D$2:$D$185))</f>
        <v>0</v>
      </c>
      <c r="F28" s="107">
        <f>SUMPRODUCT((raw!$A$2:$A$185='(2018-19)'!$A28)*(raw!$B$2:$B$185='(2018-19)'!$B28)*(raw!$C$2:$C$185='(2018-19)'!F$2)*(raw!$D$2:$D$185))</f>
        <v>22</v>
      </c>
      <c r="G28" s="107">
        <f t="shared" si="1"/>
        <v>97</v>
      </c>
    </row>
    <row r="29" spans="1:7" x14ac:dyDescent="0.35">
      <c r="A29">
        <v>2019</v>
      </c>
      <c r="B29" t="s">
        <v>37</v>
      </c>
      <c r="C29" s="107">
        <f>SUMPRODUCT((raw!$A$2:$A$185='(2018-19)'!$A29)*(raw!$B$2:$B$185='(2018-19)'!$B29)*(raw!$C$2:$C$185='(2018-19)'!C$2)*(raw!$D$2:$D$185))</f>
        <v>17</v>
      </c>
      <c r="D29" s="107">
        <f>SUMPRODUCT((raw!$A$2:$A$185='(2018-19)'!$A29)*(raw!$B$2:$B$185='(2018-19)'!$B29)*(raw!$C$2:$C$185='(2018-19)'!D$2)*(raw!$D$2:$D$185))</f>
        <v>57</v>
      </c>
      <c r="E29" s="107">
        <f>SUMPRODUCT((raw!$A$2:$A$185='(2018-19)'!$A29)*(raw!$B$2:$B$185='(2018-19)'!$B29)*(raw!$C$2:$C$185='(2018-19)'!E$2)*(raw!$D$2:$D$185))</f>
        <v>2</v>
      </c>
      <c r="F29" s="107">
        <f>SUMPRODUCT((raw!$A$2:$A$185='(2018-19)'!$A29)*(raw!$B$2:$B$185='(2018-19)'!$B29)*(raw!$C$2:$C$185='(2018-19)'!F$2)*(raw!$D$2:$D$185))</f>
        <v>3</v>
      </c>
      <c r="G29" s="107">
        <f t="shared" si="1"/>
        <v>79</v>
      </c>
    </row>
    <row r="30" spans="1:7" x14ac:dyDescent="0.35">
      <c r="A30">
        <v>2019</v>
      </c>
      <c r="B30" t="s">
        <v>39</v>
      </c>
      <c r="C30" s="107">
        <f>SUMPRODUCT((raw!$A$2:$A$185='(2018-19)'!$A30)*(raw!$B$2:$B$185='(2018-19)'!$B30)*(raw!$C$2:$C$185='(2018-19)'!C$2)*(raw!$D$2:$D$185))</f>
        <v>21</v>
      </c>
      <c r="D30" s="107">
        <f>SUMPRODUCT((raw!$A$2:$A$185='(2018-19)'!$A30)*(raw!$B$2:$B$185='(2018-19)'!$B30)*(raw!$C$2:$C$185='(2018-19)'!D$2)*(raw!$D$2:$D$185))</f>
        <v>43</v>
      </c>
      <c r="E30" s="107">
        <f>SUMPRODUCT((raw!$A$2:$A$185='(2018-19)'!$A30)*(raw!$B$2:$B$185='(2018-19)'!$B30)*(raw!$C$2:$C$185='(2018-19)'!E$2)*(raw!$D$2:$D$185))</f>
        <v>1</v>
      </c>
      <c r="F30" s="107">
        <f>SUMPRODUCT((raw!$A$2:$A$185='(2018-19)'!$A30)*(raw!$B$2:$B$185='(2018-19)'!$B30)*(raw!$C$2:$C$185='(2018-19)'!F$2)*(raw!$D$2:$D$185))</f>
        <v>13</v>
      </c>
      <c r="G30" s="107">
        <f t="shared" si="1"/>
        <v>78</v>
      </c>
    </row>
    <row r="31" spans="1:7" x14ac:dyDescent="0.35">
      <c r="A31">
        <v>2019</v>
      </c>
      <c r="B31" t="s">
        <v>40</v>
      </c>
      <c r="C31" s="107">
        <f>SUMPRODUCT((raw!$A$2:$A$185='(2018-19)'!$A31)*(raw!$B$2:$B$185='(2018-19)'!$B31)*(raw!$C$2:$C$185='(2018-19)'!C$2)*(raw!$D$2:$D$185))</f>
        <v>0</v>
      </c>
      <c r="D31" s="107">
        <f>SUMPRODUCT((raw!$A$2:$A$185='(2018-19)'!$A31)*(raw!$B$2:$B$185='(2018-19)'!$B31)*(raw!$C$2:$C$185='(2018-19)'!D$2)*(raw!$D$2:$D$185))</f>
        <v>0</v>
      </c>
      <c r="E31" s="107">
        <f>SUMPRODUCT((raw!$A$2:$A$185='(2018-19)'!$A31)*(raw!$B$2:$B$185='(2018-19)'!$B31)*(raw!$C$2:$C$185='(2018-19)'!E$2)*(raw!$D$2:$D$185))</f>
        <v>10</v>
      </c>
      <c r="F31" s="107">
        <f>SUMPRODUCT((raw!$A$2:$A$185='(2018-19)'!$A31)*(raw!$B$2:$B$185='(2018-19)'!$B31)*(raw!$C$2:$C$185='(2018-19)'!F$2)*(raw!$D$2:$D$185))</f>
        <v>0</v>
      </c>
      <c r="G31" s="107">
        <f t="shared" si="1"/>
        <v>10</v>
      </c>
    </row>
    <row r="32" spans="1:7" x14ac:dyDescent="0.35">
      <c r="A32">
        <v>2019</v>
      </c>
      <c r="B32" t="s">
        <v>41</v>
      </c>
      <c r="C32" s="107">
        <f>SUMPRODUCT((raw!$A$2:$A$185='(2018-19)'!$A32)*(raw!$B$2:$B$185='(2018-19)'!$B32)*(raw!$C$2:$C$185='(2018-19)'!C$2)*(raw!$D$2:$D$185))</f>
        <v>25</v>
      </c>
      <c r="D32" s="107">
        <f>SUMPRODUCT((raw!$A$2:$A$185='(2018-19)'!$A32)*(raw!$B$2:$B$185='(2018-19)'!$B32)*(raw!$C$2:$C$185='(2018-19)'!D$2)*(raw!$D$2:$D$185))</f>
        <v>55</v>
      </c>
      <c r="E32" s="107">
        <f>SUMPRODUCT((raw!$A$2:$A$185='(2018-19)'!$A32)*(raw!$B$2:$B$185='(2018-19)'!$B32)*(raw!$C$2:$C$185='(2018-19)'!E$2)*(raw!$D$2:$D$185))</f>
        <v>2</v>
      </c>
      <c r="F32" s="107">
        <f>SUMPRODUCT((raw!$A$2:$A$185='(2018-19)'!$A32)*(raw!$B$2:$B$185='(2018-19)'!$B32)*(raw!$C$2:$C$185='(2018-19)'!F$2)*(raw!$D$2:$D$185))</f>
        <v>15</v>
      </c>
      <c r="G32" s="107">
        <f t="shared" si="1"/>
        <v>97</v>
      </c>
    </row>
    <row r="33" spans="1:7" x14ac:dyDescent="0.35">
      <c r="A33">
        <v>2019</v>
      </c>
      <c r="B33" t="s">
        <v>42</v>
      </c>
      <c r="C33" s="107">
        <f>SUMPRODUCT((raw!$A$2:$A$185='(2018-19)'!$A33)*(raw!$B$2:$B$185='(2018-19)'!$B33)*(raw!$C$2:$C$185='(2018-19)'!C$2)*(raw!$D$2:$D$185))</f>
        <v>16</v>
      </c>
      <c r="D33" s="107">
        <f>SUMPRODUCT((raw!$A$2:$A$185='(2018-19)'!$A33)*(raw!$B$2:$B$185='(2018-19)'!$B33)*(raw!$C$2:$C$185='(2018-19)'!D$2)*(raw!$D$2:$D$185))</f>
        <v>31</v>
      </c>
      <c r="E33" s="107">
        <f>SUMPRODUCT((raw!$A$2:$A$185='(2018-19)'!$A33)*(raw!$B$2:$B$185='(2018-19)'!$B33)*(raw!$C$2:$C$185='(2018-19)'!E$2)*(raw!$D$2:$D$185))</f>
        <v>2</v>
      </c>
      <c r="F33" s="107">
        <f>SUMPRODUCT((raw!$A$2:$A$185='(2018-19)'!$A33)*(raw!$B$2:$B$185='(2018-19)'!$B33)*(raw!$C$2:$C$185='(2018-19)'!F$2)*(raw!$D$2:$D$185))</f>
        <v>6</v>
      </c>
      <c r="G33" s="107">
        <f t="shared" si="1"/>
        <v>55</v>
      </c>
    </row>
    <row r="34" spans="1:7" x14ac:dyDescent="0.35">
      <c r="A34">
        <v>2019</v>
      </c>
      <c r="B34" t="s">
        <v>43</v>
      </c>
      <c r="C34" s="107">
        <f>SUMPRODUCT((raw!$A$2:$A$185='(2018-19)'!$A34)*(raw!$B$2:$B$185='(2018-19)'!$B34)*(raw!$C$2:$C$185='(2018-19)'!C$2)*(raw!$D$2:$D$185))</f>
        <v>13</v>
      </c>
      <c r="D34" s="107">
        <f>SUMPRODUCT((raw!$A$2:$A$185='(2018-19)'!$A34)*(raw!$B$2:$B$185='(2018-19)'!$B34)*(raw!$C$2:$C$185='(2018-19)'!D$2)*(raw!$D$2:$D$185))</f>
        <v>16</v>
      </c>
      <c r="E34" s="107">
        <f>SUMPRODUCT((raw!$A$2:$A$185='(2018-19)'!$A34)*(raw!$B$2:$B$185='(2018-19)'!$B34)*(raw!$C$2:$C$185='(2018-19)'!E$2)*(raw!$D$2:$D$185))</f>
        <v>0</v>
      </c>
      <c r="F34" s="107">
        <f>SUMPRODUCT((raw!$A$2:$A$185='(2018-19)'!$A34)*(raw!$B$2:$B$185='(2018-19)'!$B34)*(raw!$C$2:$C$185='(2018-19)'!F$2)*(raw!$D$2:$D$185))</f>
        <v>0</v>
      </c>
      <c r="G34" s="107">
        <f t="shared" si="1"/>
        <v>29</v>
      </c>
    </row>
    <row r="35" spans="1:7" x14ac:dyDescent="0.35">
      <c r="A35">
        <v>2019</v>
      </c>
      <c r="B35" t="s">
        <v>44</v>
      </c>
      <c r="C35" s="107">
        <f>SUMPRODUCT((raw!$A$2:$A$185='(2018-19)'!$A35)*(raw!$B$2:$B$185='(2018-19)'!$B35)*(raw!$C$2:$C$185='(2018-19)'!C$2)*(raw!$D$2:$D$185))</f>
        <v>37</v>
      </c>
      <c r="D35" s="107">
        <f>SUMPRODUCT((raw!$A$2:$A$185='(2018-19)'!$A35)*(raw!$B$2:$B$185='(2018-19)'!$B35)*(raw!$C$2:$C$185='(2018-19)'!D$2)*(raw!$D$2:$D$185))</f>
        <v>29</v>
      </c>
      <c r="E35" s="107">
        <f>SUMPRODUCT((raw!$A$2:$A$185='(2018-19)'!$A35)*(raw!$B$2:$B$185='(2018-19)'!$B35)*(raw!$C$2:$C$185='(2018-19)'!E$2)*(raw!$D$2:$D$185))</f>
        <v>1</v>
      </c>
      <c r="F35" s="107">
        <f>SUMPRODUCT((raw!$A$2:$A$185='(2018-19)'!$A35)*(raw!$B$2:$B$185='(2018-19)'!$B35)*(raw!$C$2:$C$185='(2018-19)'!F$2)*(raw!$D$2:$D$185))</f>
        <v>16</v>
      </c>
      <c r="G35" s="107">
        <f t="shared" si="1"/>
        <v>83</v>
      </c>
    </row>
    <row r="36" spans="1:7" x14ac:dyDescent="0.35">
      <c r="A36">
        <v>2019</v>
      </c>
      <c r="B36" t="s">
        <v>45</v>
      </c>
      <c r="C36" s="107">
        <f>SUMPRODUCT((raw!$A$2:$A$185='(2018-19)'!$A36)*(raw!$B$2:$B$185='(2018-19)'!$B36)*(raw!$C$2:$C$185='(2018-19)'!C$2)*(raw!$D$2:$D$185))</f>
        <v>10</v>
      </c>
      <c r="D36" s="107">
        <f>SUMPRODUCT((raw!$A$2:$A$185='(2018-19)'!$A36)*(raw!$B$2:$B$185='(2018-19)'!$B36)*(raw!$C$2:$C$185='(2018-19)'!D$2)*(raw!$D$2:$D$185))</f>
        <v>49</v>
      </c>
      <c r="E36" s="107">
        <f>SUMPRODUCT((raw!$A$2:$A$185='(2018-19)'!$A36)*(raw!$B$2:$B$185='(2018-19)'!$B36)*(raw!$C$2:$C$185='(2018-19)'!E$2)*(raw!$D$2:$D$185))</f>
        <v>0</v>
      </c>
      <c r="F36" s="107">
        <f>SUMPRODUCT((raw!$A$2:$A$185='(2018-19)'!$A36)*(raw!$B$2:$B$185='(2018-19)'!$B36)*(raw!$C$2:$C$185='(2018-19)'!F$2)*(raw!$D$2:$D$185))</f>
        <v>9</v>
      </c>
      <c r="G36" s="107">
        <f t="shared" si="1"/>
        <v>68</v>
      </c>
    </row>
    <row r="37" spans="1:7" x14ac:dyDescent="0.35">
      <c r="A37">
        <v>2019</v>
      </c>
      <c r="B37" t="s">
        <v>46</v>
      </c>
      <c r="C37" s="107">
        <f>SUMPRODUCT((raw!$A$2:$A$185='(2018-19)'!$A37)*(raw!$B$2:$B$185='(2018-19)'!$B37)*(raw!$C$2:$C$185='(2018-19)'!C$2)*(raw!$D$2:$D$185))</f>
        <v>4</v>
      </c>
      <c r="D37" s="107">
        <f>SUMPRODUCT((raw!$A$2:$A$185='(2018-19)'!$A37)*(raw!$B$2:$B$185='(2018-19)'!$B37)*(raw!$C$2:$C$185='(2018-19)'!D$2)*(raw!$D$2:$D$185))</f>
        <v>28</v>
      </c>
      <c r="E37" s="107">
        <f>SUMPRODUCT((raw!$A$2:$A$185='(2018-19)'!$A37)*(raw!$B$2:$B$185='(2018-19)'!$B37)*(raw!$C$2:$C$185='(2018-19)'!E$2)*(raw!$D$2:$D$185))</f>
        <v>2</v>
      </c>
      <c r="F37" s="107">
        <f>SUMPRODUCT((raw!$A$2:$A$185='(2018-19)'!$A37)*(raw!$B$2:$B$185='(2018-19)'!$B37)*(raw!$C$2:$C$185='(2018-19)'!F$2)*(raw!$D$2:$D$185))</f>
        <v>10</v>
      </c>
      <c r="G37" s="107">
        <f t="shared" si="1"/>
        <v>44</v>
      </c>
    </row>
    <row r="38" spans="1:7" x14ac:dyDescent="0.35">
      <c r="A38">
        <v>2019</v>
      </c>
      <c r="B38" t="s">
        <v>48</v>
      </c>
      <c r="C38" s="107">
        <f>SUMPRODUCT((raw!$A$2:$A$185='(2018-19)'!$A38)*(raw!$B$2:$B$185='(2018-19)'!$B38)*(raw!$C$2:$C$185='(2018-19)'!C$2)*(raw!$D$2:$D$185))</f>
        <v>16</v>
      </c>
      <c r="D38" s="107">
        <f>SUMPRODUCT((raw!$A$2:$A$185='(2018-19)'!$A38)*(raw!$B$2:$B$185='(2018-19)'!$B38)*(raw!$C$2:$C$185='(2018-19)'!D$2)*(raw!$D$2:$D$185))</f>
        <v>37</v>
      </c>
      <c r="E38" s="107">
        <f>SUMPRODUCT((raw!$A$2:$A$185='(2018-19)'!$A38)*(raw!$B$2:$B$185='(2018-19)'!$B38)*(raw!$C$2:$C$185='(2018-19)'!E$2)*(raw!$D$2:$D$185))</f>
        <v>0</v>
      </c>
      <c r="F38" s="107">
        <f>SUMPRODUCT((raw!$A$2:$A$185='(2018-19)'!$A38)*(raw!$B$2:$B$185='(2018-19)'!$B38)*(raw!$C$2:$C$185='(2018-19)'!F$2)*(raw!$D$2:$D$185))</f>
        <v>35</v>
      </c>
      <c r="G38" s="107">
        <f t="shared" si="1"/>
        <v>88</v>
      </c>
    </row>
    <row r="39" spans="1:7" x14ac:dyDescent="0.35">
      <c r="A39">
        <v>2019</v>
      </c>
      <c r="B39" t="s">
        <v>49</v>
      </c>
      <c r="C39" s="107">
        <f>SUMPRODUCT((raw!$A$2:$A$185='(2018-19)'!$A39)*(raw!$B$2:$B$185='(2018-19)'!$B39)*(raw!$C$2:$C$185='(2018-19)'!C$2)*(raw!$D$2:$D$185))</f>
        <v>16</v>
      </c>
      <c r="D39" s="107">
        <f>SUMPRODUCT((raw!$A$2:$A$185='(2018-19)'!$A39)*(raw!$B$2:$B$185='(2018-19)'!$B39)*(raw!$C$2:$C$185='(2018-19)'!D$2)*(raw!$D$2:$D$185))</f>
        <v>44</v>
      </c>
      <c r="E39" s="107">
        <f>SUMPRODUCT((raw!$A$2:$A$185='(2018-19)'!$A39)*(raw!$B$2:$B$185='(2018-19)'!$B39)*(raw!$C$2:$C$185='(2018-19)'!E$2)*(raw!$D$2:$D$185))</f>
        <v>0</v>
      </c>
      <c r="F39" s="107">
        <f>SUMPRODUCT((raw!$A$2:$A$185='(2018-19)'!$A39)*(raw!$B$2:$B$185='(2018-19)'!$B39)*(raw!$C$2:$C$185='(2018-19)'!F$2)*(raw!$D$2:$D$185))</f>
        <v>9</v>
      </c>
      <c r="G39" s="107">
        <f t="shared" si="1"/>
        <v>69</v>
      </c>
    </row>
    <row r="40" spans="1:7" x14ac:dyDescent="0.35">
      <c r="A40">
        <v>2019</v>
      </c>
      <c r="B40" t="s">
        <v>50</v>
      </c>
      <c r="C40" s="107">
        <f>SUMPRODUCT((raw!$A$2:$A$185='(2018-19)'!$A40)*(raw!$B$2:$B$185='(2018-19)'!$B40)*(raw!$C$2:$C$185='(2018-19)'!C$2)*(raw!$D$2:$D$185))</f>
        <v>38</v>
      </c>
      <c r="D40" s="107">
        <f>SUMPRODUCT((raw!$A$2:$A$185='(2018-19)'!$A40)*(raw!$B$2:$B$185='(2018-19)'!$B40)*(raw!$C$2:$C$185='(2018-19)'!D$2)*(raw!$D$2:$D$185))</f>
        <v>7</v>
      </c>
      <c r="E40" s="107">
        <f>SUMPRODUCT((raw!$A$2:$A$185='(2018-19)'!$A40)*(raw!$B$2:$B$185='(2018-19)'!$B40)*(raw!$C$2:$C$185='(2018-19)'!E$2)*(raw!$D$2:$D$185))</f>
        <v>4</v>
      </c>
      <c r="F40" s="107">
        <f>SUMPRODUCT((raw!$A$2:$A$185='(2018-19)'!$A40)*(raw!$B$2:$B$185='(2018-19)'!$B40)*(raw!$C$2:$C$185='(2018-19)'!F$2)*(raw!$D$2:$D$185))</f>
        <v>15</v>
      </c>
      <c r="G40" s="107">
        <f t="shared" si="1"/>
        <v>64</v>
      </c>
    </row>
    <row r="41" spans="1:7" x14ac:dyDescent="0.35">
      <c r="A41">
        <v>2019</v>
      </c>
      <c r="B41" t="s">
        <v>52</v>
      </c>
      <c r="C41" s="107">
        <f>SUMPRODUCT((raw!$A$2:$A$185='(2018-19)'!$A41)*(raw!$B$2:$B$185='(2018-19)'!$B41)*(raw!$C$2:$C$185='(2018-19)'!C$2)*(raw!$D$2:$D$185))</f>
        <v>15</v>
      </c>
      <c r="D41" s="107">
        <f>SUMPRODUCT((raw!$A$2:$A$185='(2018-19)'!$A41)*(raw!$B$2:$B$185='(2018-19)'!$B41)*(raw!$C$2:$C$185='(2018-19)'!D$2)*(raw!$D$2:$D$185))</f>
        <v>18</v>
      </c>
      <c r="E41" s="107">
        <f>SUMPRODUCT((raw!$A$2:$A$185='(2018-19)'!$A41)*(raw!$B$2:$B$185='(2018-19)'!$B41)*(raw!$C$2:$C$185='(2018-19)'!E$2)*(raw!$D$2:$D$185))</f>
        <v>0</v>
      </c>
      <c r="F41" s="107">
        <f>SUMPRODUCT((raw!$A$2:$A$185='(2018-19)'!$A41)*(raw!$B$2:$B$185='(2018-19)'!$B41)*(raw!$C$2:$C$185='(2018-19)'!F$2)*(raw!$D$2:$D$185))</f>
        <v>12</v>
      </c>
      <c r="G41" s="107">
        <f t="shared" si="1"/>
        <v>45</v>
      </c>
    </row>
    <row r="42" spans="1:7" x14ac:dyDescent="0.35">
      <c r="A42">
        <v>2019</v>
      </c>
      <c r="B42" t="s">
        <v>54</v>
      </c>
      <c r="C42" s="107">
        <f>SUMPRODUCT((raw!$A$2:$A$185='(2018-19)'!$A42)*(raw!$B$2:$B$185='(2018-19)'!$B42)*(raw!$C$2:$C$185='(2018-19)'!C$2)*(raw!$D$2:$D$185))</f>
        <v>19</v>
      </c>
      <c r="D42" s="107">
        <f>SUMPRODUCT((raw!$A$2:$A$185='(2018-19)'!$A42)*(raw!$B$2:$B$185='(2018-19)'!$B42)*(raw!$C$2:$C$185='(2018-19)'!D$2)*(raw!$D$2:$D$185))</f>
        <v>30</v>
      </c>
      <c r="E42" s="107">
        <f>SUMPRODUCT((raw!$A$2:$A$185='(2018-19)'!$A42)*(raw!$B$2:$B$185='(2018-19)'!$B42)*(raw!$C$2:$C$185='(2018-19)'!E$2)*(raw!$D$2:$D$185))</f>
        <v>0</v>
      </c>
      <c r="F42" s="107">
        <f>SUMPRODUCT((raw!$A$2:$A$185='(2018-19)'!$A42)*(raw!$B$2:$B$185='(2018-19)'!$B42)*(raw!$C$2:$C$185='(2018-19)'!F$2)*(raw!$D$2:$D$185))</f>
        <v>24</v>
      </c>
      <c r="G42" s="107">
        <f t="shared" si="1"/>
        <v>73</v>
      </c>
    </row>
    <row r="43" spans="1:7" x14ac:dyDescent="0.35">
      <c r="A43">
        <v>2019</v>
      </c>
      <c r="B43" t="s">
        <v>33</v>
      </c>
      <c r="C43" s="107">
        <f>SUMPRODUCT((raw!$A$2:$A$185='(2018-19)'!$A43)*(raw!$B$2:$B$185='(2018-19)'!$B43)*(raw!$C$2:$C$185='(2018-19)'!C$2)*(raw!$D$2:$D$185))</f>
        <v>0</v>
      </c>
      <c r="D43" s="107">
        <f>SUMPRODUCT((raw!$A$2:$A$185='(2018-19)'!$A43)*(raw!$B$2:$B$185='(2018-19)'!$B43)*(raw!$C$2:$C$185='(2018-19)'!D$2)*(raw!$D$2:$D$185))</f>
        <v>7</v>
      </c>
      <c r="E43" s="107">
        <f>SUMPRODUCT((raw!$A$2:$A$185='(2018-19)'!$A43)*(raw!$B$2:$B$185='(2018-19)'!$B43)*(raw!$C$2:$C$185='(2018-19)'!E$2)*(raw!$D$2:$D$185))</f>
        <v>0</v>
      </c>
      <c r="F43" s="107">
        <f>SUMPRODUCT((raw!$A$2:$A$185='(2018-19)'!$A43)*(raw!$B$2:$B$185='(2018-19)'!$B43)*(raw!$C$2:$C$185='(2018-19)'!F$2)*(raw!$D$2:$D$185))</f>
        <v>1</v>
      </c>
      <c r="G43" s="107">
        <f t="shared" si="1"/>
        <v>8</v>
      </c>
    </row>
    <row r="44" spans="1:7" x14ac:dyDescent="0.35">
      <c r="A44">
        <v>2019</v>
      </c>
      <c r="B44" t="s">
        <v>66</v>
      </c>
      <c r="C44" s="107">
        <f>SUM(C45:C51)</f>
        <v>691</v>
      </c>
      <c r="D44" s="107">
        <f t="shared" ref="D44:G44" si="2">SUM(D45:D51)</f>
        <v>44</v>
      </c>
      <c r="E44" s="107">
        <f t="shared" si="2"/>
        <v>28</v>
      </c>
      <c r="F44" s="107">
        <f t="shared" si="2"/>
        <v>296</v>
      </c>
      <c r="G44" s="107">
        <f t="shared" si="2"/>
        <v>1059</v>
      </c>
    </row>
    <row r="45" spans="1:7" x14ac:dyDescent="0.35">
      <c r="A45">
        <v>2019</v>
      </c>
      <c r="B45" t="s">
        <v>27</v>
      </c>
      <c r="C45" s="107">
        <f>SUMPRODUCT((raw!$A$2:$A$185='(2018-19)'!$A45)*(raw!$B$2:$B$185='(2018-19)'!$B45)*(raw!$C$2:$C$185='(2018-19)'!C$2)*(raw!$D$2:$D$185))</f>
        <v>92</v>
      </c>
      <c r="D45" s="107">
        <f>SUMPRODUCT((raw!$A$2:$A$185='(2018-19)'!$A45)*(raw!$B$2:$B$185='(2018-19)'!$B45)*(raw!$C$2:$C$185='(2018-19)'!D$2)*(raw!$D$2:$D$185))</f>
        <v>2</v>
      </c>
      <c r="E45" s="107">
        <f>SUMPRODUCT((raw!$A$2:$A$185='(2018-19)'!$A45)*(raw!$B$2:$B$185='(2018-19)'!$B45)*(raw!$C$2:$C$185='(2018-19)'!E$2)*(raw!$D$2:$D$185))</f>
        <v>0</v>
      </c>
      <c r="F45" s="107">
        <f>SUMPRODUCT((raw!$A$2:$A$185='(2018-19)'!$A45)*(raw!$B$2:$B$185='(2018-19)'!$B45)*(raw!$C$2:$C$185='(2018-19)'!F$2)*(raw!$D$2:$D$185))</f>
        <v>64</v>
      </c>
      <c r="G45" s="107">
        <f t="shared" si="1"/>
        <v>158</v>
      </c>
    </row>
    <row r="46" spans="1:7" x14ac:dyDescent="0.35">
      <c r="A46">
        <v>2019</v>
      </c>
      <c r="B46" t="s">
        <v>38</v>
      </c>
      <c r="C46" s="107">
        <f>SUMPRODUCT((raw!$A$2:$A$185='(2018-19)'!$A46)*(raw!$B$2:$B$185='(2018-19)'!$B46)*(raw!$C$2:$C$185='(2018-19)'!C$2)*(raw!$D$2:$D$185))</f>
        <v>72</v>
      </c>
      <c r="D46" s="107">
        <f>SUMPRODUCT((raw!$A$2:$A$185='(2018-19)'!$A46)*(raw!$B$2:$B$185='(2018-19)'!$B46)*(raw!$C$2:$C$185='(2018-19)'!D$2)*(raw!$D$2:$D$185))</f>
        <v>10</v>
      </c>
      <c r="E46" s="107">
        <f>SUMPRODUCT((raw!$A$2:$A$185='(2018-19)'!$A46)*(raw!$B$2:$B$185='(2018-19)'!$B46)*(raw!$C$2:$C$185='(2018-19)'!E$2)*(raw!$D$2:$D$185))</f>
        <v>5</v>
      </c>
      <c r="F46" s="107">
        <f>SUMPRODUCT((raw!$A$2:$A$185='(2018-19)'!$A46)*(raw!$B$2:$B$185='(2018-19)'!$B46)*(raw!$C$2:$C$185='(2018-19)'!F$2)*(raw!$D$2:$D$185))</f>
        <v>35</v>
      </c>
      <c r="G46" s="107">
        <f t="shared" si="1"/>
        <v>122</v>
      </c>
    </row>
    <row r="47" spans="1:7" x14ac:dyDescent="0.35">
      <c r="A47">
        <v>2019</v>
      </c>
      <c r="B47" t="s">
        <v>47</v>
      </c>
      <c r="C47" s="107">
        <f>SUMPRODUCT((raw!$A$2:$A$185='(2018-19)'!$A47)*(raw!$B$2:$B$185='(2018-19)'!$B47)*(raw!$C$2:$C$185='(2018-19)'!C$2)*(raw!$D$2:$D$185))</f>
        <v>47</v>
      </c>
      <c r="D47" s="107">
        <f>SUMPRODUCT((raw!$A$2:$A$185='(2018-19)'!$A47)*(raw!$B$2:$B$185='(2018-19)'!$B47)*(raw!$C$2:$C$185='(2018-19)'!D$2)*(raw!$D$2:$D$185))</f>
        <v>14</v>
      </c>
      <c r="E47" s="107">
        <f>SUMPRODUCT((raw!$A$2:$A$185='(2018-19)'!$A47)*(raw!$B$2:$B$185='(2018-19)'!$B47)*(raw!$C$2:$C$185='(2018-19)'!E$2)*(raw!$D$2:$D$185))</f>
        <v>1</v>
      </c>
      <c r="F47" s="107">
        <f>SUMPRODUCT((raw!$A$2:$A$185='(2018-19)'!$A47)*(raw!$B$2:$B$185='(2018-19)'!$B47)*(raw!$C$2:$C$185='(2018-19)'!F$2)*(raw!$D$2:$D$185))</f>
        <v>27</v>
      </c>
      <c r="G47" s="107">
        <f t="shared" si="1"/>
        <v>89</v>
      </c>
    </row>
    <row r="48" spans="1:7" x14ac:dyDescent="0.35">
      <c r="A48">
        <v>2019</v>
      </c>
      <c r="B48" t="s">
        <v>51</v>
      </c>
      <c r="C48" s="107">
        <f>SUMPRODUCT((raw!$A$2:$A$185='(2018-19)'!$A48)*(raw!$B$2:$B$185='(2018-19)'!$B48)*(raw!$C$2:$C$185='(2018-19)'!C$2)*(raw!$D$2:$D$185))</f>
        <v>47</v>
      </c>
      <c r="D48" s="107">
        <f>SUMPRODUCT((raw!$A$2:$A$185='(2018-19)'!$A48)*(raw!$B$2:$B$185='(2018-19)'!$B48)*(raw!$C$2:$C$185='(2018-19)'!D$2)*(raw!$D$2:$D$185))</f>
        <v>0</v>
      </c>
      <c r="E48" s="107">
        <f>SUMPRODUCT((raw!$A$2:$A$185='(2018-19)'!$A48)*(raw!$B$2:$B$185='(2018-19)'!$B48)*(raw!$C$2:$C$185='(2018-19)'!E$2)*(raw!$D$2:$D$185))</f>
        <v>1</v>
      </c>
      <c r="F48" s="107">
        <f>SUMPRODUCT((raw!$A$2:$A$185='(2018-19)'!$A48)*(raw!$B$2:$B$185='(2018-19)'!$B48)*(raw!$C$2:$C$185='(2018-19)'!F$2)*(raw!$D$2:$D$185))</f>
        <v>19</v>
      </c>
      <c r="G48" s="107">
        <f t="shared" si="1"/>
        <v>67</v>
      </c>
    </row>
    <row r="49" spans="1:7" x14ac:dyDescent="0.35">
      <c r="A49">
        <v>2019</v>
      </c>
      <c r="B49" t="s">
        <v>53</v>
      </c>
      <c r="C49" s="107">
        <f>SUMPRODUCT((raw!$A$2:$A$185='(2018-19)'!$A49)*(raw!$B$2:$B$185='(2018-19)'!$B49)*(raw!$C$2:$C$185='(2018-19)'!C$2)*(raw!$D$2:$D$185))</f>
        <v>103</v>
      </c>
      <c r="D49" s="107">
        <f>SUMPRODUCT((raw!$A$2:$A$185='(2018-19)'!$A49)*(raw!$B$2:$B$185='(2018-19)'!$B49)*(raw!$C$2:$C$185='(2018-19)'!D$2)*(raw!$D$2:$D$185))</f>
        <v>0</v>
      </c>
      <c r="E49" s="107">
        <f>SUMPRODUCT((raw!$A$2:$A$185='(2018-19)'!$A49)*(raw!$B$2:$B$185='(2018-19)'!$B49)*(raw!$C$2:$C$185='(2018-19)'!E$2)*(raw!$D$2:$D$185))</f>
        <v>3</v>
      </c>
      <c r="F49" s="107">
        <f>SUMPRODUCT((raw!$A$2:$A$185='(2018-19)'!$A49)*(raw!$B$2:$B$185='(2018-19)'!$B49)*(raw!$C$2:$C$185='(2018-19)'!F$2)*(raw!$D$2:$D$185))</f>
        <v>38</v>
      </c>
      <c r="G49" s="107">
        <f t="shared" si="1"/>
        <v>144</v>
      </c>
    </row>
    <row r="50" spans="1:7" x14ac:dyDescent="0.35">
      <c r="A50">
        <v>2019</v>
      </c>
      <c r="B50" t="s">
        <v>55</v>
      </c>
      <c r="C50" s="107">
        <f>SUMPRODUCT((raw!$A$2:$A$185='(2018-19)'!$A50)*(raw!$B$2:$B$185='(2018-19)'!$B50)*(raw!$C$2:$C$185='(2018-19)'!C$2)*(raw!$D$2:$D$185))</f>
        <v>77</v>
      </c>
      <c r="D50" s="107">
        <f>SUMPRODUCT((raw!$A$2:$A$185='(2018-19)'!$A50)*(raw!$B$2:$B$185='(2018-19)'!$B50)*(raw!$C$2:$C$185='(2018-19)'!D$2)*(raw!$D$2:$D$185))</f>
        <v>18</v>
      </c>
      <c r="E50" s="107">
        <f>SUMPRODUCT((raw!$A$2:$A$185='(2018-19)'!$A50)*(raw!$B$2:$B$185='(2018-19)'!$B50)*(raw!$C$2:$C$185='(2018-19)'!E$2)*(raw!$D$2:$D$185))</f>
        <v>4</v>
      </c>
      <c r="F50" s="107">
        <f>SUMPRODUCT((raw!$A$2:$A$185='(2018-19)'!$A50)*(raw!$B$2:$B$185='(2018-19)'!$B50)*(raw!$C$2:$C$185='(2018-19)'!F$2)*(raw!$D$2:$D$185))</f>
        <v>39</v>
      </c>
      <c r="G50" s="107">
        <f t="shared" si="1"/>
        <v>138</v>
      </c>
    </row>
    <row r="51" spans="1:7" x14ac:dyDescent="0.35">
      <c r="A51">
        <v>2019</v>
      </c>
      <c r="B51" t="s">
        <v>26</v>
      </c>
      <c r="C51" s="107">
        <f>SUMPRODUCT((raw!$A$2:$A$185='(2018-19)'!$A51)*(raw!$B$2:$B$185='(2018-19)'!$B51)*(raw!$C$2:$C$185='(2018-19)'!C$2)*(raw!$D$2:$D$185))</f>
        <v>253</v>
      </c>
      <c r="D51" s="107">
        <f>SUMPRODUCT((raw!$A$2:$A$185='(2018-19)'!$A51)*(raw!$B$2:$B$185='(2018-19)'!$B51)*(raw!$C$2:$C$185='(2018-19)'!D$2)*(raw!$D$2:$D$185))</f>
        <v>0</v>
      </c>
      <c r="E51" s="107">
        <f>SUMPRODUCT((raw!$A$2:$A$185='(2018-19)'!$A51)*(raw!$B$2:$B$185='(2018-19)'!$B51)*(raw!$C$2:$C$185='(2018-19)'!E$2)*(raw!$D$2:$D$185))</f>
        <v>14</v>
      </c>
      <c r="F51" s="107">
        <f>SUMPRODUCT((raw!$A$2:$A$185='(2018-19)'!$A51)*(raw!$B$2:$B$185='(2018-19)'!$B51)*(raw!$C$2:$C$185='(2018-19)'!F$2)*(raw!$D$2:$D$185))</f>
        <v>74</v>
      </c>
      <c r="G51" s="107">
        <f t="shared" si="1"/>
        <v>341</v>
      </c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4DFBD-DB66-4832-84CB-EB0D6D27FDC8}">
  <sheetPr codeName="Sheet11"/>
  <dimension ref="A1:D185"/>
  <sheetViews>
    <sheetView workbookViewId="0">
      <selection activeCell="A57" sqref="A57:F57"/>
    </sheetView>
  </sheetViews>
  <sheetFormatPr defaultRowHeight="14.5" x14ac:dyDescent="0.35"/>
  <cols>
    <col min="1" max="1" width="10" customWidth="1"/>
    <col min="2" max="2" width="21.453125" bestFit="1" customWidth="1"/>
    <col min="3" max="3" width="18.81640625" bestFit="1" customWidth="1"/>
    <col min="4" max="4" width="11.81640625" customWidth="1"/>
    <col min="5" max="5" width="8.81640625" customWidth="1"/>
  </cols>
  <sheetData>
    <row r="1" spans="1:4" x14ac:dyDescent="0.35">
      <c r="A1" t="s">
        <v>119</v>
      </c>
      <c r="B1" t="s">
        <v>142</v>
      </c>
      <c r="C1" t="s">
        <v>143</v>
      </c>
      <c r="D1" t="s">
        <v>148</v>
      </c>
    </row>
    <row r="2" spans="1:4" x14ac:dyDescent="0.35">
      <c r="A2">
        <v>2019</v>
      </c>
      <c r="B2" t="s">
        <v>10</v>
      </c>
      <c r="C2" t="s">
        <v>1</v>
      </c>
      <c r="D2">
        <v>37</v>
      </c>
    </row>
    <row r="3" spans="1:4" x14ac:dyDescent="0.35">
      <c r="A3">
        <v>2019</v>
      </c>
      <c r="B3" t="s">
        <v>11</v>
      </c>
      <c r="C3" t="s">
        <v>1</v>
      </c>
      <c r="D3">
        <v>20</v>
      </c>
    </row>
    <row r="4" spans="1:4" x14ac:dyDescent="0.35">
      <c r="A4">
        <v>2019</v>
      </c>
      <c r="B4" t="s">
        <v>12</v>
      </c>
      <c r="C4" t="s">
        <v>1</v>
      </c>
      <c r="D4">
        <v>31</v>
      </c>
    </row>
    <row r="5" spans="1:4" x14ac:dyDescent="0.35">
      <c r="A5">
        <v>2019</v>
      </c>
      <c r="B5" t="s">
        <v>13</v>
      </c>
      <c r="C5" t="s">
        <v>1</v>
      </c>
      <c r="D5">
        <v>35</v>
      </c>
    </row>
    <row r="6" spans="1:4" x14ac:dyDescent="0.35">
      <c r="A6">
        <v>2019</v>
      </c>
      <c r="B6" t="s">
        <v>14</v>
      </c>
      <c r="C6" t="s">
        <v>1</v>
      </c>
      <c r="D6">
        <v>16</v>
      </c>
    </row>
    <row r="7" spans="1:4" x14ac:dyDescent="0.35">
      <c r="A7">
        <v>2019</v>
      </c>
      <c r="B7" t="s">
        <v>15</v>
      </c>
      <c r="C7" t="s">
        <v>1</v>
      </c>
      <c r="D7">
        <v>40</v>
      </c>
    </row>
    <row r="8" spans="1:4" x14ac:dyDescent="0.35">
      <c r="A8">
        <v>2019</v>
      </c>
      <c r="B8" t="s">
        <v>16</v>
      </c>
      <c r="C8" t="s">
        <v>1</v>
      </c>
      <c r="D8">
        <v>35</v>
      </c>
    </row>
    <row r="9" spans="1:4" x14ac:dyDescent="0.35">
      <c r="A9">
        <v>2019</v>
      </c>
      <c r="B9" t="s">
        <v>17</v>
      </c>
      <c r="C9" t="s">
        <v>1</v>
      </c>
      <c r="D9">
        <v>3</v>
      </c>
    </row>
    <row r="10" spans="1:4" x14ac:dyDescent="0.35">
      <c r="A10">
        <v>2019</v>
      </c>
      <c r="B10" t="s">
        <v>18</v>
      </c>
      <c r="C10" t="s">
        <v>1</v>
      </c>
      <c r="D10">
        <v>13</v>
      </c>
    </row>
    <row r="11" spans="1:4" x14ac:dyDescent="0.35">
      <c r="A11">
        <v>2019</v>
      </c>
      <c r="B11" t="s">
        <v>19</v>
      </c>
      <c r="C11" t="s">
        <v>1</v>
      </c>
      <c r="D11">
        <v>27</v>
      </c>
    </row>
    <row r="12" spans="1:4" x14ac:dyDescent="0.35">
      <c r="A12">
        <v>2019</v>
      </c>
      <c r="B12" t="s">
        <v>20</v>
      </c>
      <c r="C12" t="s">
        <v>1</v>
      </c>
      <c r="D12">
        <v>47</v>
      </c>
    </row>
    <row r="13" spans="1:4" x14ac:dyDescent="0.35">
      <c r="A13">
        <v>2019</v>
      </c>
      <c r="B13" t="s">
        <v>22</v>
      </c>
      <c r="C13" t="s">
        <v>1</v>
      </c>
      <c r="D13">
        <v>18</v>
      </c>
    </row>
    <row r="14" spans="1:4" x14ac:dyDescent="0.35">
      <c r="A14">
        <v>2019</v>
      </c>
      <c r="B14" t="s">
        <v>23</v>
      </c>
      <c r="C14" t="s">
        <v>1</v>
      </c>
      <c r="D14">
        <v>27</v>
      </c>
    </row>
    <row r="15" spans="1:4" x14ac:dyDescent="0.35">
      <c r="A15">
        <v>2019</v>
      </c>
      <c r="B15" t="s">
        <v>24</v>
      </c>
      <c r="C15" t="s">
        <v>1</v>
      </c>
      <c r="D15">
        <v>46</v>
      </c>
    </row>
    <row r="16" spans="1:4" x14ac:dyDescent="0.35">
      <c r="A16">
        <v>2019</v>
      </c>
      <c r="B16" t="s">
        <v>25</v>
      </c>
      <c r="C16" t="s">
        <v>1</v>
      </c>
      <c r="D16">
        <v>18</v>
      </c>
    </row>
    <row r="17" spans="1:4" x14ac:dyDescent="0.35">
      <c r="A17">
        <v>2019</v>
      </c>
      <c r="B17" t="s">
        <v>26</v>
      </c>
      <c r="C17" t="s">
        <v>1</v>
      </c>
      <c r="D17">
        <v>253</v>
      </c>
    </row>
    <row r="18" spans="1:4" x14ac:dyDescent="0.35">
      <c r="A18">
        <v>2019</v>
      </c>
      <c r="B18" t="s">
        <v>27</v>
      </c>
      <c r="C18" t="s">
        <v>1</v>
      </c>
      <c r="D18">
        <v>92</v>
      </c>
    </row>
    <row r="19" spans="1:4" x14ac:dyDescent="0.35">
      <c r="A19">
        <v>2019</v>
      </c>
      <c r="B19" t="s">
        <v>28</v>
      </c>
      <c r="C19" t="s">
        <v>1</v>
      </c>
      <c r="D19">
        <v>91</v>
      </c>
    </row>
    <row r="20" spans="1:4" x14ac:dyDescent="0.35">
      <c r="A20">
        <v>2019</v>
      </c>
      <c r="B20" t="s">
        <v>29</v>
      </c>
      <c r="C20" t="s">
        <v>1</v>
      </c>
      <c r="D20">
        <v>30</v>
      </c>
    </row>
    <row r="21" spans="1:4" x14ac:dyDescent="0.35">
      <c r="A21">
        <v>2019</v>
      </c>
      <c r="B21" t="s">
        <v>30</v>
      </c>
      <c r="C21" t="s">
        <v>1</v>
      </c>
      <c r="D21">
        <v>50</v>
      </c>
    </row>
    <row r="22" spans="1:4" x14ac:dyDescent="0.35">
      <c r="A22">
        <v>2019</v>
      </c>
      <c r="B22" t="s">
        <v>31</v>
      </c>
      <c r="C22" t="s">
        <v>1</v>
      </c>
      <c r="D22">
        <v>33</v>
      </c>
    </row>
    <row r="23" spans="1:4" x14ac:dyDescent="0.35">
      <c r="A23">
        <v>2019</v>
      </c>
      <c r="B23" t="s">
        <v>32</v>
      </c>
      <c r="C23" t="s">
        <v>1</v>
      </c>
      <c r="D23">
        <v>6</v>
      </c>
    </row>
    <row r="24" spans="1:4" x14ac:dyDescent="0.35">
      <c r="A24">
        <v>2019</v>
      </c>
      <c r="B24" t="s">
        <v>33</v>
      </c>
      <c r="C24" t="s">
        <v>1</v>
      </c>
      <c r="D24">
        <v>0</v>
      </c>
    </row>
    <row r="25" spans="1:4" x14ac:dyDescent="0.35">
      <c r="A25">
        <v>2019</v>
      </c>
      <c r="B25" t="s">
        <v>34</v>
      </c>
      <c r="C25" t="s">
        <v>1</v>
      </c>
      <c r="D25">
        <v>53</v>
      </c>
    </row>
    <row r="26" spans="1:4" x14ac:dyDescent="0.35">
      <c r="A26">
        <v>2019</v>
      </c>
      <c r="B26" t="s">
        <v>35</v>
      </c>
      <c r="C26" t="s">
        <v>1</v>
      </c>
      <c r="D26">
        <v>49</v>
      </c>
    </row>
    <row r="27" spans="1:4" x14ac:dyDescent="0.35">
      <c r="A27">
        <v>2019</v>
      </c>
      <c r="B27" t="s">
        <v>36</v>
      </c>
      <c r="C27" t="s">
        <v>1</v>
      </c>
      <c r="D27">
        <v>40</v>
      </c>
    </row>
    <row r="28" spans="1:4" x14ac:dyDescent="0.35">
      <c r="A28">
        <v>2019</v>
      </c>
      <c r="B28" t="s">
        <v>37</v>
      </c>
      <c r="C28" t="s">
        <v>1</v>
      </c>
      <c r="D28">
        <v>17</v>
      </c>
    </row>
    <row r="29" spans="1:4" x14ac:dyDescent="0.35">
      <c r="A29">
        <v>2019</v>
      </c>
      <c r="B29" t="s">
        <v>38</v>
      </c>
      <c r="C29" t="s">
        <v>1</v>
      </c>
      <c r="D29">
        <v>72</v>
      </c>
    </row>
    <row r="30" spans="1:4" x14ac:dyDescent="0.35">
      <c r="A30">
        <v>2019</v>
      </c>
      <c r="B30" t="s">
        <v>39</v>
      </c>
      <c r="C30" t="s">
        <v>1</v>
      </c>
      <c r="D30">
        <v>21</v>
      </c>
    </row>
    <row r="31" spans="1:4" x14ac:dyDescent="0.35">
      <c r="A31">
        <v>2019</v>
      </c>
      <c r="B31" t="s">
        <v>41</v>
      </c>
      <c r="C31" t="s">
        <v>1</v>
      </c>
      <c r="D31">
        <v>25</v>
      </c>
    </row>
    <row r="32" spans="1:4" x14ac:dyDescent="0.35">
      <c r="A32">
        <v>2019</v>
      </c>
      <c r="B32" t="s">
        <v>42</v>
      </c>
      <c r="C32" t="s">
        <v>1</v>
      </c>
      <c r="D32">
        <v>16</v>
      </c>
    </row>
    <row r="33" spans="1:4" x14ac:dyDescent="0.35">
      <c r="A33">
        <v>2019</v>
      </c>
      <c r="B33" t="s">
        <v>43</v>
      </c>
      <c r="C33" t="s">
        <v>1</v>
      </c>
      <c r="D33">
        <v>13</v>
      </c>
    </row>
    <row r="34" spans="1:4" x14ac:dyDescent="0.35">
      <c r="A34">
        <v>2019</v>
      </c>
      <c r="B34" t="s">
        <v>44</v>
      </c>
      <c r="C34" t="s">
        <v>1</v>
      </c>
      <c r="D34">
        <v>37</v>
      </c>
    </row>
    <row r="35" spans="1:4" x14ac:dyDescent="0.35">
      <c r="A35">
        <v>2019</v>
      </c>
      <c r="B35" t="s">
        <v>45</v>
      </c>
      <c r="C35" t="s">
        <v>1</v>
      </c>
      <c r="D35">
        <v>10</v>
      </c>
    </row>
    <row r="36" spans="1:4" x14ac:dyDescent="0.35">
      <c r="A36">
        <v>2019</v>
      </c>
      <c r="B36" t="s">
        <v>46</v>
      </c>
      <c r="C36" t="s">
        <v>1</v>
      </c>
      <c r="D36">
        <v>4</v>
      </c>
    </row>
    <row r="37" spans="1:4" x14ac:dyDescent="0.35">
      <c r="A37">
        <v>2019</v>
      </c>
      <c r="B37" t="s">
        <v>47</v>
      </c>
      <c r="C37" t="s">
        <v>1</v>
      </c>
      <c r="D37">
        <v>47</v>
      </c>
    </row>
    <row r="38" spans="1:4" x14ac:dyDescent="0.35">
      <c r="A38">
        <v>2019</v>
      </c>
      <c r="B38" t="s">
        <v>48</v>
      </c>
      <c r="C38" t="s">
        <v>1</v>
      </c>
      <c r="D38">
        <v>16</v>
      </c>
    </row>
    <row r="39" spans="1:4" x14ac:dyDescent="0.35">
      <c r="A39">
        <v>2019</v>
      </c>
      <c r="B39" t="s">
        <v>49</v>
      </c>
      <c r="C39" t="s">
        <v>1</v>
      </c>
      <c r="D39">
        <v>16</v>
      </c>
    </row>
    <row r="40" spans="1:4" x14ac:dyDescent="0.35">
      <c r="A40">
        <v>2019</v>
      </c>
      <c r="B40" t="s">
        <v>50</v>
      </c>
      <c r="C40" t="s">
        <v>1</v>
      </c>
      <c r="D40">
        <v>38</v>
      </c>
    </row>
    <row r="41" spans="1:4" x14ac:dyDescent="0.35">
      <c r="A41">
        <v>2019</v>
      </c>
      <c r="B41" t="s">
        <v>51</v>
      </c>
      <c r="C41" t="s">
        <v>1</v>
      </c>
      <c r="D41">
        <v>47</v>
      </c>
    </row>
    <row r="42" spans="1:4" x14ac:dyDescent="0.35">
      <c r="A42">
        <v>2019</v>
      </c>
      <c r="B42" t="s">
        <v>52</v>
      </c>
      <c r="C42" t="s">
        <v>1</v>
      </c>
      <c r="D42">
        <v>15</v>
      </c>
    </row>
    <row r="43" spans="1:4" x14ac:dyDescent="0.35">
      <c r="A43">
        <v>2019</v>
      </c>
      <c r="B43" t="s">
        <v>53</v>
      </c>
      <c r="C43" t="s">
        <v>1</v>
      </c>
      <c r="D43">
        <v>103</v>
      </c>
    </row>
    <row r="44" spans="1:4" x14ac:dyDescent="0.35">
      <c r="A44">
        <v>2019</v>
      </c>
      <c r="B44" t="s">
        <v>54</v>
      </c>
      <c r="C44" t="s">
        <v>1</v>
      </c>
      <c r="D44">
        <v>19</v>
      </c>
    </row>
    <row r="45" spans="1:4" x14ac:dyDescent="0.35">
      <c r="A45">
        <v>2019</v>
      </c>
      <c r="B45" t="s">
        <v>55</v>
      </c>
      <c r="C45" t="s">
        <v>1</v>
      </c>
      <c r="D45">
        <v>77</v>
      </c>
    </row>
    <row r="46" spans="1:4" x14ac:dyDescent="0.35">
      <c r="A46">
        <v>2019</v>
      </c>
      <c r="B46" t="s">
        <v>106</v>
      </c>
      <c r="C46" t="s">
        <v>1</v>
      </c>
      <c r="D46">
        <v>30</v>
      </c>
    </row>
    <row r="47" spans="1:4" x14ac:dyDescent="0.35">
      <c r="A47">
        <v>2019</v>
      </c>
      <c r="B47" t="s">
        <v>40</v>
      </c>
      <c r="C47" t="s">
        <v>1</v>
      </c>
      <c r="D47">
        <v>0</v>
      </c>
    </row>
    <row r="48" spans="1:4" x14ac:dyDescent="0.35">
      <c r="A48">
        <v>2019</v>
      </c>
      <c r="B48" t="s">
        <v>10</v>
      </c>
      <c r="C48" t="s">
        <v>59</v>
      </c>
      <c r="D48">
        <v>16</v>
      </c>
    </row>
    <row r="49" spans="1:4" x14ac:dyDescent="0.35">
      <c r="A49">
        <v>2019</v>
      </c>
      <c r="B49" t="s">
        <v>11</v>
      </c>
      <c r="C49" t="s">
        <v>59</v>
      </c>
      <c r="D49">
        <v>14</v>
      </c>
    </row>
    <row r="50" spans="1:4" x14ac:dyDescent="0.35">
      <c r="A50">
        <v>2019</v>
      </c>
      <c r="B50" t="s">
        <v>12</v>
      </c>
      <c r="C50" t="s">
        <v>59</v>
      </c>
      <c r="D50">
        <v>15</v>
      </c>
    </row>
    <row r="51" spans="1:4" x14ac:dyDescent="0.35">
      <c r="A51">
        <v>2019</v>
      </c>
      <c r="B51" t="s">
        <v>13</v>
      </c>
      <c r="C51" t="s">
        <v>59</v>
      </c>
      <c r="D51">
        <v>21</v>
      </c>
    </row>
    <row r="52" spans="1:4" x14ac:dyDescent="0.35">
      <c r="A52">
        <v>2019</v>
      </c>
      <c r="B52" t="s">
        <v>14</v>
      </c>
      <c r="C52" t="s">
        <v>59</v>
      </c>
      <c r="D52">
        <v>31</v>
      </c>
    </row>
    <row r="53" spans="1:4" x14ac:dyDescent="0.35">
      <c r="A53">
        <v>2019</v>
      </c>
      <c r="B53" t="s">
        <v>15</v>
      </c>
      <c r="C53" t="s">
        <v>59</v>
      </c>
      <c r="D53">
        <v>63</v>
      </c>
    </row>
    <row r="54" spans="1:4" x14ac:dyDescent="0.35">
      <c r="A54">
        <v>2019</v>
      </c>
      <c r="B54" t="s">
        <v>16</v>
      </c>
      <c r="C54" t="s">
        <v>59</v>
      </c>
      <c r="D54">
        <v>18</v>
      </c>
    </row>
    <row r="55" spans="1:4" x14ac:dyDescent="0.35">
      <c r="A55">
        <v>2019</v>
      </c>
      <c r="B55" t="s">
        <v>17</v>
      </c>
      <c r="C55" t="s">
        <v>59</v>
      </c>
      <c r="D55">
        <v>25</v>
      </c>
    </row>
    <row r="56" spans="1:4" x14ac:dyDescent="0.35">
      <c r="A56">
        <v>2019</v>
      </c>
      <c r="B56" t="s">
        <v>18</v>
      </c>
      <c r="C56" t="s">
        <v>59</v>
      </c>
      <c r="D56">
        <v>28</v>
      </c>
    </row>
    <row r="57" spans="1:4" x14ac:dyDescent="0.35">
      <c r="A57">
        <v>2019</v>
      </c>
      <c r="B57" t="s">
        <v>19</v>
      </c>
      <c r="C57" t="s">
        <v>59</v>
      </c>
      <c r="D57">
        <v>36</v>
      </c>
    </row>
    <row r="58" spans="1:4" x14ac:dyDescent="0.35">
      <c r="A58">
        <v>2019</v>
      </c>
      <c r="B58" t="s">
        <v>20</v>
      </c>
      <c r="C58" t="s">
        <v>59</v>
      </c>
      <c r="D58">
        <v>132</v>
      </c>
    </row>
    <row r="59" spans="1:4" x14ac:dyDescent="0.35">
      <c r="A59">
        <v>2019</v>
      </c>
      <c r="B59" t="s">
        <v>22</v>
      </c>
      <c r="C59" t="s">
        <v>59</v>
      </c>
      <c r="D59">
        <v>23</v>
      </c>
    </row>
    <row r="60" spans="1:4" x14ac:dyDescent="0.35">
      <c r="A60">
        <v>2019</v>
      </c>
      <c r="B60" t="s">
        <v>23</v>
      </c>
      <c r="C60" t="s">
        <v>59</v>
      </c>
      <c r="D60">
        <v>25</v>
      </c>
    </row>
    <row r="61" spans="1:4" x14ac:dyDescent="0.35">
      <c r="A61">
        <v>2019</v>
      </c>
      <c r="B61" t="s">
        <v>24</v>
      </c>
      <c r="C61" t="s">
        <v>59</v>
      </c>
      <c r="D61">
        <v>72</v>
      </c>
    </row>
    <row r="62" spans="1:4" x14ac:dyDescent="0.35">
      <c r="A62">
        <v>2019</v>
      </c>
      <c r="B62" t="s">
        <v>25</v>
      </c>
      <c r="C62" t="s">
        <v>59</v>
      </c>
      <c r="D62">
        <v>34</v>
      </c>
    </row>
    <row r="63" spans="1:4" x14ac:dyDescent="0.35">
      <c r="A63">
        <v>2019</v>
      </c>
      <c r="B63" t="s">
        <v>26</v>
      </c>
      <c r="C63" t="s">
        <v>59</v>
      </c>
      <c r="D63">
        <v>0</v>
      </c>
    </row>
    <row r="64" spans="1:4" x14ac:dyDescent="0.35">
      <c r="A64">
        <v>2019</v>
      </c>
      <c r="B64" t="s">
        <v>27</v>
      </c>
      <c r="C64" t="s">
        <v>59</v>
      </c>
      <c r="D64">
        <v>2</v>
      </c>
    </row>
    <row r="65" spans="1:4" x14ac:dyDescent="0.35">
      <c r="A65">
        <v>2019</v>
      </c>
      <c r="B65" t="s">
        <v>28</v>
      </c>
      <c r="C65" t="s">
        <v>59</v>
      </c>
      <c r="D65">
        <v>92</v>
      </c>
    </row>
    <row r="66" spans="1:4" x14ac:dyDescent="0.35">
      <c r="A66">
        <v>2019</v>
      </c>
      <c r="B66" t="s">
        <v>29</v>
      </c>
      <c r="C66" t="s">
        <v>59</v>
      </c>
      <c r="D66">
        <v>62</v>
      </c>
    </row>
    <row r="67" spans="1:4" x14ac:dyDescent="0.35">
      <c r="A67">
        <v>2019</v>
      </c>
      <c r="B67" t="s">
        <v>30</v>
      </c>
      <c r="C67" t="s">
        <v>59</v>
      </c>
      <c r="D67">
        <v>40</v>
      </c>
    </row>
    <row r="68" spans="1:4" x14ac:dyDescent="0.35">
      <c r="A68">
        <v>2019</v>
      </c>
      <c r="B68" t="s">
        <v>31</v>
      </c>
      <c r="C68" t="s">
        <v>59</v>
      </c>
      <c r="D68">
        <v>25</v>
      </c>
    </row>
    <row r="69" spans="1:4" x14ac:dyDescent="0.35">
      <c r="A69">
        <v>2019</v>
      </c>
      <c r="B69" t="s">
        <v>32</v>
      </c>
      <c r="C69" t="s">
        <v>59</v>
      </c>
      <c r="D69">
        <v>7</v>
      </c>
    </row>
    <row r="70" spans="1:4" x14ac:dyDescent="0.35">
      <c r="A70">
        <v>2019</v>
      </c>
      <c r="B70" t="s">
        <v>33</v>
      </c>
      <c r="C70" t="s">
        <v>59</v>
      </c>
      <c r="D70">
        <v>7</v>
      </c>
    </row>
    <row r="71" spans="1:4" x14ac:dyDescent="0.35">
      <c r="A71">
        <v>2019</v>
      </c>
      <c r="B71" t="s">
        <v>34</v>
      </c>
      <c r="C71" t="s">
        <v>59</v>
      </c>
      <c r="D71">
        <v>53</v>
      </c>
    </row>
    <row r="72" spans="1:4" x14ac:dyDescent="0.35">
      <c r="A72">
        <v>2019</v>
      </c>
      <c r="B72" t="s">
        <v>35</v>
      </c>
      <c r="C72" t="s">
        <v>59</v>
      </c>
      <c r="D72">
        <v>66</v>
      </c>
    </row>
    <row r="73" spans="1:4" x14ac:dyDescent="0.35">
      <c r="A73">
        <v>2019</v>
      </c>
      <c r="B73" t="s">
        <v>36</v>
      </c>
      <c r="C73" t="s">
        <v>59</v>
      </c>
      <c r="D73">
        <v>35</v>
      </c>
    </row>
    <row r="74" spans="1:4" x14ac:dyDescent="0.35">
      <c r="A74">
        <v>2019</v>
      </c>
      <c r="B74" t="s">
        <v>37</v>
      </c>
      <c r="C74" t="s">
        <v>59</v>
      </c>
      <c r="D74">
        <v>57</v>
      </c>
    </row>
    <row r="75" spans="1:4" x14ac:dyDescent="0.35">
      <c r="A75">
        <v>2019</v>
      </c>
      <c r="B75" t="s">
        <v>38</v>
      </c>
      <c r="C75" t="s">
        <v>59</v>
      </c>
      <c r="D75">
        <v>10</v>
      </c>
    </row>
    <row r="76" spans="1:4" x14ac:dyDescent="0.35">
      <c r="A76">
        <v>2019</v>
      </c>
      <c r="B76" t="s">
        <v>39</v>
      </c>
      <c r="C76" t="s">
        <v>59</v>
      </c>
      <c r="D76">
        <v>43</v>
      </c>
    </row>
    <row r="77" spans="1:4" x14ac:dyDescent="0.35">
      <c r="A77">
        <v>2019</v>
      </c>
      <c r="B77" t="s">
        <v>41</v>
      </c>
      <c r="C77" t="s">
        <v>59</v>
      </c>
      <c r="D77">
        <v>55</v>
      </c>
    </row>
    <row r="78" spans="1:4" x14ac:dyDescent="0.35">
      <c r="A78">
        <v>2019</v>
      </c>
      <c r="B78" t="s">
        <v>42</v>
      </c>
      <c r="C78" t="s">
        <v>59</v>
      </c>
      <c r="D78">
        <v>31</v>
      </c>
    </row>
    <row r="79" spans="1:4" x14ac:dyDescent="0.35">
      <c r="A79">
        <v>2019</v>
      </c>
      <c r="B79" t="s">
        <v>43</v>
      </c>
      <c r="C79" t="s">
        <v>59</v>
      </c>
      <c r="D79">
        <v>16</v>
      </c>
    </row>
    <row r="80" spans="1:4" x14ac:dyDescent="0.35">
      <c r="A80">
        <v>2019</v>
      </c>
      <c r="B80" t="s">
        <v>44</v>
      </c>
      <c r="C80" t="s">
        <v>59</v>
      </c>
      <c r="D80">
        <v>29</v>
      </c>
    </row>
    <row r="81" spans="1:4" x14ac:dyDescent="0.35">
      <c r="A81">
        <v>2019</v>
      </c>
      <c r="B81" t="s">
        <v>45</v>
      </c>
      <c r="C81" t="s">
        <v>59</v>
      </c>
      <c r="D81">
        <v>49</v>
      </c>
    </row>
    <row r="82" spans="1:4" x14ac:dyDescent="0.35">
      <c r="A82">
        <v>2019</v>
      </c>
      <c r="B82" t="s">
        <v>46</v>
      </c>
      <c r="C82" t="s">
        <v>59</v>
      </c>
      <c r="D82">
        <v>28</v>
      </c>
    </row>
    <row r="83" spans="1:4" x14ac:dyDescent="0.35">
      <c r="A83">
        <v>2019</v>
      </c>
      <c r="B83" t="s">
        <v>47</v>
      </c>
      <c r="C83" t="s">
        <v>59</v>
      </c>
      <c r="D83">
        <v>14</v>
      </c>
    </row>
    <row r="84" spans="1:4" x14ac:dyDescent="0.35">
      <c r="A84">
        <v>2019</v>
      </c>
      <c r="B84" t="s">
        <v>48</v>
      </c>
      <c r="C84" t="s">
        <v>59</v>
      </c>
      <c r="D84">
        <v>37</v>
      </c>
    </row>
    <row r="85" spans="1:4" x14ac:dyDescent="0.35">
      <c r="A85">
        <v>2019</v>
      </c>
      <c r="B85" t="s">
        <v>49</v>
      </c>
      <c r="C85" t="s">
        <v>59</v>
      </c>
      <c r="D85">
        <v>44</v>
      </c>
    </row>
    <row r="86" spans="1:4" x14ac:dyDescent="0.35">
      <c r="A86">
        <v>2019</v>
      </c>
      <c r="B86" t="s">
        <v>50</v>
      </c>
      <c r="C86" t="s">
        <v>59</v>
      </c>
      <c r="D86">
        <v>7</v>
      </c>
    </row>
    <row r="87" spans="1:4" x14ac:dyDescent="0.35">
      <c r="A87">
        <v>2019</v>
      </c>
      <c r="B87" t="s">
        <v>51</v>
      </c>
      <c r="C87" t="s">
        <v>59</v>
      </c>
      <c r="D87">
        <v>0</v>
      </c>
    </row>
    <row r="88" spans="1:4" x14ac:dyDescent="0.35">
      <c r="A88">
        <v>2019</v>
      </c>
      <c r="B88" t="s">
        <v>52</v>
      </c>
      <c r="C88" t="s">
        <v>59</v>
      </c>
      <c r="D88">
        <v>18</v>
      </c>
    </row>
    <row r="89" spans="1:4" x14ac:dyDescent="0.35">
      <c r="A89">
        <v>2019</v>
      </c>
      <c r="B89" t="s">
        <v>53</v>
      </c>
      <c r="C89" t="s">
        <v>59</v>
      </c>
      <c r="D89">
        <v>0</v>
      </c>
    </row>
    <row r="90" spans="1:4" x14ac:dyDescent="0.35">
      <c r="A90">
        <v>2019</v>
      </c>
      <c r="B90" t="s">
        <v>54</v>
      </c>
      <c r="C90" t="s">
        <v>59</v>
      </c>
      <c r="D90">
        <v>30</v>
      </c>
    </row>
    <row r="91" spans="1:4" x14ac:dyDescent="0.35">
      <c r="A91">
        <v>2019</v>
      </c>
      <c r="B91" t="s">
        <v>55</v>
      </c>
      <c r="C91" t="s">
        <v>59</v>
      </c>
      <c r="D91">
        <v>18</v>
      </c>
    </row>
    <row r="92" spans="1:4" x14ac:dyDescent="0.35">
      <c r="A92">
        <v>2019</v>
      </c>
      <c r="B92" t="s">
        <v>106</v>
      </c>
      <c r="C92" t="s">
        <v>59</v>
      </c>
      <c r="D92">
        <v>80</v>
      </c>
    </row>
    <row r="93" spans="1:4" x14ac:dyDescent="0.35">
      <c r="A93">
        <v>2019</v>
      </c>
      <c r="B93" t="s">
        <v>40</v>
      </c>
      <c r="C93" t="s">
        <v>59</v>
      </c>
      <c r="D93">
        <v>0</v>
      </c>
    </row>
    <row r="94" spans="1:4" x14ac:dyDescent="0.35">
      <c r="A94">
        <v>2019</v>
      </c>
      <c r="B94" t="s">
        <v>10</v>
      </c>
      <c r="C94" t="s">
        <v>60</v>
      </c>
      <c r="D94">
        <v>0</v>
      </c>
    </row>
    <row r="95" spans="1:4" x14ac:dyDescent="0.35">
      <c r="A95">
        <v>2019</v>
      </c>
      <c r="B95" t="s">
        <v>11</v>
      </c>
      <c r="C95" t="s">
        <v>60</v>
      </c>
      <c r="D95">
        <v>0</v>
      </c>
    </row>
    <row r="96" spans="1:4" x14ac:dyDescent="0.35">
      <c r="A96">
        <v>2019</v>
      </c>
      <c r="B96" t="s">
        <v>12</v>
      </c>
      <c r="C96" t="s">
        <v>60</v>
      </c>
      <c r="D96">
        <v>4</v>
      </c>
    </row>
    <row r="97" spans="1:4" x14ac:dyDescent="0.35">
      <c r="A97">
        <v>2019</v>
      </c>
      <c r="B97" t="s">
        <v>13</v>
      </c>
      <c r="C97" t="s">
        <v>60</v>
      </c>
      <c r="D97">
        <v>0</v>
      </c>
    </row>
    <row r="98" spans="1:4" x14ac:dyDescent="0.35">
      <c r="A98">
        <v>2019</v>
      </c>
      <c r="B98" t="s">
        <v>14</v>
      </c>
      <c r="C98" t="s">
        <v>60</v>
      </c>
      <c r="D98">
        <v>9</v>
      </c>
    </row>
    <row r="99" spans="1:4" x14ac:dyDescent="0.35">
      <c r="A99">
        <v>2019</v>
      </c>
      <c r="B99" t="s">
        <v>15</v>
      </c>
      <c r="C99" t="s">
        <v>60</v>
      </c>
      <c r="D99">
        <v>0</v>
      </c>
    </row>
    <row r="100" spans="1:4" x14ac:dyDescent="0.35">
      <c r="A100">
        <v>2019</v>
      </c>
      <c r="B100" t="s">
        <v>16</v>
      </c>
      <c r="C100" t="s">
        <v>60</v>
      </c>
      <c r="D100">
        <v>2</v>
      </c>
    </row>
    <row r="101" spans="1:4" x14ac:dyDescent="0.35">
      <c r="A101">
        <v>2019</v>
      </c>
      <c r="B101" t="s">
        <v>17</v>
      </c>
      <c r="C101" t="s">
        <v>60</v>
      </c>
      <c r="D101">
        <v>3</v>
      </c>
    </row>
    <row r="102" spans="1:4" x14ac:dyDescent="0.35">
      <c r="A102">
        <v>2019</v>
      </c>
      <c r="B102" t="s">
        <v>18</v>
      </c>
      <c r="C102" t="s">
        <v>60</v>
      </c>
      <c r="D102">
        <v>0</v>
      </c>
    </row>
    <row r="103" spans="1:4" x14ac:dyDescent="0.35">
      <c r="A103">
        <v>2019</v>
      </c>
      <c r="B103" t="s">
        <v>19</v>
      </c>
      <c r="C103" t="s">
        <v>60</v>
      </c>
      <c r="D103">
        <v>1</v>
      </c>
    </row>
    <row r="104" spans="1:4" x14ac:dyDescent="0.35">
      <c r="A104">
        <v>2019</v>
      </c>
      <c r="B104" t="s">
        <v>20</v>
      </c>
      <c r="C104" t="s">
        <v>60</v>
      </c>
      <c r="D104">
        <v>3</v>
      </c>
    </row>
    <row r="105" spans="1:4" x14ac:dyDescent="0.35">
      <c r="A105">
        <v>2019</v>
      </c>
      <c r="B105" t="s">
        <v>22</v>
      </c>
      <c r="C105" t="s">
        <v>60</v>
      </c>
      <c r="D105">
        <v>2</v>
      </c>
    </row>
    <row r="106" spans="1:4" x14ac:dyDescent="0.35">
      <c r="A106">
        <v>2019</v>
      </c>
      <c r="B106" t="s">
        <v>23</v>
      </c>
      <c r="C106" t="s">
        <v>60</v>
      </c>
      <c r="D106">
        <v>5</v>
      </c>
    </row>
    <row r="107" spans="1:4" x14ac:dyDescent="0.35">
      <c r="A107">
        <v>2019</v>
      </c>
      <c r="B107" t="s">
        <v>24</v>
      </c>
      <c r="C107" t="s">
        <v>60</v>
      </c>
      <c r="D107">
        <v>1</v>
      </c>
    </row>
    <row r="108" spans="1:4" x14ac:dyDescent="0.35">
      <c r="A108">
        <v>2019</v>
      </c>
      <c r="B108" t="s">
        <v>25</v>
      </c>
      <c r="C108" t="s">
        <v>60</v>
      </c>
      <c r="D108">
        <v>2</v>
      </c>
    </row>
    <row r="109" spans="1:4" x14ac:dyDescent="0.35">
      <c r="A109">
        <v>2019</v>
      </c>
      <c r="B109" t="s">
        <v>26</v>
      </c>
      <c r="C109" t="s">
        <v>60</v>
      </c>
      <c r="D109">
        <v>14</v>
      </c>
    </row>
    <row r="110" spans="1:4" x14ac:dyDescent="0.35">
      <c r="A110">
        <v>2019</v>
      </c>
      <c r="B110" t="s">
        <v>27</v>
      </c>
      <c r="C110" t="s">
        <v>60</v>
      </c>
      <c r="D110">
        <v>0</v>
      </c>
    </row>
    <row r="111" spans="1:4" x14ac:dyDescent="0.35">
      <c r="A111">
        <v>2019</v>
      </c>
      <c r="B111" t="s">
        <v>28</v>
      </c>
      <c r="C111" t="s">
        <v>60</v>
      </c>
      <c r="D111">
        <v>3</v>
      </c>
    </row>
    <row r="112" spans="1:4" x14ac:dyDescent="0.35">
      <c r="A112">
        <v>2019</v>
      </c>
      <c r="B112" t="s">
        <v>29</v>
      </c>
      <c r="C112" t="s">
        <v>60</v>
      </c>
      <c r="D112">
        <v>2</v>
      </c>
    </row>
    <row r="113" spans="1:4" x14ac:dyDescent="0.35">
      <c r="A113">
        <v>2019</v>
      </c>
      <c r="B113" t="s">
        <v>30</v>
      </c>
      <c r="C113" t="s">
        <v>60</v>
      </c>
      <c r="D113">
        <v>4</v>
      </c>
    </row>
    <row r="114" spans="1:4" x14ac:dyDescent="0.35">
      <c r="A114">
        <v>2019</v>
      </c>
      <c r="B114" t="s">
        <v>31</v>
      </c>
      <c r="C114" t="s">
        <v>60</v>
      </c>
      <c r="D114">
        <v>2</v>
      </c>
    </row>
    <row r="115" spans="1:4" x14ac:dyDescent="0.35">
      <c r="A115">
        <v>2019</v>
      </c>
      <c r="B115" t="s">
        <v>32</v>
      </c>
      <c r="C115" t="s">
        <v>60</v>
      </c>
      <c r="D115">
        <v>0</v>
      </c>
    </row>
    <row r="116" spans="1:4" x14ac:dyDescent="0.35">
      <c r="A116">
        <v>2019</v>
      </c>
      <c r="B116" t="s">
        <v>33</v>
      </c>
      <c r="C116" t="s">
        <v>60</v>
      </c>
      <c r="D116">
        <v>0</v>
      </c>
    </row>
    <row r="117" spans="1:4" x14ac:dyDescent="0.35">
      <c r="A117">
        <v>2019</v>
      </c>
      <c r="B117" t="s">
        <v>34</v>
      </c>
      <c r="C117" t="s">
        <v>60</v>
      </c>
      <c r="D117">
        <v>1</v>
      </c>
    </row>
    <row r="118" spans="1:4" x14ac:dyDescent="0.35">
      <c r="A118">
        <v>2019</v>
      </c>
      <c r="B118" t="s">
        <v>35</v>
      </c>
      <c r="C118" t="s">
        <v>60</v>
      </c>
      <c r="D118">
        <v>0</v>
      </c>
    </row>
    <row r="119" spans="1:4" x14ac:dyDescent="0.35">
      <c r="A119">
        <v>2019</v>
      </c>
      <c r="B119" t="s">
        <v>36</v>
      </c>
      <c r="C119" t="s">
        <v>60</v>
      </c>
      <c r="D119">
        <v>0</v>
      </c>
    </row>
    <row r="120" spans="1:4" x14ac:dyDescent="0.35">
      <c r="A120">
        <v>2019</v>
      </c>
      <c r="B120" t="s">
        <v>37</v>
      </c>
      <c r="C120" t="s">
        <v>60</v>
      </c>
      <c r="D120">
        <v>2</v>
      </c>
    </row>
    <row r="121" spans="1:4" x14ac:dyDescent="0.35">
      <c r="A121">
        <v>2019</v>
      </c>
      <c r="B121" t="s">
        <v>38</v>
      </c>
      <c r="C121" t="s">
        <v>60</v>
      </c>
      <c r="D121">
        <v>5</v>
      </c>
    </row>
    <row r="122" spans="1:4" x14ac:dyDescent="0.35">
      <c r="A122">
        <v>2019</v>
      </c>
      <c r="B122" t="s">
        <v>39</v>
      </c>
      <c r="C122" t="s">
        <v>60</v>
      </c>
      <c r="D122">
        <v>1</v>
      </c>
    </row>
    <row r="123" spans="1:4" x14ac:dyDescent="0.35">
      <c r="A123">
        <v>2019</v>
      </c>
      <c r="B123" t="s">
        <v>41</v>
      </c>
      <c r="C123" t="s">
        <v>60</v>
      </c>
      <c r="D123">
        <v>2</v>
      </c>
    </row>
    <row r="124" spans="1:4" x14ac:dyDescent="0.35">
      <c r="A124">
        <v>2019</v>
      </c>
      <c r="B124" t="s">
        <v>42</v>
      </c>
      <c r="C124" t="s">
        <v>60</v>
      </c>
      <c r="D124">
        <v>2</v>
      </c>
    </row>
    <row r="125" spans="1:4" x14ac:dyDescent="0.35">
      <c r="A125">
        <v>2019</v>
      </c>
      <c r="B125" t="s">
        <v>43</v>
      </c>
      <c r="C125" t="s">
        <v>60</v>
      </c>
      <c r="D125">
        <v>0</v>
      </c>
    </row>
    <row r="126" spans="1:4" x14ac:dyDescent="0.35">
      <c r="A126">
        <v>2019</v>
      </c>
      <c r="B126" t="s">
        <v>44</v>
      </c>
      <c r="C126" t="s">
        <v>60</v>
      </c>
      <c r="D126">
        <v>1</v>
      </c>
    </row>
    <row r="127" spans="1:4" x14ac:dyDescent="0.35">
      <c r="A127">
        <v>2019</v>
      </c>
      <c r="B127" t="s">
        <v>45</v>
      </c>
      <c r="C127" t="s">
        <v>60</v>
      </c>
      <c r="D127">
        <v>0</v>
      </c>
    </row>
    <row r="128" spans="1:4" x14ac:dyDescent="0.35">
      <c r="A128">
        <v>2019</v>
      </c>
      <c r="B128" t="s">
        <v>46</v>
      </c>
      <c r="C128" t="s">
        <v>60</v>
      </c>
      <c r="D128">
        <v>2</v>
      </c>
    </row>
    <row r="129" spans="1:4" x14ac:dyDescent="0.35">
      <c r="A129">
        <v>2019</v>
      </c>
      <c r="B129" t="s">
        <v>47</v>
      </c>
      <c r="C129" t="s">
        <v>60</v>
      </c>
      <c r="D129">
        <v>1</v>
      </c>
    </row>
    <row r="130" spans="1:4" x14ac:dyDescent="0.35">
      <c r="A130">
        <v>2019</v>
      </c>
      <c r="B130" t="s">
        <v>48</v>
      </c>
      <c r="C130" t="s">
        <v>60</v>
      </c>
      <c r="D130">
        <v>0</v>
      </c>
    </row>
    <row r="131" spans="1:4" x14ac:dyDescent="0.35">
      <c r="A131">
        <v>2019</v>
      </c>
      <c r="B131" t="s">
        <v>49</v>
      </c>
      <c r="C131" t="s">
        <v>60</v>
      </c>
      <c r="D131">
        <v>0</v>
      </c>
    </row>
    <row r="132" spans="1:4" x14ac:dyDescent="0.35">
      <c r="A132">
        <v>2019</v>
      </c>
      <c r="B132" t="s">
        <v>50</v>
      </c>
      <c r="C132" t="s">
        <v>60</v>
      </c>
      <c r="D132">
        <v>4</v>
      </c>
    </row>
    <row r="133" spans="1:4" x14ac:dyDescent="0.35">
      <c r="A133">
        <v>2019</v>
      </c>
      <c r="B133" t="s">
        <v>51</v>
      </c>
      <c r="C133" t="s">
        <v>60</v>
      </c>
      <c r="D133">
        <v>1</v>
      </c>
    </row>
    <row r="134" spans="1:4" x14ac:dyDescent="0.35">
      <c r="A134">
        <v>2019</v>
      </c>
      <c r="B134" t="s">
        <v>52</v>
      </c>
      <c r="C134" t="s">
        <v>60</v>
      </c>
      <c r="D134">
        <v>0</v>
      </c>
    </row>
    <row r="135" spans="1:4" x14ac:dyDescent="0.35">
      <c r="A135">
        <v>2019</v>
      </c>
      <c r="B135" t="s">
        <v>53</v>
      </c>
      <c r="C135" t="s">
        <v>60</v>
      </c>
      <c r="D135">
        <v>3</v>
      </c>
    </row>
    <row r="136" spans="1:4" x14ac:dyDescent="0.35">
      <c r="A136">
        <v>2019</v>
      </c>
      <c r="B136" t="s">
        <v>54</v>
      </c>
      <c r="C136" t="s">
        <v>60</v>
      </c>
      <c r="D136">
        <v>0</v>
      </c>
    </row>
    <row r="137" spans="1:4" x14ac:dyDescent="0.35">
      <c r="A137">
        <v>2019</v>
      </c>
      <c r="B137" t="s">
        <v>55</v>
      </c>
      <c r="C137" t="s">
        <v>60</v>
      </c>
      <c r="D137">
        <v>4</v>
      </c>
    </row>
    <row r="138" spans="1:4" x14ac:dyDescent="0.35">
      <c r="A138">
        <v>2019</v>
      </c>
      <c r="B138" t="s">
        <v>106</v>
      </c>
      <c r="C138" t="s">
        <v>60</v>
      </c>
      <c r="D138">
        <v>2</v>
      </c>
    </row>
    <row r="139" spans="1:4" x14ac:dyDescent="0.35">
      <c r="A139">
        <v>2019</v>
      </c>
      <c r="B139" t="s">
        <v>40</v>
      </c>
      <c r="C139" t="s">
        <v>60</v>
      </c>
      <c r="D139">
        <v>10</v>
      </c>
    </row>
    <row r="140" spans="1:4" x14ac:dyDescent="0.35">
      <c r="A140">
        <v>2019</v>
      </c>
      <c r="B140" t="s">
        <v>10</v>
      </c>
      <c r="C140" t="s">
        <v>61</v>
      </c>
      <c r="D140">
        <v>17</v>
      </c>
    </row>
    <row r="141" spans="1:4" x14ac:dyDescent="0.35">
      <c r="A141">
        <v>2019</v>
      </c>
      <c r="B141" t="s">
        <v>11</v>
      </c>
      <c r="C141" t="s">
        <v>61</v>
      </c>
      <c r="D141">
        <v>20</v>
      </c>
    </row>
    <row r="142" spans="1:4" x14ac:dyDescent="0.35">
      <c r="A142">
        <v>2019</v>
      </c>
      <c r="B142" t="s">
        <v>12</v>
      </c>
      <c r="C142" t="s">
        <v>61</v>
      </c>
      <c r="D142">
        <v>33</v>
      </c>
    </row>
    <row r="143" spans="1:4" x14ac:dyDescent="0.35">
      <c r="A143">
        <v>2019</v>
      </c>
      <c r="B143" t="s">
        <v>13</v>
      </c>
      <c r="C143" t="s">
        <v>61</v>
      </c>
      <c r="D143">
        <v>9</v>
      </c>
    </row>
    <row r="144" spans="1:4" x14ac:dyDescent="0.35">
      <c r="A144">
        <v>2019</v>
      </c>
      <c r="B144" t="s">
        <v>14</v>
      </c>
      <c r="C144" t="s">
        <v>61</v>
      </c>
      <c r="D144">
        <v>17</v>
      </c>
    </row>
    <row r="145" spans="1:4" x14ac:dyDescent="0.35">
      <c r="A145">
        <v>2019</v>
      </c>
      <c r="B145" t="s">
        <v>15</v>
      </c>
      <c r="C145" t="s">
        <v>61</v>
      </c>
      <c r="D145">
        <v>17</v>
      </c>
    </row>
    <row r="146" spans="1:4" x14ac:dyDescent="0.35">
      <c r="A146">
        <v>2019</v>
      </c>
      <c r="B146" t="s">
        <v>16</v>
      </c>
      <c r="C146" t="s">
        <v>61</v>
      </c>
      <c r="D146">
        <v>13</v>
      </c>
    </row>
    <row r="147" spans="1:4" x14ac:dyDescent="0.35">
      <c r="A147">
        <v>2019</v>
      </c>
      <c r="B147" t="s">
        <v>17</v>
      </c>
      <c r="C147" t="s">
        <v>61</v>
      </c>
      <c r="D147">
        <v>9</v>
      </c>
    </row>
    <row r="148" spans="1:4" x14ac:dyDescent="0.35">
      <c r="A148">
        <v>2019</v>
      </c>
      <c r="B148" t="s">
        <v>18</v>
      </c>
      <c r="C148" t="s">
        <v>61</v>
      </c>
      <c r="D148">
        <v>2</v>
      </c>
    </row>
    <row r="149" spans="1:4" x14ac:dyDescent="0.35">
      <c r="A149">
        <v>2019</v>
      </c>
      <c r="B149" t="s">
        <v>19</v>
      </c>
      <c r="C149" t="s">
        <v>61</v>
      </c>
      <c r="D149">
        <v>16</v>
      </c>
    </row>
    <row r="150" spans="1:4" x14ac:dyDescent="0.35">
      <c r="A150">
        <v>2019</v>
      </c>
      <c r="B150" t="s">
        <v>20</v>
      </c>
      <c r="C150" t="s">
        <v>61</v>
      </c>
      <c r="D150">
        <v>27</v>
      </c>
    </row>
    <row r="151" spans="1:4" x14ac:dyDescent="0.35">
      <c r="A151">
        <v>2019</v>
      </c>
      <c r="B151" t="s">
        <v>22</v>
      </c>
      <c r="C151" t="s">
        <v>61</v>
      </c>
      <c r="D151">
        <v>6</v>
      </c>
    </row>
    <row r="152" spans="1:4" x14ac:dyDescent="0.35">
      <c r="A152">
        <v>2019</v>
      </c>
      <c r="B152" t="s">
        <v>23</v>
      </c>
      <c r="C152" t="s">
        <v>61</v>
      </c>
      <c r="D152">
        <v>16</v>
      </c>
    </row>
    <row r="153" spans="1:4" x14ac:dyDescent="0.35">
      <c r="A153">
        <v>2019</v>
      </c>
      <c r="B153" t="s">
        <v>24</v>
      </c>
      <c r="C153" t="s">
        <v>61</v>
      </c>
      <c r="D153">
        <v>57</v>
      </c>
    </row>
    <row r="154" spans="1:4" x14ac:dyDescent="0.35">
      <c r="A154">
        <v>2019</v>
      </c>
      <c r="B154" t="s">
        <v>25</v>
      </c>
      <c r="C154" t="s">
        <v>61</v>
      </c>
      <c r="D154">
        <v>6</v>
      </c>
    </row>
    <row r="155" spans="1:4" x14ac:dyDescent="0.35">
      <c r="A155">
        <v>2019</v>
      </c>
      <c r="B155" t="s">
        <v>26</v>
      </c>
      <c r="C155" t="s">
        <v>61</v>
      </c>
      <c r="D155">
        <v>74</v>
      </c>
    </row>
    <row r="156" spans="1:4" x14ac:dyDescent="0.35">
      <c r="A156">
        <v>2019</v>
      </c>
      <c r="B156" t="s">
        <v>27</v>
      </c>
      <c r="C156" t="s">
        <v>61</v>
      </c>
      <c r="D156">
        <v>64</v>
      </c>
    </row>
    <row r="157" spans="1:4" x14ac:dyDescent="0.35">
      <c r="A157">
        <v>2019</v>
      </c>
      <c r="B157" t="s">
        <v>28</v>
      </c>
      <c r="C157" t="s">
        <v>61</v>
      </c>
      <c r="D157">
        <v>44</v>
      </c>
    </row>
    <row r="158" spans="1:4" x14ac:dyDescent="0.35">
      <c r="A158">
        <v>2019</v>
      </c>
      <c r="B158" t="s">
        <v>29</v>
      </c>
      <c r="C158" t="s">
        <v>61</v>
      </c>
      <c r="D158">
        <v>26</v>
      </c>
    </row>
    <row r="159" spans="1:4" x14ac:dyDescent="0.35">
      <c r="A159">
        <v>2019</v>
      </c>
      <c r="B159" t="s">
        <v>30</v>
      </c>
      <c r="C159" t="s">
        <v>61</v>
      </c>
      <c r="D159">
        <v>28</v>
      </c>
    </row>
    <row r="160" spans="1:4" x14ac:dyDescent="0.35">
      <c r="A160">
        <v>2019</v>
      </c>
      <c r="B160" t="s">
        <v>31</v>
      </c>
      <c r="C160" t="s">
        <v>61</v>
      </c>
      <c r="D160">
        <v>12</v>
      </c>
    </row>
    <row r="161" spans="1:4" x14ac:dyDescent="0.35">
      <c r="A161">
        <v>2019</v>
      </c>
      <c r="B161" t="s">
        <v>32</v>
      </c>
      <c r="C161" t="s">
        <v>61</v>
      </c>
      <c r="D161">
        <v>4</v>
      </c>
    </row>
    <row r="162" spans="1:4" x14ac:dyDescent="0.35">
      <c r="A162">
        <v>2019</v>
      </c>
      <c r="B162" t="s">
        <v>33</v>
      </c>
      <c r="C162" t="s">
        <v>61</v>
      </c>
      <c r="D162">
        <v>1</v>
      </c>
    </row>
    <row r="163" spans="1:4" x14ac:dyDescent="0.35">
      <c r="A163">
        <v>2019</v>
      </c>
      <c r="B163" t="s">
        <v>34</v>
      </c>
      <c r="C163" t="s">
        <v>61</v>
      </c>
      <c r="D163">
        <v>25</v>
      </c>
    </row>
    <row r="164" spans="1:4" x14ac:dyDescent="0.35">
      <c r="A164">
        <v>2019</v>
      </c>
      <c r="B164" t="s">
        <v>35</v>
      </c>
      <c r="C164" t="s">
        <v>61</v>
      </c>
      <c r="D164">
        <v>24</v>
      </c>
    </row>
    <row r="165" spans="1:4" x14ac:dyDescent="0.35">
      <c r="A165">
        <v>2019</v>
      </c>
      <c r="B165" t="s">
        <v>36</v>
      </c>
      <c r="C165" t="s">
        <v>61</v>
      </c>
      <c r="D165">
        <v>22</v>
      </c>
    </row>
    <row r="166" spans="1:4" x14ac:dyDescent="0.35">
      <c r="A166">
        <v>2019</v>
      </c>
      <c r="B166" t="s">
        <v>37</v>
      </c>
      <c r="C166" t="s">
        <v>61</v>
      </c>
      <c r="D166">
        <v>3</v>
      </c>
    </row>
    <row r="167" spans="1:4" x14ac:dyDescent="0.35">
      <c r="A167">
        <v>2019</v>
      </c>
      <c r="B167" t="s">
        <v>38</v>
      </c>
      <c r="C167" t="s">
        <v>61</v>
      </c>
      <c r="D167">
        <v>35</v>
      </c>
    </row>
    <row r="168" spans="1:4" x14ac:dyDescent="0.35">
      <c r="A168">
        <v>2019</v>
      </c>
      <c r="B168" t="s">
        <v>39</v>
      </c>
      <c r="C168" t="s">
        <v>61</v>
      </c>
      <c r="D168">
        <v>13</v>
      </c>
    </row>
    <row r="169" spans="1:4" x14ac:dyDescent="0.35">
      <c r="A169">
        <v>2019</v>
      </c>
      <c r="B169" t="s">
        <v>41</v>
      </c>
      <c r="C169" t="s">
        <v>61</v>
      </c>
      <c r="D169">
        <v>15</v>
      </c>
    </row>
    <row r="170" spans="1:4" x14ac:dyDescent="0.35">
      <c r="A170">
        <v>2019</v>
      </c>
      <c r="B170" t="s">
        <v>42</v>
      </c>
      <c r="C170" t="s">
        <v>61</v>
      </c>
      <c r="D170">
        <v>6</v>
      </c>
    </row>
    <row r="171" spans="1:4" x14ac:dyDescent="0.35">
      <c r="A171">
        <v>2019</v>
      </c>
      <c r="B171" t="s">
        <v>43</v>
      </c>
      <c r="C171" t="s">
        <v>61</v>
      </c>
      <c r="D171">
        <v>0</v>
      </c>
    </row>
    <row r="172" spans="1:4" x14ac:dyDescent="0.35">
      <c r="A172">
        <v>2019</v>
      </c>
      <c r="B172" t="s">
        <v>44</v>
      </c>
      <c r="C172" t="s">
        <v>61</v>
      </c>
      <c r="D172">
        <v>16</v>
      </c>
    </row>
    <row r="173" spans="1:4" x14ac:dyDescent="0.35">
      <c r="A173">
        <v>2019</v>
      </c>
      <c r="B173" t="s">
        <v>45</v>
      </c>
      <c r="C173" t="s">
        <v>61</v>
      </c>
      <c r="D173">
        <v>9</v>
      </c>
    </row>
    <row r="174" spans="1:4" x14ac:dyDescent="0.35">
      <c r="A174">
        <v>2019</v>
      </c>
      <c r="B174" t="s">
        <v>46</v>
      </c>
      <c r="C174" t="s">
        <v>61</v>
      </c>
      <c r="D174">
        <v>10</v>
      </c>
    </row>
    <row r="175" spans="1:4" x14ac:dyDescent="0.35">
      <c r="A175">
        <v>2019</v>
      </c>
      <c r="B175" t="s">
        <v>47</v>
      </c>
      <c r="C175" t="s">
        <v>61</v>
      </c>
      <c r="D175">
        <v>27</v>
      </c>
    </row>
    <row r="176" spans="1:4" x14ac:dyDescent="0.35">
      <c r="A176">
        <v>2019</v>
      </c>
      <c r="B176" t="s">
        <v>48</v>
      </c>
      <c r="C176" t="s">
        <v>61</v>
      </c>
      <c r="D176">
        <v>35</v>
      </c>
    </row>
    <row r="177" spans="1:4" x14ac:dyDescent="0.35">
      <c r="A177">
        <v>2019</v>
      </c>
      <c r="B177" t="s">
        <v>49</v>
      </c>
      <c r="C177" t="s">
        <v>61</v>
      </c>
      <c r="D177">
        <v>9</v>
      </c>
    </row>
    <row r="178" spans="1:4" x14ac:dyDescent="0.35">
      <c r="A178">
        <v>2019</v>
      </c>
      <c r="B178" t="s">
        <v>50</v>
      </c>
      <c r="C178" t="s">
        <v>61</v>
      </c>
      <c r="D178">
        <v>15</v>
      </c>
    </row>
    <row r="179" spans="1:4" x14ac:dyDescent="0.35">
      <c r="A179">
        <v>2019</v>
      </c>
      <c r="B179" t="s">
        <v>51</v>
      </c>
      <c r="C179" t="s">
        <v>61</v>
      </c>
      <c r="D179">
        <v>19</v>
      </c>
    </row>
    <row r="180" spans="1:4" x14ac:dyDescent="0.35">
      <c r="A180">
        <v>2019</v>
      </c>
      <c r="B180" t="s">
        <v>52</v>
      </c>
      <c r="C180" t="s">
        <v>61</v>
      </c>
      <c r="D180">
        <v>12</v>
      </c>
    </row>
    <row r="181" spans="1:4" x14ac:dyDescent="0.35">
      <c r="A181">
        <v>2019</v>
      </c>
      <c r="B181" t="s">
        <v>53</v>
      </c>
      <c r="C181" t="s">
        <v>61</v>
      </c>
      <c r="D181">
        <v>38</v>
      </c>
    </row>
    <row r="182" spans="1:4" x14ac:dyDescent="0.35">
      <c r="A182">
        <v>2019</v>
      </c>
      <c r="B182" t="s">
        <v>54</v>
      </c>
      <c r="C182" t="s">
        <v>61</v>
      </c>
      <c r="D182">
        <v>24</v>
      </c>
    </row>
    <row r="183" spans="1:4" x14ac:dyDescent="0.35">
      <c r="A183">
        <v>2019</v>
      </c>
      <c r="B183" t="s">
        <v>55</v>
      </c>
      <c r="C183" t="s">
        <v>61</v>
      </c>
      <c r="D183">
        <v>39</v>
      </c>
    </row>
    <row r="184" spans="1:4" x14ac:dyDescent="0.35">
      <c r="A184">
        <v>2019</v>
      </c>
      <c r="B184" t="s">
        <v>106</v>
      </c>
      <c r="C184" t="s">
        <v>61</v>
      </c>
      <c r="D184">
        <v>41</v>
      </c>
    </row>
    <row r="185" spans="1:4" x14ac:dyDescent="0.35">
      <c r="A185">
        <v>2019</v>
      </c>
      <c r="B185" t="s">
        <v>40</v>
      </c>
      <c r="C185" t="s">
        <v>61</v>
      </c>
      <c r="D185"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AD166-F669-41A5-AA31-049EBA230AEE}">
  <sheetPr codeName="Sheet16"/>
  <dimension ref="B2:Q74"/>
  <sheetViews>
    <sheetView workbookViewId="0">
      <selection activeCell="A57" sqref="A57:F57"/>
    </sheetView>
  </sheetViews>
  <sheetFormatPr defaultColWidth="8.81640625" defaultRowHeight="13" x14ac:dyDescent="0.3"/>
  <cols>
    <col min="1" max="15" width="8.81640625" style="124"/>
    <col min="16" max="16" width="13.54296875" style="124" bestFit="1" customWidth="1"/>
    <col min="17" max="16384" width="8.81640625" style="124"/>
  </cols>
  <sheetData>
    <row r="2" spans="2:17" x14ac:dyDescent="0.3">
      <c r="B2" s="123" t="s">
        <v>114</v>
      </c>
      <c r="C2" s="124" t="s">
        <v>115</v>
      </c>
    </row>
    <row r="3" spans="2:17" ht="14.5" x14ac:dyDescent="0.35">
      <c r="B3" s="125" t="s">
        <v>116</v>
      </c>
      <c r="C3" s="124" t="s">
        <v>117</v>
      </c>
    </row>
    <row r="4" spans="2:17" ht="14.5" x14ac:dyDescent="0.35">
      <c r="B4" s="125"/>
    </row>
    <row r="6" spans="2:17" ht="14.5" x14ac:dyDescent="0.35">
      <c r="B6" s="126" t="s">
        <v>118</v>
      </c>
      <c r="D6" s="126" t="s">
        <v>119</v>
      </c>
      <c r="F6" s="126" t="s">
        <v>120</v>
      </c>
      <c r="H6" s="127">
        <f>MAX(H8:H53)</f>
        <v>46</v>
      </c>
      <c r="I6" s="126" t="s">
        <v>121</v>
      </c>
      <c r="K6" s="126" t="s">
        <v>122</v>
      </c>
      <c r="M6" s="113"/>
      <c r="N6" s="135"/>
      <c r="O6" s="137"/>
      <c r="P6" s="135"/>
      <c r="Q6" s="135"/>
    </row>
    <row r="7" spans="2:17" ht="14.5" x14ac:dyDescent="0.35">
      <c r="B7" s="129" t="s">
        <v>124</v>
      </c>
      <c r="D7" s="130" t="s">
        <v>123</v>
      </c>
      <c r="F7" s="130" t="s">
        <v>125</v>
      </c>
      <c r="H7" s="127">
        <v>47</v>
      </c>
      <c r="I7" s="123" t="e">
        <f>VLOOKUP(H7,H8:I53,2,FALSE)</f>
        <v>#N/A</v>
      </c>
      <c r="K7" s="130" t="str">
        <f>CONCATENATE("_",D7,".xlsx")</f>
        <v>_2018_19.xlsx</v>
      </c>
      <c r="M7" s="138"/>
      <c r="N7" s="135"/>
      <c r="O7" s="137"/>
      <c r="P7" s="135"/>
      <c r="Q7" s="135"/>
    </row>
    <row r="8" spans="2:17" ht="14.5" x14ac:dyDescent="0.35">
      <c r="D8" s="132" t="str">
        <f>CONCATENATE(LEFT(D7,4),"-",RIGHT(D7,2))</f>
        <v>2018-19</v>
      </c>
      <c r="H8" s="124">
        <v>1</v>
      </c>
      <c r="I8" s="133" t="s">
        <v>10</v>
      </c>
      <c r="M8" s="134"/>
      <c r="N8" s="135"/>
      <c r="O8" s="135"/>
      <c r="P8" s="134"/>
      <c r="Q8" s="135"/>
    </row>
    <row r="9" spans="2:17" ht="14.5" x14ac:dyDescent="0.35">
      <c r="D9" s="123" t="str">
        <f>CONCATENATE(LEFT(D7,2),RIGHT(D7,2))</f>
        <v>2019</v>
      </c>
      <c r="H9" s="124">
        <v>2</v>
      </c>
      <c r="I9" s="133" t="s">
        <v>11</v>
      </c>
      <c r="M9" s="134"/>
      <c r="N9" s="135"/>
      <c r="O9" s="135"/>
      <c r="P9" s="139"/>
      <c r="Q9" s="135"/>
    </row>
    <row r="10" spans="2:17" ht="14.5" x14ac:dyDescent="0.35">
      <c r="H10" s="124">
        <v>3</v>
      </c>
      <c r="I10" s="133" t="s">
        <v>12</v>
      </c>
      <c r="M10" s="139"/>
      <c r="N10" s="135"/>
      <c r="O10" s="135"/>
      <c r="P10" s="139"/>
      <c r="Q10" s="135"/>
    </row>
    <row r="11" spans="2:17" ht="14.5" x14ac:dyDescent="0.35">
      <c r="H11" s="124">
        <v>4</v>
      </c>
      <c r="I11" s="133" t="s">
        <v>13</v>
      </c>
      <c r="M11" s="139"/>
      <c r="N11" s="135"/>
      <c r="O11" s="135"/>
      <c r="P11" s="139"/>
      <c r="Q11" s="135"/>
    </row>
    <row r="12" spans="2:17" ht="14.5" x14ac:dyDescent="0.35">
      <c r="H12" s="124">
        <v>5</v>
      </c>
      <c r="I12" s="133" t="s">
        <v>14</v>
      </c>
      <c r="M12" s="136"/>
      <c r="P12" s="136"/>
    </row>
    <row r="13" spans="2:17" ht="14.5" x14ac:dyDescent="0.35">
      <c r="H13" s="124">
        <v>6</v>
      </c>
      <c r="I13" s="133" t="s">
        <v>15</v>
      </c>
      <c r="M13" s="128" t="s">
        <v>126</v>
      </c>
      <c r="O13" s="127">
        <f>MAX(O15:O16)</f>
        <v>1</v>
      </c>
      <c r="P13" s="126" t="s">
        <v>134</v>
      </c>
      <c r="Q13" s="126" t="s">
        <v>135</v>
      </c>
    </row>
    <row r="14" spans="2:17" ht="14.5" x14ac:dyDescent="0.35">
      <c r="H14" s="124">
        <v>7</v>
      </c>
      <c r="I14" s="133" t="s">
        <v>16</v>
      </c>
      <c r="M14" s="131" t="s">
        <v>127</v>
      </c>
      <c r="O14" s="127">
        <v>2</v>
      </c>
      <c r="P14" s="123" t="e">
        <f>VLOOKUP(O14,O15:P16,2,FALSE)</f>
        <v>#N/A</v>
      </c>
      <c r="Q14" s="123" t="e">
        <f>VLOOKUP(O14,O15:Q16,3,FALSE)</f>
        <v>#N/A</v>
      </c>
    </row>
    <row r="15" spans="2:17" ht="14.5" x14ac:dyDescent="0.35">
      <c r="H15" s="124">
        <v>8</v>
      </c>
      <c r="I15" s="133" t="s">
        <v>17</v>
      </c>
      <c r="M15" s="134"/>
      <c r="O15" s="124">
        <v>1</v>
      </c>
      <c r="P15" s="125" t="s">
        <v>144</v>
      </c>
      <c r="Q15" s="124" t="s">
        <v>1</v>
      </c>
    </row>
    <row r="16" spans="2:17" ht="14.5" x14ac:dyDescent="0.35">
      <c r="H16" s="124">
        <v>9</v>
      </c>
      <c r="I16" s="133" t="s">
        <v>18</v>
      </c>
      <c r="M16" s="134"/>
      <c r="P16" s="125"/>
    </row>
    <row r="17" spans="8:17" ht="14.5" x14ac:dyDescent="0.35">
      <c r="H17" s="124">
        <v>10</v>
      </c>
      <c r="I17" s="133" t="s">
        <v>19</v>
      </c>
      <c r="M17" s="134"/>
      <c r="P17" s="125"/>
    </row>
    <row r="18" spans="8:17" ht="14.5" x14ac:dyDescent="0.35">
      <c r="H18" s="124">
        <v>11</v>
      </c>
      <c r="I18" s="133" t="s">
        <v>20</v>
      </c>
      <c r="M18" s="134"/>
      <c r="P18" s="125"/>
    </row>
    <row r="19" spans="8:17" ht="14.5" x14ac:dyDescent="0.35">
      <c r="H19" s="124">
        <v>12</v>
      </c>
      <c r="I19" s="133" t="s">
        <v>22</v>
      </c>
      <c r="M19" s="134"/>
      <c r="P19" s="125"/>
    </row>
    <row r="20" spans="8:17" ht="14.5" x14ac:dyDescent="0.35">
      <c r="H20" s="124">
        <v>13</v>
      </c>
      <c r="I20" s="133" t="s">
        <v>23</v>
      </c>
      <c r="M20" s="134"/>
      <c r="P20" s="125"/>
    </row>
    <row r="21" spans="8:17" ht="14.5" x14ac:dyDescent="0.35">
      <c r="H21" s="124">
        <v>14</v>
      </c>
      <c r="I21" s="133" t="s">
        <v>24</v>
      </c>
      <c r="M21" s="134"/>
      <c r="P21" s="125"/>
    </row>
    <row r="22" spans="8:17" ht="14.5" x14ac:dyDescent="0.35">
      <c r="H22" s="124">
        <v>15</v>
      </c>
      <c r="I22" s="133" t="s">
        <v>25</v>
      </c>
      <c r="M22" s="134"/>
      <c r="P22" s="125"/>
    </row>
    <row r="23" spans="8:17" ht="14.5" x14ac:dyDescent="0.35">
      <c r="H23" s="124">
        <v>16</v>
      </c>
      <c r="I23" s="133" t="s">
        <v>26</v>
      </c>
      <c r="M23" s="134"/>
      <c r="P23" s="125"/>
    </row>
    <row r="24" spans="8:17" ht="14.5" x14ac:dyDescent="0.35">
      <c r="H24" s="124">
        <v>17</v>
      </c>
      <c r="I24" s="133" t="s">
        <v>27</v>
      </c>
      <c r="M24" s="128" t="s">
        <v>128</v>
      </c>
      <c r="O24" s="127">
        <f>MAX(O26:O27)</f>
        <v>1</v>
      </c>
      <c r="P24" s="126" t="s">
        <v>136</v>
      </c>
      <c r="Q24" s="126" t="s">
        <v>137</v>
      </c>
    </row>
    <row r="25" spans="8:17" ht="14.5" x14ac:dyDescent="0.35">
      <c r="H25" s="124">
        <v>18</v>
      </c>
      <c r="I25" s="133" t="s">
        <v>28</v>
      </c>
      <c r="M25" s="131" t="s">
        <v>129</v>
      </c>
      <c r="O25" s="127">
        <v>2</v>
      </c>
      <c r="P25" s="123" t="e">
        <f>VLOOKUP(O25,O26:P27,2,FALSE)</f>
        <v>#N/A</v>
      </c>
      <c r="Q25" s="123" t="e">
        <f>VLOOKUP(P25,P26:Q27,2,FALSE)</f>
        <v>#N/A</v>
      </c>
    </row>
    <row r="26" spans="8:17" ht="14.5" x14ac:dyDescent="0.35">
      <c r="H26" s="124">
        <v>19</v>
      </c>
      <c r="I26" s="133" t="s">
        <v>29</v>
      </c>
      <c r="M26" s="134"/>
      <c r="O26" s="124">
        <v>1</v>
      </c>
      <c r="P26" s="125" t="s">
        <v>145</v>
      </c>
      <c r="Q26" s="124" t="s">
        <v>59</v>
      </c>
    </row>
    <row r="27" spans="8:17" ht="14.5" x14ac:dyDescent="0.35">
      <c r="H27" s="124">
        <v>20</v>
      </c>
      <c r="I27" s="133" t="s">
        <v>30</v>
      </c>
      <c r="M27" s="134"/>
      <c r="P27" s="125"/>
    </row>
    <row r="28" spans="8:17" ht="14.5" x14ac:dyDescent="0.35">
      <c r="H28" s="124">
        <v>21</v>
      </c>
      <c r="I28" s="133" t="s">
        <v>31</v>
      </c>
      <c r="M28" s="134"/>
      <c r="P28" s="125"/>
    </row>
    <row r="29" spans="8:17" ht="14.5" x14ac:dyDescent="0.35">
      <c r="H29" s="124">
        <v>22</v>
      </c>
      <c r="I29" s="133" t="s">
        <v>32</v>
      </c>
      <c r="M29" s="134"/>
      <c r="P29" s="125"/>
    </row>
    <row r="30" spans="8:17" ht="14.5" x14ac:dyDescent="0.35">
      <c r="H30" s="124">
        <v>23</v>
      </c>
      <c r="I30" s="133" t="s">
        <v>33</v>
      </c>
      <c r="M30" s="134"/>
      <c r="P30" s="125"/>
    </row>
    <row r="31" spans="8:17" ht="14.5" x14ac:dyDescent="0.35">
      <c r="H31" s="124">
        <v>24</v>
      </c>
      <c r="I31" s="133" t="s">
        <v>34</v>
      </c>
      <c r="M31" s="134"/>
      <c r="P31" s="125"/>
    </row>
    <row r="32" spans="8:17" ht="14.5" x14ac:dyDescent="0.35">
      <c r="H32" s="124">
        <v>25</v>
      </c>
      <c r="I32" s="133" t="s">
        <v>35</v>
      </c>
      <c r="M32" s="134"/>
      <c r="P32" s="125"/>
    </row>
    <row r="33" spans="8:17" ht="14.5" x14ac:dyDescent="0.35">
      <c r="H33" s="124">
        <v>26</v>
      </c>
      <c r="I33" s="133" t="s">
        <v>36</v>
      </c>
      <c r="M33" s="134"/>
      <c r="P33" s="125"/>
    </row>
    <row r="34" spans="8:17" ht="14.5" x14ac:dyDescent="0.35">
      <c r="H34" s="124">
        <v>27</v>
      </c>
      <c r="I34" s="133" t="s">
        <v>37</v>
      </c>
      <c r="M34" s="136"/>
      <c r="P34" s="136"/>
    </row>
    <row r="35" spans="8:17" ht="14.5" x14ac:dyDescent="0.35">
      <c r="H35" s="124">
        <v>28</v>
      </c>
      <c r="I35" s="133" t="s">
        <v>38</v>
      </c>
      <c r="M35" s="128" t="s">
        <v>130</v>
      </c>
      <c r="O35" s="127">
        <f>MAX(O37:O39)</f>
        <v>1</v>
      </c>
      <c r="P35" s="126" t="s">
        <v>139</v>
      </c>
      <c r="Q35" s="126" t="s">
        <v>138</v>
      </c>
    </row>
    <row r="36" spans="8:17" ht="14.5" x14ac:dyDescent="0.35">
      <c r="H36" s="124">
        <v>29</v>
      </c>
      <c r="I36" s="133" t="s">
        <v>39</v>
      </c>
      <c r="M36" s="131" t="s">
        <v>131</v>
      </c>
      <c r="O36" s="127">
        <v>2</v>
      </c>
      <c r="P36" s="123" t="e">
        <f>VLOOKUP(O36,O37:P38,2,FALSE)</f>
        <v>#N/A</v>
      </c>
      <c r="Q36" s="123" t="e">
        <f>VLOOKUP(P36,P37:Q38,2,FALSE)</f>
        <v>#N/A</v>
      </c>
    </row>
    <row r="37" spans="8:17" ht="14.5" x14ac:dyDescent="0.35">
      <c r="H37" s="124">
        <v>30</v>
      </c>
      <c r="I37" s="133" t="s">
        <v>41</v>
      </c>
      <c r="M37" s="134"/>
      <c r="O37" s="124">
        <v>1</v>
      </c>
      <c r="P37" s="125" t="s">
        <v>146</v>
      </c>
      <c r="Q37" s="124" t="s">
        <v>60</v>
      </c>
    </row>
    <row r="38" spans="8:17" ht="14.5" x14ac:dyDescent="0.35">
      <c r="H38" s="124">
        <v>31</v>
      </c>
      <c r="I38" s="133" t="s">
        <v>42</v>
      </c>
      <c r="M38" s="134"/>
      <c r="P38" s="125"/>
    </row>
    <row r="39" spans="8:17" ht="14.5" x14ac:dyDescent="0.35">
      <c r="H39" s="124">
        <v>32</v>
      </c>
      <c r="I39" s="133" t="s">
        <v>43</v>
      </c>
      <c r="M39" s="134"/>
      <c r="P39" s="125"/>
    </row>
    <row r="40" spans="8:17" ht="14.5" x14ac:dyDescent="0.35">
      <c r="H40" s="124">
        <v>33</v>
      </c>
      <c r="I40" s="133" t="s">
        <v>44</v>
      </c>
      <c r="M40" s="134"/>
      <c r="P40" s="140"/>
    </row>
    <row r="41" spans="8:17" ht="14.5" x14ac:dyDescent="0.35">
      <c r="H41" s="124">
        <v>34</v>
      </c>
      <c r="I41" s="133" t="s">
        <v>45</v>
      </c>
      <c r="M41" s="134"/>
      <c r="P41" s="125"/>
    </row>
    <row r="42" spans="8:17" ht="14.5" x14ac:dyDescent="0.35">
      <c r="H42" s="124">
        <v>35</v>
      </c>
      <c r="I42" s="133" t="s">
        <v>46</v>
      </c>
      <c r="M42" s="134"/>
      <c r="P42" s="125"/>
    </row>
    <row r="43" spans="8:17" ht="14.5" x14ac:dyDescent="0.35">
      <c r="H43" s="124">
        <v>36</v>
      </c>
      <c r="I43" s="133" t="s">
        <v>47</v>
      </c>
      <c r="M43" s="134"/>
      <c r="P43" s="125"/>
    </row>
    <row r="44" spans="8:17" ht="14.5" x14ac:dyDescent="0.35">
      <c r="H44" s="124">
        <v>37</v>
      </c>
      <c r="I44" s="133" t="s">
        <v>48</v>
      </c>
      <c r="M44" s="134"/>
      <c r="P44" s="125"/>
    </row>
    <row r="45" spans="8:17" ht="14.5" x14ac:dyDescent="0.35">
      <c r="H45" s="124">
        <v>38</v>
      </c>
      <c r="I45" s="133" t="s">
        <v>49</v>
      </c>
      <c r="M45" s="136"/>
      <c r="P45" s="136"/>
    </row>
    <row r="46" spans="8:17" ht="14.5" x14ac:dyDescent="0.35">
      <c r="H46" s="124">
        <v>39</v>
      </c>
      <c r="I46" s="133" t="s">
        <v>50</v>
      </c>
      <c r="M46" s="128" t="s">
        <v>132</v>
      </c>
      <c r="O46" s="127">
        <f>MAX(O48:O49)</f>
        <v>1</v>
      </c>
      <c r="P46" s="126" t="s">
        <v>140</v>
      </c>
      <c r="Q46" s="126" t="s">
        <v>141</v>
      </c>
    </row>
    <row r="47" spans="8:17" ht="14.5" x14ac:dyDescent="0.35">
      <c r="H47" s="124">
        <v>40</v>
      </c>
      <c r="I47" s="133" t="s">
        <v>51</v>
      </c>
      <c r="M47" s="131" t="s">
        <v>133</v>
      </c>
      <c r="O47" s="127">
        <v>2</v>
      </c>
      <c r="P47" s="123" t="e">
        <f>VLOOKUP(O47,O48:P49,2,FALSE)</f>
        <v>#N/A</v>
      </c>
      <c r="Q47" s="123" t="e">
        <f>VLOOKUP(P47,P48:Q49,2,FALSE)</f>
        <v>#N/A</v>
      </c>
    </row>
    <row r="48" spans="8:17" ht="14.5" x14ac:dyDescent="0.35">
      <c r="H48" s="124">
        <v>41</v>
      </c>
      <c r="I48" s="133" t="s">
        <v>52</v>
      </c>
      <c r="M48" s="134"/>
      <c r="O48" s="124">
        <v>1</v>
      </c>
      <c r="P48" s="125" t="s">
        <v>147</v>
      </c>
      <c r="Q48" s="124" t="s">
        <v>61</v>
      </c>
    </row>
    <row r="49" spans="8:16" ht="14.5" x14ac:dyDescent="0.35">
      <c r="H49" s="124">
        <v>42</v>
      </c>
      <c r="I49" s="133" t="s">
        <v>53</v>
      </c>
      <c r="M49" s="134"/>
      <c r="P49" s="125"/>
    </row>
    <row r="50" spans="8:16" ht="14.5" x14ac:dyDescent="0.35">
      <c r="H50" s="124">
        <v>43</v>
      </c>
      <c r="I50" s="133" t="s">
        <v>54</v>
      </c>
      <c r="M50" s="125"/>
      <c r="P50" s="125"/>
    </row>
    <row r="51" spans="8:16" ht="14.5" x14ac:dyDescent="0.35">
      <c r="H51" s="124">
        <v>44</v>
      </c>
      <c r="I51" s="133" t="s">
        <v>55</v>
      </c>
      <c r="M51" s="136"/>
      <c r="P51" s="140"/>
    </row>
    <row r="52" spans="8:16" ht="14.5" x14ac:dyDescent="0.35">
      <c r="H52" s="124">
        <v>45</v>
      </c>
      <c r="I52" s="133" t="s">
        <v>106</v>
      </c>
      <c r="M52" s="136"/>
      <c r="P52" s="125"/>
    </row>
    <row r="53" spans="8:16" ht="14.5" x14ac:dyDescent="0.35">
      <c r="H53" s="124">
        <v>46</v>
      </c>
      <c r="I53" s="133" t="s">
        <v>40</v>
      </c>
      <c r="M53" s="136"/>
      <c r="P53" s="125"/>
    </row>
    <row r="54" spans="8:16" ht="14.5" x14ac:dyDescent="0.35">
      <c r="M54" s="136"/>
      <c r="P54" s="125"/>
    </row>
    <row r="55" spans="8:16" ht="14.5" x14ac:dyDescent="0.35">
      <c r="M55" s="136"/>
      <c r="P55" s="125"/>
    </row>
    <row r="56" spans="8:16" x14ac:dyDescent="0.3">
      <c r="P56" s="140"/>
    </row>
    <row r="57" spans="8:16" ht="14.5" x14ac:dyDescent="0.35">
      <c r="O57" s="125"/>
    </row>
    <row r="58" spans="8:16" ht="14.5" x14ac:dyDescent="0.35">
      <c r="O58" s="125"/>
    </row>
    <row r="59" spans="8:16" ht="14.5" x14ac:dyDescent="0.35">
      <c r="O59" s="125"/>
    </row>
    <row r="60" spans="8:16" ht="14.5" x14ac:dyDescent="0.35">
      <c r="O60" s="125"/>
    </row>
    <row r="61" spans="8:16" ht="14.5" x14ac:dyDescent="0.35">
      <c r="O61" s="125"/>
    </row>
    <row r="74" spans="9:9" ht="14.5" x14ac:dyDescent="0.35">
      <c r="I74" s="133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B1:K19"/>
  <sheetViews>
    <sheetView workbookViewId="0">
      <selection activeCell="A57" sqref="A57:F57"/>
    </sheetView>
  </sheetViews>
  <sheetFormatPr defaultRowHeight="14.5" x14ac:dyDescent="0.35"/>
  <cols>
    <col min="2" max="2" width="51.453125" bestFit="1" customWidth="1"/>
    <col min="5" max="7" width="0" hidden="1" customWidth="1"/>
    <col min="8" max="8" width="11.453125" customWidth="1"/>
    <col min="10" max="10" width="10.7265625" bestFit="1" customWidth="1"/>
  </cols>
  <sheetData>
    <row r="1" spans="2:11" x14ac:dyDescent="0.35">
      <c r="B1" t="s">
        <v>175</v>
      </c>
      <c r="G1" t="s">
        <v>173</v>
      </c>
    </row>
    <row r="2" spans="2:11" x14ac:dyDescent="0.35">
      <c r="G2" t="s">
        <v>174</v>
      </c>
      <c r="H2" s="110"/>
      <c r="I2" s="110"/>
      <c r="J2" s="111"/>
    </row>
    <row r="3" spans="2:11" x14ac:dyDescent="0.35">
      <c r="B3" s="141" t="s">
        <v>154</v>
      </c>
      <c r="C3" s="141" t="s">
        <v>163</v>
      </c>
      <c r="D3" s="141" t="s">
        <v>164</v>
      </c>
      <c r="E3" s="141"/>
      <c r="F3" t="s">
        <v>165</v>
      </c>
      <c r="G3" s="141"/>
      <c r="H3" s="141" t="s">
        <v>166</v>
      </c>
      <c r="I3" s="110"/>
      <c r="J3" s="111"/>
      <c r="K3" s="109"/>
    </row>
    <row r="4" spans="2:11" x14ac:dyDescent="0.35">
      <c r="B4" s="143" t="s">
        <v>176</v>
      </c>
      <c r="C4" t="s">
        <v>170</v>
      </c>
      <c r="D4" t="s">
        <v>177</v>
      </c>
      <c r="E4">
        <f>IF(D4="No",0,1)</f>
        <v>0</v>
      </c>
      <c r="F4" t="s">
        <v>168</v>
      </c>
      <c r="I4" s="110"/>
      <c r="J4" s="111"/>
    </row>
    <row r="5" spans="2:11" x14ac:dyDescent="0.35">
      <c r="B5" t="s">
        <v>108</v>
      </c>
      <c r="C5" t="s">
        <v>170</v>
      </c>
      <c r="D5" t="s">
        <v>177</v>
      </c>
      <c r="E5">
        <f t="shared" ref="E5:E15" si="0">IF(D5="No",0,1)</f>
        <v>0</v>
      </c>
      <c r="F5" t="s">
        <v>169</v>
      </c>
      <c r="I5" s="110"/>
      <c r="J5" s="111"/>
    </row>
    <row r="6" spans="2:11" x14ac:dyDescent="0.35">
      <c r="B6" t="s">
        <v>155</v>
      </c>
      <c r="C6" t="s">
        <v>170</v>
      </c>
      <c r="D6" t="s">
        <v>177</v>
      </c>
      <c r="E6">
        <f t="shared" si="0"/>
        <v>0</v>
      </c>
      <c r="F6" t="s">
        <v>167</v>
      </c>
      <c r="I6" s="110"/>
      <c r="J6" s="111"/>
      <c r="K6" s="109"/>
    </row>
    <row r="7" spans="2:11" x14ac:dyDescent="0.35">
      <c r="B7" t="s">
        <v>156</v>
      </c>
      <c r="C7" t="s">
        <v>170</v>
      </c>
      <c r="D7" t="s">
        <v>178</v>
      </c>
      <c r="E7">
        <f t="shared" si="0"/>
        <v>0</v>
      </c>
      <c r="F7" t="s">
        <v>170</v>
      </c>
    </row>
    <row r="8" spans="2:11" x14ac:dyDescent="0.35">
      <c r="B8" t="s">
        <v>109</v>
      </c>
      <c r="C8" t="s">
        <v>170</v>
      </c>
      <c r="D8" t="s">
        <v>177</v>
      </c>
      <c r="E8">
        <f t="shared" si="0"/>
        <v>0</v>
      </c>
      <c r="F8" t="s">
        <v>167</v>
      </c>
    </row>
    <row r="9" spans="2:11" x14ac:dyDescent="0.35">
      <c r="B9" t="s">
        <v>110</v>
      </c>
      <c r="C9" t="s">
        <v>170</v>
      </c>
      <c r="D9" t="s">
        <v>177</v>
      </c>
      <c r="E9">
        <f t="shared" si="0"/>
        <v>0</v>
      </c>
      <c r="F9" t="s">
        <v>172</v>
      </c>
    </row>
    <row r="10" spans="2:11" x14ac:dyDescent="0.35">
      <c r="B10" t="s">
        <v>157</v>
      </c>
      <c r="C10" t="s">
        <v>170</v>
      </c>
      <c r="D10" t="s">
        <v>177</v>
      </c>
      <c r="E10">
        <f t="shared" si="0"/>
        <v>0</v>
      </c>
    </row>
    <row r="11" spans="2:11" x14ac:dyDescent="0.35">
      <c r="B11" t="s">
        <v>158</v>
      </c>
      <c r="C11" t="s">
        <v>170</v>
      </c>
      <c r="D11" t="s">
        <v>177</v>
      </c>
      <c r="E11">
        <f t="shared" si="0"/>
        <v>0</v>
      </c>
    </row>
    <row r="12" spans="2:11" x14ac:dyDescent="0.35">
      <c r="B12" t="s">
        <v>159</v>
      </c>
      <c r="C12" t="s">
        <v>170</v>
      </c>
      <c r="D12" t="s">
        <v>177</v>
      </c>
      <c r="E12">
        <f t="shared" si="0"/>
        <v>0</v>
      </c>
    </row>
    <row r="13" spans="2:11" x14ac:dyDescent="0.35">
      <c r="B13" t="s">
        <v>160</v>
      </c>
      <c r="C13" t="s">
        <v>170</v>
      </c>
      <c r="D13" t="s">
        <v>177</v>
      </c>
      <c r="E13">
        <f t="shared" si="0"/>
        <v>0</v>
      </c>
    </row>
    <row r="14" spans="2:11" x14ac:dyDescent="0.35">
      <c r="B14" t="s">
        <v>161</v>
      </c>
      <c r="C14" t="s">
        <v>170</v>
      </c>
      <c r="D14" t="s">
        <v>177</v>
      </c>
      <c r="E14">
        <f t="shared" si="0"/>
        <v>0</v>
      </c>
    </row>
    <row r="15" spans="2:11" x14ac:dyDescent="0.35">
      <c r="B15" t="s">
        <v>162</v>
      </c>
      <c r="C15" t="s">
        <v>170</v>
      </c>
      <c r="D15" t="s">
        <v>177</v>
      </c>
      <c r="E15">
        <f t="shared" si="0"/>
        <v>0</v>
      </c>
    </row>
    <row r="19" spans="2:3" x14ac:dyDescent="0.35">
      <c r="B19" t="s">
        <v>171</v>
      </c>
      <c r="C19" s="142">
        <f>SUM(E4:E15)</f>
        <v>0</v>
      </c>
    </row>
  </sheetData>
  <conditionalFormatting sqref="D4:D5 D7:D15 D19">
    <cfRule type="containsText" dxfId="7" priority="11" operator="containsText" text="Yes">
      <formula>NOT(ISERROR(SEARCH("Yes",D4)))</formula>
    </cfRule>
    <cfRule type="containsText" dxfId="6" priority="12" operator="containsText" text="No">
      <formula>NOT(ISERROR(SEARCH("No",D4)))</formula>
    </cfRule>
  </conditionalFormatting>
  <conditionalFormatting sqref="C4">
    <cfRule type="notContainsBlanks" dxfId="5" priority="13">
      <formula>LEN(TRIM(C4))&gt;0</formula>
    </cfRule>
  </conditionalFormatting>
  <conditionalFormatting sqref="C19">
    <cfRule type="cellIs" dxfId="4" priority="6" operator="greaterThan">
      <formula>0</formula>
    </cfRule>
    <cfRule type="cellIs" dxfId="3" priority="7" operator="lessThan">
      <formula>1</formula>
    </cfRule>
  </conditionalFormatting>
  <conditionalFormatting sqref="D6">
    <cfRule type="containsText" dxfId="2" priority="3" operator="containsText" text="Yes">
      <formula>NOT(ISERROR(SEARCH("Yes",D6)))</formula>
    </cfRule>
    <cfRule type="containsText" dxfId="1" priority="4" operator="containsText" text="No">
      <formula>NOT(ISERROR(SEARCH("No",D6)))</formula>
    </cfRule>
  </conditionalFormatting>
  <conditionalFormatting sqref="C5:C15">
    <cfRule type="notContainsBlanks" dxfId="0" priority="1">
      <formula>LEN(TRIM(C5))&gt;0</formula>
    </cfRule>
  </conditionalFormatting>
  <dataValidations count="3">
    <dataValidation type="list" allowBlank="1" showInputMessage="1" showErrorMessage="1" sqref="D5:D15 D4" xr:uid="{14D50842-A621-4C11-86C2-61F8237373A6}">
      <formula1>$G$1:$G$2</formula1>
    </dataValidation>
    <dataValidation type="list" allowBlank="1" showInputMessage="1" showErrorMessage="1" sqref="C4:C15" xr:uid="{C9AE64DA-3797-4C11-9D8C-2AA9CBB266F3}">
      <formula1>$F$3:$F$9</formula1>
    </dataValidation>
    <dataValidation type="list" allowBlank="1" showInputMessage="1" showErrorMessage="1" sqref="D19" xr:uid="{1E18F7A8-B2B7-4850-8C18-354C98B45DEA}">
      <formula1>$Q$1:$Q$2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AF82"/>
  <sheetViews>
    <sheetView topLeftCell="A4" zoomScaleNormal="100" workbookViewId="0">
      <selection activeCell="A57" sqref="A57:F57"/>
    </sheetView>
  </sheetViews>
  <sheetFormatPr defaultColWidth="9.1796875" defaultRowHeight="14.5" x14ac:dyDescent="0.35"/>
  <cols>
    <col min="1" max="1" width="50.7265625" style="4" customWidth="1"/>
    <col min="2" max="6" width="14.7265625" style="4" customWidth="1"/>
    <col min="7" max="7" width="9.1796875" style="4" customWidth="1"/>
    <col min="8" max="9" width="0" style="4" hidden="1" customWidth="1"/>
    <col min="10" max="10" width="9.1796875" style="4" customWidth="1"/>
    <col min="11" max="11" width="10" style="4" bestFit="1" customWidth="1"/>
    <col min="12" max="12" width="11.81640625" style="4" customWidth="1"/>
    <col min="13" max="17" width="9.1796875" style="4"/>
    <col min="18" max="18" width="11" style="4" customWidth="1"/>
    <col min="19" max="16384" width="9.1796875" style="4"/>
  </cols>
  <sheetData>
    <row r="1" spans="1:32" s="3" customFormat="1" ht="37.5" customHeight="1" x14ac:dyDescent="0.5">
      <c r="A1" s="156"/>
      <c r="B1" s="156"/>
      <c r="C1" s="156"/>
      <c r="D1" s="156"/>
      <c r="E1" s="156"/>
      <c r="F1" s="156"/>
      <c r="G1" s="1"/>
      <c r="H1" s="1"/>
      <c r="I1" s="2"/>
      <c r="J1" s="2"/>
    </row>
    <row r="2" spans="1:32" s="5" customFormat="1" ht="1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32" s="5" customFormat="1" ht="15" customHeight="1" x14ac:dyDescent="0.35">
      <c r="A3" s="50" t="s">
        <v>71</v>
      </c>
      <c r="B3" s="51"/>
      <c r="C3" s="51"/>
      <c r="D3" s="51"/>
      <c r="E3" s="51"/>
      <c r="F3" s="4"/>
      <c r="G3" s="4"/>
      <c r="H3" s="4"/>
      <c r="I3" s="4"/>
      <c r="J3" s="4"/>
    </row>
    <row r="4" spans="1:32" s="5" customFormat="1" ht="15" customHeight="1" x14ac:dyDescent="0.35">
      <c r="A4" s="157" t="str">
        <f>FIRE1110!A4</f>
        <v>2018-19</v>
      </c>
      <c r="B4" s="157"/>
      <c r="C4" s="157"/>
      <c r="D4" s="157"/>
      <c r="E4" s="157"/>
      <c r="F4" s="4"/>
      <c r="G4" s="4"/>
      <c r="H4" s="4"/>
      <c r="I4" s="4"/>
      <c r="J4" s="4"/>
      <c r="K4" s="4"/>
    </row>
    <row r="5" spans="1:32" s="5" customFormat="1" ht="15" thickBot="1" x14ac:dyDescent="0.4">
      <c r="A5" s="4"/>
      <c r="B5" s="158"/>
      <c r="C5" s="158"/>
      <c r="D5" s="158"/>
      <c r="E5" s="158"/>
      <c r="F5" s="49"/>
      <c r="G5" s="4"/>
      <c r="H5" s="4"/>
      <c r="I5" s="6"/>
      <c r="J5" s="6"/>
      <c r="L5" s="6"/>
      <c r="M5" s="6"/>
      <c r="O5" s="6"/>
      <c r="P5" s="6"/>
      <c r="Q5" s="6"/>
      <c r="R5" s="6"/>
      <c r="S5" s="6"/>
      <c r="V5" s="7"/>
    </row>
    <row r="6" spans="1:32" s="11" customFormat="1" ht="29.5" thickBot="1" x14ac:dyDescent="0.4">
      <c r="A6" s="8" t="s">
        <v>70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5</v>
      </c>
      <c r="K6" s="4"/>
    </row>
    <row r="7" spans="1:32" s="5" customFormat="1" ht="15" customHeight="1" x14ac:dyDescent="0.35">
      <c r="A7" s="53" t="s">
        <v>0</v>
      </c>
      <c r="B7" s="16">
        <f ca="1">INDIRECT("'("&amp;$A$4&amp;")'!C3")</f>
        <v>1733</v>
      </c>
      <c r="C7" s="16">
        <f ca="1">INDIRECT("'("&amp;$A$4&amp;")'!d3")</f>
        <v>1508</v>
      </c>
      <c r="D7" s="16">
        <f ca="1">INDIRECT("'("&amp;$A$4&amp;")'!e3")</f>
        <v>98</v>
      </c>
      <c r="E7" s="16">
        <f ca="1">INDIRECT("'("&amp;$A$4&amp;")'!f3")</f>
        <v>955</v>
      </c>
      <c r="F7" s="16">
        <f ca="1">INDIRECT("'("&amp;$A$4&amp;")'!g3")</f>
        <v>4294</v>
      </c>
      <c r="G7" s="4"/>
      <c r="H7" s="4"/>
      <c r="I7" s="12"/>
      <c r="J7" s="12"/>
      <c r="L7" s="12"/>
      <c r="M7" s="12"/>
      <c r="O7" s="12"/>
      <c r="P7" s="12"/>
      <c r="Q7" s="12"/>
      <c r="R7" s="12"/>
      <c r="S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2" s="5" customFormat="1" ht="15" customHeight="1" x14ac:dyDescent="0.35">
      <c r="A8" s="54" t="s">
        <v>9</v>
      </c>
      <c r="B8" s="16">
        <f ca="1">INDIRECT("'("&amp;$A$4&amp;")'!C4")</f>
        <v>1042</v>
      </c>
      <c r="C8" s="16">
        <f ca="1">INDIRECT("'("&amp;$A$4&amp;")'!d4")</f>
        <v>1464</v>
      </c>
      <c r="D8" s="16">
        <f ca="1">INDIRECT("'("&amp;$A$4&amp;")'!e4")</f>
        <v>70</v>
      </c>
      <c r="E8" s="16">
        <f ca="1">INDIRECT("'("&amp;$A$4&amp;")'!f4")</f>
        <v>659</v>
      </c>
      <c r="F8" s="16">
        <f ca="1">INDIRECT("'("&amp;$A$4&amp;")'!g4")</f>
        <v>3235</v>
      </c>
      <c r="G8" s="4"/>
      <c r="I8" s="12"/>
      <c r="J8" s="12"/>
      <c r="L8" s="12"/>
      <c r="M8" s="12"/>
      <c r="O8" s="14"/>
      <c r="P8" s="14"/>
      <c r="Q8" s="14"/>
      <c r="R8" s="14"/>
      <c r="S8" s="1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2" s="5" customFormat="1" ht="15" customHeight="1" x14ac:dyDescent="0.35">
      <c r="A9" s="4" t="s">
        <v>10</v>
      </c>
      <c r="B9" s="15">
        <f ca="1">INDIRECT("'("&amp;$A$4&amp;")'!C5")</f>
        <v>37</v>
      </c>
      <c r="C9" s="15">
        <f ca="1">INDIRECT("'("&amp;$A$4&amp;")'!d5")</f>
        <v>16</v>
      </c>
      <c r="D9" s="15">
        <f ca="1">INDIRECT("'("&amp;$A$4&amp;")'!e5")</f>
        <v>0</v>
      </c>
      <c r="E9" s="15">
        <f ca="1">INDIRECT("'("&amp;$A$4&amp;")'!f5")</f>
        <v>17</v>
      </c>
      <c r="F9" s="15">
        <f ca="1">INDIRECT("'("&amp;$A$4&amp;")'!g5")</f>
        <v>70</v>
      </c>
      <c r="G9" s="4"/>
      <c r="I9" s="12"/>
      <c r="J9" s="12"/>
      <c r="L9" s="12"/>
      <c r="M9" s="12"/>
      <c r="O9" s="14"/>
      <c r="P9" s="14"/>
      <c r="Q9" s="14"/>
      <c r="R9" s="14"/>
      <c r="S9" s="1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2" s="5" customFormat="1" ht="15" customHeight="1" x14ac:dyDescent="0.35">
      <c r="A10" s="4" t="s">
        <v>11</v>
      </c>
      <c r="B10" s="15">
        <f ca="1">INDIRECT("'("&amp;$A$4&amp;")'!C6")</f>
        <v>20</v>
      </c>
      <c r="C10" s="15">
        <f ca="1">INDIRECT("'("&amp;$A$4&amp;")'!d6")</f>
        <v>14</v>
      </c>
      <c r="D10" s="15">
        <f ca="1">INDIRECT("'("&amp;$A$4&amp;")'!e6")</f>
        <v>0</v>
      </c>
      <c r="E10" s="15">
        <f ca="1">INDIRECT("'("&amp;$A$4&amp;")'!f6")</f>
        <v>20</v>
      </c>
      <c r="F10" s="15">
        <f ca="1">INDIRECT("'("&amp;$A$4&amp;")'!g6")</f>
        <v>54</v>
      </c>
      <c r="G10" s="4"/>
      <c r="I10" s="12"/>
      <c r="J10" s="12"/>
      <c r="L10" s="12"/>
      <c r="M10" s="12"/>
      <c r="O10" s="14"/>
      <c r="P10" s="14"/>
      <c r="Q10" s="14"/>
      <c r="R10" s="14"/>
      <c r="S10" s="1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2" s="5" customFormat="1" ht="15" customHeight="1" x14ac:dyDescent="0.35">
      <c r="A11" s="4" t="s">
        <v>12</v>
      </c>
      <c r="B11" s="15">
        <f ca="1">INDIRECT("'("&amp;$A$4&amp;")'!C7")</f>
        <v>31</v>
      </c>
      <c r="C11" s="15">
        <f ca="1">INDIRECT("'("&amp;$A$4&amp;")'!d7")</f>
        <v>15</v>
      </c>
      <c r="D11" s="15">
        <f ca="1">INDIRECT("'("&amp;$A$4&amp;")'!e7")</f>
        <v>4</v>
      </c>
      <c r="E11" s="15">
        <f ca="1">INDIRECT("'("&amp;$A$4&amp;")'!f7")</f>
        <v>33</v>
      </c>
      <c r="F11" s="15">
        <f ca="1">INDIRECT("'("&amp;$A$4&amp;")'!g7")</f>
        <v>83</v>
      </c>
      <c r="G11" s="4"/>
      <c r="I11" s="12"/>
      <c r="J11" s="12"/>
      <c r="L11" s="12"/>
      <c r="M11" s="12"/>
      <c r="O11" s="14"/>
      <c r="P11" s="14"/>
      <c r="Q11" s="14"/>
      <c r="R11" s="14"/>
      <c r="S11" s="1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s="5" customFormat="1" ht="15" customHeight="1" x14ac:dyDescent="0.35">
      <c r="A12" s="4" t="s">
        <v>13</v>
      </c>
      <c r="B12" s="15">
        <f ca="1">INDIRECT("'("&amp;$A$4&amp;")'!C8")</f>
        <v>35</v>
      </c>
      <c r="C12" s="15">
        <f ca="1">INDIRECT("'("&amp;$A$4&amp;")'!d8")</f>
        <v>21</v>
      </c>
      <c r="D12" s="15">
        <f ca="1">INDIRECT("'("&amp;$A$4&amp;")'!e8")</f>
        <v>0</v>
      </c>
      <c r="E12" s="15">
        <f ca="1">INDIRECT("'("&amp;$A$4&amp;")'!f8")</f>
        <v>9</v>
      </c>
      <c r="F12" s="15">
        <f ca="1">INDIRECT("'("&amp;$A$4&amp;")'!g8")</f>
        <v>65</v>
      </c>
      <c r="G12" s="4"/>
      <c r="I12" s="12"/>
      <c r="J12" s="12"/>
      <c r="L12" s="12"/>
      <c r="M12" s="12"/>
      <c r="O12" s="14"/>
      <c r="P12" s="14"/>
      <c r="Q12" s="14"/>
      <c r="R12" s="14"/>
      <c r="S12" s="1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2" s="5" customFormat="1" ht="15" customHeight="1" x14ac:dyDescent="0.35">
      <c r="A13" s="4" t="s">
        <v>14</v>
      </c>
      <c r="B13" s="15">
        <f ca="1">INDIRECT("'("&amp;$A$4&amp;")'!C9")</f>
        <v>16</v>
      </c>
      <c r="C13" s="15">
        <f ca="1">INDIRECT("'("&amp;$A$4&amp;")'!d9")</f>
        <v>31</v>
      </c>
      <c r="D13" s="15">
        <f ca="1">INDIRECT("'("&amp;$A$4&amp;")'!e9")</f>
        <v>9</v>
      </c>
      <c r="E13" s="15">
        <f ca="1">INDIRECT("'("&amp;$A$4&amp;")'!f9")</f>
        <v>17</v>
      </c>
      <c r="F13" s="15">
        <f ca="1">INDIRECT("'("&amp;$A$4&amp;")'!g9")</f>
        <v>73</v>
      </c>
      <c r="G13" s="4"/>
      <c r="I13" s="12"/>
      <c r="J13" s="12"/>
      <c r="L13" s="12"/>
      <c r="M13" s="12"/>
      <c r="O13" s="14"/>
      <c r="P13" s="14"/>
      <c r="Q13" s="14"/>
      <c r="R13" s="14"/>
      <c r="S13" s="1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2" s="5" customFormat="1" ht="15" customHeight="1" x14ac:dyDescent="0.35">
      <c r="A14" s="4" t="s">
        <v>15</v>
      </c>
      <c r="B14" s="15">
        <f ca="1">INDIRECT("'("&amp;$A$4&amp;")'!C10")</f>
        <v>40</v>
      </c>
      <c r="C14" s="15">
        <f ca="1">INDIRECT("'("&amp;$A$4&amp;")'!d10")</f>
        <v>63</v>
      </c>
      <c r="D14" s="15">
        <f ca="1">INDIRECT("'("&amp;$A$4&amp;")'!e10")</f>
        <v>0</v>
      </c>
      <c r="E14" s="15">
        <f ca="1">INDIRECT("'("&amp;$A$4&amp;")'!f10")</f>
        <v>17</v>
      </c>
      <c r="F14" s="15">
        <f ca="1">INDIRECT("'("&amp;$A$4&amp;")'!g10")</f>
        <v>120</v>
      </c>
      <c r="G14" s="4"/>
      <c r="I14" s="12"/>
      <c r="J14" s="12"/>
      <c r="L14" s="12"/>
      <c r="M14" s="12"/>
      <c r="O14" s="14"/>
      <c r="P14" s="14"/>
      <c r="Q14" s="14"/>
      <c r="R14" s="14"/>
      <c r="S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s="5" customFormat="1" ht="15" customHeight="1" x14ac:dyDescent="0.35">
      <c r="A15" s="4" t="s">
        <v>16</v>
      </c>
      <c r="B15" s="15">
        <f ca="1">INDIRECT("'("&amp;$A$4&amp;")'!C11")</f>
        <v>35</v>
      </c>
      <c r="C15" s="15">
        <f ca="1">INDIRECT("'("&amp;$A$4&amp;")'!d11")</f>
        <v>18</v>
      </c>
      <c r="D15" s="15">
        <f ca="1">INDIRECT("'("&amp;$A$4&amp;")'!e11")</f>
        <v>2</v>
      </c>
      <c r="E15" s="15">
        <f ca="1">INDIRECT("'("&amp;$A$4&amp;")'!f11")</f>
        <v>13</v>
      </c>
      <c r="F15" s="15">
        <f ca="1">INDIRECT("'("&amp;$A$4&amp;")'!g11")</f>
        <v>68</v>
      </c>
      <c r="G15" s="4"/>
      <c r="I15" s="12"/>
      <c r="J15" s="12"/>
      <c r="L15" s="12"/>
      <c r="M15" s="12"/>
      <c r="O15" s="14"/>
      <c r="P15" s="14"/>
      <c r="Q15" s="14"/>
      <c r="R15" s="14"/>
      <c r="S15" s="1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2" s="5" customFormat="1" ht="15" customHeight="1" x14ac:dyDescent="0.35">
      <c r="A16" s="4" t="s">
        <v>17</v>
      </c>
      <c r="B16" s="15">
        <f ca="1">INDIRECT("'("&amp;$A$4&amp;")'!C12")</f>
        <v>3</v>
      </c>
      <c r="C16" s="15">
        <f ca="1">INDIRECT("'("&amp;$A$4&amp;")'!d12")</f>
        <v>25</v>
      </c>
      <c r="D16" s="15">
        <f ca="1">INDIRECT("'("&amp;$A$4&amp;")'!e12")</f>
        <v>3</v>
      </c>
      <c r="E16" s="15">
        <f ca="1">INDIRECT("'("&amp;$A$4&amp;")'!f12")</f>
        <v>9</v>
      </c>
      <c r="F16" s="15">
        <f ca="1">INDIRECT("'("&amp;$A$4&amp;")'!g12")</f>
        <v>40</v>
      </c>
      <c r="G16" s="4"/>
      <c r="I16" s="12"/>
      <c r="J16" s="12"/>
      <c r="L16" s="12"/>
      <c r="M16" s="12"/>
      <c r="O16" s="14"/>
      <c r="P16" s="14"/>
      <c r="Q16" s="14"/>
      <c r="R16" s="14"/>
      <c r="S16" s="1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5" customFormat="1" ht="15" customHeight="1" x14ac:dyDescent="0.35">
      <c r="A17" s="4" t="s">
        <v>18</v>
      </c>
      <c r="B17" s="15">
        <f ca="1">INDIRECT("'("&amp;$A$4&amp;")'!C13")</f>
        <v>13</v>
      </c>
      <c r="C17" s="15">
        <f ca="1">INDIRECT("'("&amp;$A$4&amp;")'!d13")</f>
        <v>28</v>
      </c>
      <c r="D17" s="15">
        <f ca="1">INDIRECT("'("&amp;$A$4&amp;")'!e13")</f>
        <v>0</v>
      </c>
      <c r="E17" s="15">
        <f ca="1">INDIRECT("'("&amp;$A$4&amp;")'!f13")</f>
        <v>2</v>
      </c>
      <c r="F17" s="15">
        <f ca="1">INDIRECT("'("&amp;$A$4&amp;")'!g13")</f>
        <v>43</v>
      </c>
      <c r="G17" s="4"/>
      <c r="I17" s="12"/>
      <c r="J17" s="12"/>
      <c r="L17" s="12"/>
      <c r="M17" s="12"/>
      <c r="O17" s="14"/>
      <c r="P17" s="14"/>
      <c r="Q17" s="14"/>
      <c r="R17" s="14"/>
      <c r="S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5" customFormat="1" ht="15" customHeight="1" x14ac:dyDescent="0.35">
      <c r="A18" s="22" t="s">
        <v>19</v>
      </c>
      <c r="B18" s="15">
        <f ca="1">INDIRECT("'("&amp;$A$4&amp;")'!C14")</f>
        <v>27</v>
      </c>
      <c r="C18" s="15">
        <f ca="1">INDIRECT("'("&amp;$A$4&amp;")'!d14")</f>
        <v>36</v>
      </c>
      <c r="D18" s="15">
        <f ca="1">INDIRECT("'("&amp;$A$4&amp;")'!e14")</f>
        <v>1</v>
      </c>
      <c r="E18" s="15">
        <f ca="1">INDIRECT("'("&amp;$A$4&amp;")'!f14")</f>
        <v>16</v>
      </c>
      <c r="F18" s="15">
        <f ca="1">INDIRECT("'("&amp;$A$4&amp;")'!g14")</f>
        <v>80</v>
      </c>
      <c r="G18" s="4"/>
      <c r="I18" s="12"/>
      <c r="J18" s="12"/>
      <c r="L18" s="12"/>
      <c r="M18" s="12"/>
      <c r="O18" s="14"/>
      <c r="P18" s="14"/>
      <c r="Q18" s="14"/>
      <c r="R18" s="14"/>
      <c r="S18" s="1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5" customFormat="1" ht="15" customHeight="1" x14ac:dyDescent="0.35">
      <c r="A19" s="22" t="s">
        <v>20</v>
      </c>
      <c r="B19" s="15">
        <f ca="1">INDIRECT("'("&amp;$A$4&amp;")'!C15")</f>
        <v>47</v>
      </c>
      <c r="C19" s="15">
        <f ca="1">INDIRECT("'("&amp;$A$4&amp;")'!d15")</f>
        <v>132</v>
      </c>
      <c r="D19" s="15">
        <f ca="1">INDIRECT("'("&amp;$A$4&amp;")'!e15")</f>
        <v>3</v>
      </c>
      <c r="E19" s="15">
        <f ca="1">INDIRECT("'("&amp;$A$4&amp;")'!f15")</f>
        <v>27</v>
      </c>
      <c r="F19" s="15">
        <f ca="1">INDIRECT("'("&amp;$A$4&amp;")'!g15")</f>
        <v>209</v>
      </c>
      <c r="G19" s="4"/>
      <c r="I19" s="12"/>
      <c r="J19" s="12"/>
      <c r="L19" s="12"/>
      <c r="M19" s="12"/>
      <c r="O19" s="14"/>
      <c r="P19" s="14"/>
      <c r="Q19" s="14"/>
      <c r="R19" s="14"/>
      <c r="S19" s="1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5" customFormat="1" ht="15" customHeight="1" x14ac:dyDescent="0.35">
      <c r="A20" s="4" t="s">
        <v>106</v>
      </c>
      <c r="B20" s="15">
        <f ca="1">INDIRECT("'("&amp;$A$4&amp;")'!C16")</f>
        <v>30</v>
      </c>
      <c r="C20" s="15">
        <f ca="1">INDIRECT("'("&amp;$A$4&amp;")'!d16")</f>
        <v>80</v>
      </c>
      <c r="D20" s="15">
        <f ca="1">INDIRECT("'("&amp;$A$4&amp;")'!e16")</f>
        <v>2</v>
      </c>
      <c r="E20" s="15">
        <f ca="1">INDIRECT("'("&amp;$A$4&amp;")'!f16")</f>
        <v>41</v>
      </c>
      <c r="F20" s="15">
        <f ca="1">INDIRECT("'("&amp;$A$4&amp;")'!g16")</f>
        <v>153</v>
      </c>
      <c r="G20" s="4"/>
      <c r="I20" s="12"/>
      <c r="J20" s="12"/>
      <c r="L20" s="12"/>
      <c r="M20" s="12"/>
      <c r="O20" s="14"/>
      <c r="P20" s="14"/>
      <c r="Q20" s="14"/>
      <c r="R20" s="14"/>
      <c r="S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5" customFormat="1" ht="15" customHeight="1" x14ac:dyDescent="0.35">
      <c r="A21" s="4" t="s">
        <v>22</v>
      </c>
      <c r="B21" s="15">
        <f ca="1">INDIRECT("'("&amp;$A$4&amp;")'!C17")</f>
        <v>18</v>
      </c>
      <c r="C21" s="15">
        <f ca="1">INDIRECT("'("&amp;$A$4&amp;")'!d17")</f>
        <v>23</v>
      </c>
      <c r="D21" s="15">
        <f ca="1">INDIRECT("'("&amp;$A$4&amp;")'!e17")</f>
        <v>2</v>
      </c>
      <c r="E21" s="15">
        <f ca="1">INDIRECT("'("&amp;$A$4&amp;")'!f17")</f>
        <v>6</v>
      </c>
      <c r="F21" s="15">
        <f ca="1">INDIRECT("'("&amp;$A$4&amp;")'!g17")</f>
        <v>49</v>
      </c>
      <c r="G21" s="4"/>
      <c r="I21" s="12"/>
      <c r="J21" s="12"/>
      <c r="L21" s="12"/>
      <c r="M21" s="12"/>
      <c r="O21" s="14"/>
      <c r="P21" s="14"/>
      <c r="Q21" s="14"/>
      <c r="R21" s="14"/>
      <c r="S21" s="1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15" customHeight="1" x14ac:dyDescent="0.35">
      <c r="A22" s="4" t="s">
        <v>23</v>
      </c>
      <c r="B22" s="15">
        <f ca="1">INDIRECT("'("&amp;$A$4&amp;")'!C18")</f>
        <v>27</v>
      </c>
      <c r="C22" s="15">
        <f ca="1">INDIRECT("'("&amp;$A$4&amp;")'!d18")</f>
        <v>25</v>
      </c>
      <c r="D22" s="15">
        <f ca="1">INDIRECT("'("&amp;$A$4&amp;")'!e18")</f>
        <v>5</v>
      </c>
      <c r="E22" s="15">
        <f ca="1">INDIRECT("'("&amp;$A$4&amp;")'!f18")</f>
        <v>16</v>
      </c>
      <c r="F22" s="15">
        <f ca="1">INDIRECT("'("&amp;$A$4&amp;")'!g18")</f>
        <v>73</v>
      </c>
      <c r="G22" s="4"/>
      <c r="I22" s="12"/>
      <c r="J22" s="12"/>
      <c r="L22" s="12"/>
      <c r="M22" s="12"/>
      <c r="O22" s="14"/>
      <c r="P22" s="14"/>
      <c r="Q22" s="14"/>
      <c r="R22" s="14"/>
      <c r="S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5" customFormat="1" ht="15" customHeight="1" x14ac:dyDescent="0.35">
      <c r="A23" s="4" t="s">
        <v>24</v>
      </c>
      <c r="B23" s="15">
        <f ca="1">INDIRECT("'("&amp;$A$4&amp;")'!C19")</f>
        <v>46</v>
      </c>
      <c r="C23" s="15">
        <f ca="1">INDIRECT("'("&amp;$A$4&amp;")'!d19")</f>
        <v>72</v>
      </c>
      <c r="D23" s="15">
        <f ca="1">INDIRECT("'("&amp;$A$4&amp;")'!e19")</f>
        <v>1</v>
      </c>
      <c r="E23" s="15">
        <f ca="1">INDIRECT("'("&amp;$A$4&amp;")'!f19")</f>
        <v>57</v>
      </c>
      <c r="F23" s="15">
        <f ca="1">INDIRECT("'("&amp;$A$4&amp;")'!g19")</f>
        <v>176</v>
      </c>
      <c r="G23" s="4"/>
      <c r="I23" s="12"/>
      <c r="J23" s="12"/>
      <c r="L23" s="12"/>
      <c r="M23" s="12"/>
      <c r="O23" s="14"/>
      <c r="P23" s="14"/>
      <c r="Q23" s="14"/>
      <c r="R23" s="14"/>
      <c r="S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5" customFormat="1" ht="15" customHeight="1" x14ac:dyDescent="0.35">
      <c r="A24" s="4" t="s">
        <v>25</v>
      </c>
      <c r="B24" s="15">
        <f ca="1">INDIRECT("'("&amp;$A$4&amp;")'!C20")</f>
        <v>18</v>
      </c>
      <c r="C24" s="15">
        <f ca="1">INDIRECT("'("&amp;$A$4&amp;")'!d20")</f>
        <v>34</v>
      </c>
      <c r="D24" s="15">
        <f ca="1">INDIRECT("'("&amp;$A$4&amp;")'!e20")</f>
        <v>2</v>
      </c>
      <c r="E24" s="15">
        <f ca="1">INDIRECT("'("&amp;$A$4&amp;")'!f20")</f>
        <v>6</v>
      </c>
      <c r="F24" s="15">
        <f ca="1">INDIRECT("'("&amp;$A$4&amp;")'!g20")</f>
        <v>60</v>
      </c>
      <c r="G24" s="4"/>
      <c r="I24" s="12"/>
      <c r="J24" s="12"/>
      <c r="L24" s="12"/>
      <c r="M24" s="12"/>
      <c r="O24" s="14"/>
      <c r="P24" s="14"/>
      <c r="Q24" s="14"/>
      <c r="R24" s="14"/>
      <c r="S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5" customFormat="1" ht="15" customHeight="1" x14ac:dyDescent="0.35">
      <c r="A25" s="4" t="s">
        <v>28</v>
      </c>
      <c r="B25" s="15">
        <f ca="1">INDIRECT("'("&amp;$A$4&amp;")'!C21")</f>
        <v>91</v>
      </c>
      <c r="C25" s="15">
        <f ca="1">INDIRECT("'("&amp;$A$4&amp;")'!d21")</f>
        <v>92</v>
      </c>
      <c r="D25" s="15">
        <f ca="1">INDIRECT("'("&amp;$A$4&amp;")'!e21")</f>
        <v>3</v>
      </c>
      <c r="E25" s="15">
        <f ca="1">INDIRECT("'("&amp;$A$4&amp;")'!f21")</f>
        <v>44</v>
      </c>
      <c r="F25" s="15">
        <f ca="1">INDIRECT("'("&amp;$A$4&amp;")'!g21")</f>
        <v>230</v>
      </c>
      <c r="G25" s="4"/>
      <c r="I25" s="12"/>
      <c r="J25" s="12"/>
      <c r="L25" s="12"/>
      <c r="M25" s="12"/>
      <c r="O25" s="14"/>
      <c r="P25" s="14"/>
      <c r="Q25" s="14"/>
      <c r="R25" s="14"/>
      <c r="S25" s="14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5" customFormat="1" ht="15" customHeight="1" x14ac:dyDescent="0.35">
      <c r="A26" s="4" t="s">
        <v>29</v>
      </c>
      <c r="B26" s="15">
        <f ca="1">INDIRECT("'("&amp;$A$4&amp;")'!C22")</f>
        <v>30</v>
      </c>
      <c r="C26" s="15">
        <f ca="1">INDIRECT("'("&amp;$A$4&amp;")'!d22")</f>
        <v>62</v>
      </c>
      <c r="D26" s="15">
        <f ca="1">INDIRECT("'("&amp;$A$4&amp;")'!e22")</f>
        <v>2</v>
      </c>
      <c r="E26" s="15">
        <f ca="1">INDIRECT("'("&amp;$A$4&amp;")'!f22")</f>
        <v>26</v>
      </c>
      <c r="F26" s="15">
        <f ca="1">INDIRECT("'("&amp;$A$4&amp;")'!g22")</f>
        <v>120</v>
      </c>
      <c r="G26" s="4"/>
      <c r="I26" s="12"/>
      <c r="J26" s="12"/>
      <c r="L26" s="12"/>
      <c r="M26" s="12"/>
      <c r="O26" s="14"/>
      <c r="P26" s="14"/>
      <c r="Q26" s="14"/>
      <c r="R26" s="14"/>
      <c r="S26" s="1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5" customFormat="1" ht="15" customHeight="1" x14ac:dyDescent="0.35">
      <c r="A27" s="4" t="s">
        <v>30</v>
      </c>
      <c r="B27" s="15">
        <f ca="1">INDIRECT("'("&amp;$A$4&amp;")'!C23")</f>
        <v>50</v>
      </c>
      <c r="C27" s="15">
        <f ca="1">INDIRECT("'("&amp;$A$4&amp;")'!d23")</f>
        <v>40</v>
      </c>
      <c r="D27" s="15">
        <f ca="1">INDIRECT("'("&amp;$A$4&amp;")'!e23")</f>
        <v>4</v>
      </c>
      <c r="E27" s="15">
        <f ca="1">INDIRECT("'("&amp;$A$4&amp;")'!f23")</f>
        <v>28</v>
      </c>
      <c r="F27" s="15">
        <f ca="1">INDIRECT("'("&amp;$A$4&amp;")'!g23")</f>
        <v>122</v>
      </c>
      <c r="G27" s="4"/>
      <c r="I27" s="12"/>
      <c r="J27" s="12"/>
      <c r="L27" s="12"/>
      <c r="M27" s="12"/>
      <c r="O27" s="14"/>
      <c r="P27" s="14"/>
      <c r="Q27" s="14"/>
      <c r="R27" s="14"/>
      <c r="S27" s="14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s="5" customFormat="1" ht="15" customHeight="1" x14ac:dyDescent="0.35">
      <c r="A28" s="4" t="s">
        <v>31</v>
      </c>
      <c r="B28" s="15">
        <f ca="1">INDIRECT("'("&amp;$A$4&amp;")'!C24")</f>
        <v>33</v>
      </c>
      <c r="C28" s="15">
        <f ca="1">INDIRECT("'("&amp;$A$4&amp;")'!d24")</f>
        <v>25</v>
      </c>
      <c r="D28" s="15">
        <f ca="1">INDIRECT("'("&amp;$A$4&amp;")'!e24")</f>
        <v>2</v>
      </c>
      <c r="E28" s="15">
        <f ca="1">INDIRECT("'("&amp;$A$4&amp;")'!f24")</f>
        <v>12</v>
      </c>
      <c r="F28" s="15">
        <f ca="1">INDIRECT("'("&amp;$A$4&amp;")'!g24")</f>
        <v>72</v>
      </c>
      <c r="G28" s="4"/>
      <c r="I28" s="12"/>
      <c r="J28" s="12"/>
      <c r="L28" s="12"/>
      <c r="M28" s="12"/>
      <c r="O28" s="14"/>
      <c r="P28" s="14"/>
      <c r="Q28" s="14"/>
      <c r="R28" s="14"/>
      <c r="S28" s="1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s="5" customFormat="1" ht="15" customHeight="1" x14ac:dyDescent="0.35">
      <c r="A29" s="4" t="s">
        <v>32</v>
      </c>
      <c r="B29" s="15">
        <f ca="1">INDIRECT("'("&amp;$A$4&amp;")'!C25")</f>
        <v>6</v>
      </c>
      <c r="C29" s="15">
        <f ca="1">INDIRECT("'("&amp;$A$4&amp;")'!d25")</f>
        <v>7</v>
      </c>
      <c r="D29" s="15">
        <f ca="1">INDIRECT("'("&amp;$A$4&amp;")'!e25")</f>
        <v>0</v>
      </c>
      <c r="E29" s="15">
        <f ca="1">INDIRECT("'("&amp;$A$4&amp;")'!f25")</f>
        <v>4</v>
      </c>
      <c r="F29" s="15">
        <f ca="1">INDIRECT("'("&amp;$A$4&amp;")'!g25")</f>
        <v>17</v>
      </c>
      <c r="G29" s="4"/>
      <c r="I29" s="12"/>
      <c r="J29" s="12"/>
      <c r="L29" s="12"/>
      <c r="M29" s="12"/>
      <c r="O29" s="14"/>
      <c r="P29" s="14"/>
      <c r="Q29" s="14"/>
      <c r="R29" s="14"/>
      <c r="S29" s="14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5" customFormat="1" ht="15" customHeight="1" x14ac:dyDescent="0.35">
      <c r="A30" s="5" t="s">
        <v>34</v>
      </c>
      <c r="B30" s="15">
        <f ca="1">INDIRECT("'("&amp;$A$4&amp;")'!C26")</f>
        <v>53</v>
      </c>
      <c r="C30" s="15">
        <f ca="1">INDIRECT("'("&amp;$A$4&amp;")'!d26")</f>
        <v>53</v>
      </c>
      <c r="D30" s="15">
        <f ca="1">INDIRECT("'("&amp;$A$4&amp;")'!e26")</f>
        <v>1</v>
      </c>
      <c r="E30" s="15">
        <f ca="1">INDIRECT("'("&amp;$A$4&amp;")'!f26")</f>
        <v>25</v>
      </c>
      <c r="F30" s="15">
        <f ca="1">INDIRECT("'("&amp;$A$4&amp;")'!g26")</f>
        <v>132</v>
      </c>
      <c r="G30" s="4"/>
      <c r="I30" s="12"/>
      <c r="J30" s="12"/>
      <c r="L30" s="12"/>
      <c r="M30" s="12"/>
      <c r="O30" s="14"/>
      <c r="P30" s="14"/>
      <c r="Q30" s="14"/>
      <c r="R30" s="14"/>
      <c r="S30" s="14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s="5" customFormat="1" ht="15" customHeight="1" x14ac:dyDescent="0.35">
      <c r="A31" s="5" t="s">
        <v>35</v>
      </c>
      <c r="B31" s="15">
        <f ca="1">INDIRECT("'("&amp;$A$4&amp;")'!C27")</f>
        <v>49</v>
      </c>
      <c r="C31" s="15">
        <f ca="1">INDIRECT("'("&amp;$A$4&amp;")'!d27")</f>
        <v>66</v>
      </c>
      <c r="D31" s="15">
        <f ca="1">INDIRECT("'("&amp;$A$4&amp;")'!e27")</f>
        <v>0</v>
      </c>
      <c r="E31" s="15">
        <f ca="1">INDIRECT("'("&amp;$A$4&amp;")'!f27")</f>
        <v>24</v>
      </c>
      <c r="F31" s="15">
        <f ca="1">INDIRECT("'("&amp;$A$4&amp;")'!g27")</f>
        <v>139</v>
      </c>
      <c r="G31" s="4"/>
      <c r="I31" s="12"/>
      <c r="J31" s="12"/>
      <c r="L31" s="12"/>
      <c r="M31" s="12"/>
      <c r="O31" s="14"/>
      <c r="P31" s="14"/>
      <c r="Q31" s="14"/>
      <c r="R31" s="14"/>
      <c r="S31" s="14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5" customFormat="1" ht="15" customHeight="1" x14ac:dyDescent="0.35">
      <c r="A32" s="4" t="s">
        <v>36</v>
      </c>
      <c r="B32" s="15">
        <f ca="1">INDIRECT("'("&amp;$A$4&amp;")'!C28")</f>
        <v>40</v>
      </c>
      <c r="C32" s="15">
        <f ca="1">INDIRECT("'("&amp;$A$4&amp;")'!d28")</f>
        <v>35</v>
      </c>
      <c r="D32" s="15">
        <f ca="1">INDIRECT("'("&amp;$A$4&amp;")'!e28")</f>
        <v>0</v>
      </c>
      <c r="E32" s="15">
        <f ca="1">INDIRECT("'("&amp;$A$4&amp;")'!f28")</f>
        <v>22</v>
      </c>
      <c r="F32" s="15">
        <f ca="1">INDIRECT("'("&amp;$A$4&amp;")'!g28")</f>
        <v>97</v>
      </c>
      <c r="G32" s="4"/>
      <c r="I32" s="12"/>
      <c r="J32" s="12"/>
      <c r="L32" s="12"/>
      <c r="M32" s="12"/>
      <c r="O32" s="14"/>
      <c r="P32" s="14"/>
      <c r="Q32" s="14"/>
      <c r="R32" s="14"/>
      <c r="S32" s="14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5" customFormat="1" ht="15" customHeight="1" x14ac:dyDescent="0.35">
      <c r="A33" s="5" t="s">
        <v>37</v>
      </c>
      <c r="B33" s="15">
        <f ca="1">INDIRECT("'("&amp;$A$4&amp;")'!C29")</f>
        <v>17</v>
      </c>
      <c r="C33" s="15">
        <f ca="1">INDIRECT("'("&amp;$A$4&amp;")'!d29")</f>
        <v>57</v>
      </c>
      <c r="D33" s="15">
        <f ca="1">INDIRECT("'("&amp;$A$4&amp;")'!e29")</f>
        <v>2</v>
      </c>
      <c r="E33" s="15">
        <f ca="1">INDIRECT("'("&amp;$A$4&amp;")'!f29")</f>
        <v>3</v>
      </c>
      <c r="F33" s="15">
        <f ca="1">INDIRECT("'("&amp;$A$4&amp;")'!g29")</f>
        <v>79</v>
      </c>
      <c r="G33" s="4"/>
      <c r="I33" s="12"/>
      <c r="J33" s="12"/>
      <c r="L33" s="12"/>
      <c r="M33" s="12"/>
      <c r="O33" s="14"/>
      <c r="P33" s="14"/>
      <c r="Q33" s="14"/>
      <c r="R33" s="14"/>
      <c r="S33" s="14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5" customFormat="1" ht="15" customHeight="1" x14ac:dyDescent="0.35">
      <c r="A34" s="5" t="s">
        <v>39</v>
      </c>
      <c r="B34" s="15">
        <f ca="1">INDIRECT("'("&amp;$A$4&amp;")'!C30")</f>
        <v>21</v>
      </c>
      <c r="C34" s="15">
        <f ca="1">INDIRECT("'("&amp;$A$4&amp;")'!d30")</f>
        <v>43</v>
      </c>
      <c r="D34" s="15">
        <f ca="1">INDIRECT("'("&amp;$A$4&amp;")'!e30")</f>
        <v>1</v>
      </c>
      <c r="E34" s="15">
        <f ca="1">INDIRECT("'("&amp;$A$4&amp;")'!f30")</f>
        <v>13</v>
      </c>
      <c r="F34" s="15">
        <f ca="1">INDIRECT("'("&amp;$A$4&amp;")'!g30")</f>
        <v>78</v>
      </c>
      <c r="G34" s="4"/>
      <c r="I34" s="12"/>
      <c r="J34" s="12"/>
      <c r="L34" s="12"/>
      <c r="M34" s="12"/>
      <c r="O34" s="14"/>
      <c r="P34" s="14"/>
      <c r="Q34" s="14"/>
      <c r="R34" s="14"/>
      <c r="S34" s="1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5" customFormat="1" ht="15" customHeight="1" x14ac:dyDescent="0.35">
      <c r="A35" s="4" t="s">
        <v>40</v>
      </c>
      <c r="B35" s="15">
        <f ca="1">INDIRECT("'("&amp;$A$4&amp;")'!C31")</f>
        <v>0</v>
      </c>
      <c r="C35" s="15">
        <f ca="1">INDIRECT("'("&amp;$A$4&amp;")'!d31")</f>
        <v>0</v>
      </c>
      <c r="D35" s="15">
        <f ca="1">INDIRECT("'("&amp;$A$4&amp;")'!e31")</f>
        <v>10</v>
      </c>
      <c r="E35" s="15">
        <f ca="1">INDIRECT("'("&amp;$A$4&amp;")'!f31")</f>
        <v>0</v>
      </c>
      <c r="F35" s="15">
        <f ca="1">INDIRECT("'("&amp;$A$4&amp;")'!g31")</f>
        <v>10</v>
      </c>
      <c r="G35" s="4"/>
      <c r="I35" s="12"/>
      <c r="J35" s="12"/>
      <c r="L35" s="12"/>
      <c r="M35" s="12"/>
      <c r="O35" s="14"/>
      <c r="P35" s="14"/>
      <c r="Q35" s="14"/>
      <c r="R35" s="14"/>
      <c r="S35" s="1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5" customFormat="1" ht="15" customHeight="1" x14ac:dyDescent="0.35">
      <c r="A36" s="5" t="s">
        <v>41</v>
      </c>
      <c r="B36" s="15">
        <f ca="1">INDIRECT("'("&amp;$A$4&amp;")'!C32")</f>
        <v>25</v>
      </c>
      <c r="C36" s="15">
        <f ca="1">INDIRECT("'("&amp;$A$4&amp;")'!d32")</f>
        <v>55</v>
      </c>
      <c r="D36" s="15">
        <f ca="1">INDIRECT("'("&amp;$A$4&amp;")'!e32")</f>
        <v>2</v>
      </c>
      <c r="E36" s="15">
        <f ca="1">INDIRECT("'("&amp;$A$4&amp;")'!f32")</f>
        <v>15</v>
      </c>
      <c r="F36" s="15">
        <f ca="1">INDIRECT("'("&amp;$A$4&amp;")'!g32")</f>
        <v>97</v>
      </c>
      <c r="G36" s="4"/>
      <c r="I36" s="12"/>
      <c r="J36" s="12"/>
      <c r="L36" s="12"/>
      <c r="M36" s="12"/>
      <c r="O36" s="14"/>
      <c r="P36" s="14"/>
      <c r="Q36" s="14"/>
      <c r="R36" s="14"/>
      <c r="S36" s="1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5" customFormat="1" ht="15" customHeight="1" x14ac:dyDescent="0.35">
      <c r="A37" s="5" t="s">
        <v>42</v>
      </c>
      <c r="B37" s="15">
        <f ca="1">INDIRECT("'("&amp;$A$4&amp;")'!C33")</f>
        <v>16</v>
      </c>
      <c r="C37" s="15">
        <f ca="1">INDIRECT("'("&amp;$A$4&amp;")'!d33")</f>
        <v>31</v>
      </c>
      <c r="D37" s="15">
        <f ca="1">INDIRECT("'("&amp;$A$4&amp;")'!e33")</f>
        <v>2</v>
      </c>
      <c r="E37" s="15">
        <f ca="1">INDIRECT("'("&amp;$A$4&amp;")'!f33")</f>
        <v>6</v>
      </c>
      <c r="F37" s="15">
        <f ca="1">INDIRECT("'("&amp;$A$4&amp;")'!g33")</f>
        <v>55</v>
      </c>
      <c r="G37" s="4"/>
      <c r="I37" s="12"/>
      <c r="J37" s="12"/>
      <c r="L37" s="12"/>
      <c r="M37" s="12"/>
      <c r="O37" s="14"/>
      <c r="P37" s="14"/>
      <c r="Q37" s="14"/>
      <c r="R37" s="14"/>
      <c r="S37" s="1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5" customFormat="1" ht="15" customHeight="1" x14ac:dyDescent="0.35">
      <c r="A38" s="5" t="s">
        <v>43</v>
      </c>
      <c r="B38" s="15">
        <f ca="1">INDIRECT("'("&amp;$A$4&amp;")'!C34")</f>
        <v>13</v>
      </c>
      <c r="C38" s="15">
        <f ca="1">INDIRECT("'("&amp;$A$4&amp;")'!d34")</f>
        <v>16</v>
      </c>
      <c r="D38" s="15">
        <f ca="1">INDIRECT("'("&amp;$A$4&amp;")'!e34")</f>
        <v>0</v>
      </c>
      <c r="E38" s="15">
        <f ca="1">INDIRECT("'("&amp;$A$4&amp;")'!f34")</f>
        <v>0</v>
      </c>
      <c r="F38" s="15">
        <f ca="1">INDIRECT("'("&amp;$A$4&amp;")'!g34")</f>
        <v>29</v>
      </c>
      <c r="G38" s="4"/>
      <c r="I38" s="12"/>
      <c r="J38" s="12"/>
      <c r="L38" s="12"/>
      <c r="M38" s="12"/>
      <c r="O38" s="14"/>
      <c r="P38" s="14"/>
      <c r="Q38" s="14"/>
      <c r="R38" s="14"/>
      <c r="S38" s="1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5" customFormat="1" ht="15" customHeight="1" x14ac:dyDescent="0.35">
      <c r="A39" s="4" t="s">
        <v>44</v>
      </c>
      <c r="B39" s="15">
        <f ca="1">INDIRECT("'("&amp;$A$4&amp;")'!C35")</f>
        <v>37</v>
      </c>
      <c r="C39" s="15">
        <f ca="1">INDIRECT("'("&amp;$A$4&amp;")'!d35")</f>
        <v>29</v>
      </c>
      <c r="D39" s="15">
        <f ca="1">INDIRECT("'("&amp;$A$4&amp;")'!e35")</f>
        <v>1</v>
      </c>
      <c r="E39" s="15">
        <f ca="1">INDIRECT("'("&amp;$A$4&amp;")'!f35")</f>
        <v>16</v>
      </c>
      <c r="F39" s="15">
        <f ca="1">INDIRECT("'("&amp;$A$4&amp;")'!g35")</f>
        <v>83</v>
      </c>
      <c r="G39" s="4"/>
      <c r="I39" s="12"/>
      <c r="J39" s="12"/>
      <c r="L39" s="12"/>
      <c r="M39" s="12"/>
      <c r="O39" s="14"/>
      <c r="P39" s="14"/>
      <c r="Q39" s="14"/>
      <c r="R39" s="14"/>
      <c r="S39" s="1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5" customFormat="1" ht="15" customHeight="1" x14ac:dyDescent="0.35">
      <c r="A40" s="4" t="s">
        <v>45</v>
      </c>
      <c r="B40" s="15">
        <f ca="1">INDIRECT("'("&amp;$A$4&amp;")'!C36")</f>
        <v>10</v>
      </c>
      <c r="C40" s="15">
        <f ca="1">INDIRECT("'("&amp;$A$4&amp;")'!d36")</f>
        <v>49</v>
      </c>
      <c r="D40" s="15">
        <f ca="1">INDIRECT("'("&amp;$A$4&amp;")'!e36")</f>
        <v>0</v>
      </c>
      <c r="E40" s="15">
        <f ca="1">INDIRECT("'("&amp;$A$4&amp;")'!f36")</f>
        <v>9</v>
      </c>
      <c r="F40" s="15">
        <f ca="1">INDIRECT("'("&amp;$A$4&amp;")'!g36")</f>
        <v>68</v>
      </c>
      <c r="G40" s="4"/>
      <c r="I40" s="12"/>
      <c r="J40" s="12"/>
      <c r="L40" s="12"/>
      <c r="M40" s="12"/>
      <c r="O40" s="14"/>
      <c r="P40" s="14"/>
      <c r="Q40" s="14"/>
      <c r="R40" s="14"/>
      <c r="S40" s="1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s="5" customFormat="1" ht="15" customHeight="1" x14ac:dyDescent="0.35">
      <c r="A41" s="4" t="s">
        <v>46</v>
      </c>
      <c r="B41" s="15">
        <f ca="1">INDIRECT("'("&amp;$A$4&amp;")'!C37")</f>
        <v>4</v>
      </c>
      <c r="C41" s="15">
        <f ca="1">INDIRECT("'("&amp;$A$4&amp;")'!d37")</f>
        <v>28</v>
      </c>
      <c r="D41" s="15">
        <f ca="1">INDIRECT("'("&amp;$A$4&amp;")'!e37")</f>
        <v>2</v>
      </c>
      <c r="E41" s="15">
        <f ca="1">INDIRECT("'("&amp;$A$4&amp;")'!f37")</f>
        <v>10</v>
      </c>
      <c r="F41" s="15">
        <f ca="1">INDIRECT("'("&amp;$A$4&amp;")'!g37")</f>
        <v>44</v>
      </c>
      <c r="G41" s="4"/>
      <c r="I41" s="12"/>
      <c r="J41" s="12"/>
      <c r="L41" s="12"/>
      <c r="M41" s="12"/>
      <c r="O41" s="14"/>
      <c r="P41" s="14"/>
      <c r="Q41" s="14"/>
      <c r="R41" s="14"/>
      <c r="S41" s="1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s="5" customFormat="1" ht="15" customHeight="1" x14ac:dyDescent="0.35">
      <c r="A42" s="4" t="s">
        <v>48</v>
      </c>
      <c r="B42" s="15">
        <f ca="1">INDIRECT("'("&amp;$A$4&amp;")'!C38")</f>
        <v>16</v>
      </c>
      <c r="C42" s="15">
        <f ca="1">INDIRECT("'("&amp;$A$4&amp;")'!d38")</f>
        <v>37</v>
      </c>
      <c r="D42" s="15">
        <f ca="1">INDIRECT("'("&amp;$A$4&amp;")'!e38")</f>
        <v>0</v>
      </c>
      <c r="E42" s="15">
        <f ca="1">INDIRECT("'("&amp;$A$4&amp;")'!f38")</f>
        <v>35</v>
      </c>
      <c r="F42" s="15">
        <f ca="1">INDIRECT("'("&amp;$A$4&amp;")'!g38")</f>
        <v>88</v>
      </c>
      <c r="G42" s="4"/>
      <c r="I42" s="12"/>
      <c r="J42" s="12"/>
      <c r="L42" s="12"/>
      <c r="M42" s="12"/>
      <c r="O42" s="14"/>
      <c r="P42" s="14"/>
      <c r="Q42" s="14"/>
      <c r="R42" s="14"/>
      <c r="S42" s="1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s="5" customFormat="1" ht="15" customHeight="1" x14ac:dyDescent="0.35">
      <c r="A43" s="4" t="s">
        <v>49</v>
      </c>
      <c r="B43" s="15">
        <f ca="1">INDIRECT("'("&amp;$A$4&amp;")'!C39")</f>
        <v>16</v>
      </c>
      <c r="C43" s="15">
        <f ca="1">INDIRECT("'("&amp;$A$4&amp;")'!d39")</f>
        <v>44</v>
      </c>
      <c r="D43" s="15">
        <f ca="1">INDIRECT("'("&amp;$A$4&amp;")'!e39")</f>
        <v>0</v>
      </c>
      <c r="E43" s="15">
        <f ca="1">INDIRECT("'("&amp;$A$4&amp;")'!f39")</f>
        <v>9</v>
      </c>
      <c r="F43" s="15">
        <f ca="1">INDIRECT("'("&amp;$A$4&amp;")'!g39")</f>
        <v>69</v>
      </c>
      <c r="G43" s="4"/>
      <c r="I43" s="12"/>
      <c r="J43" s="12"/>
      <c r="L43" s="12"/>
      <c r="M43" s="12"/>
      <c r="O43" s="14"/>
      <c r="P43" s="14"/>
      <c r="Q43" s="14"/>
      <c r="R43" s="14"/>
      <c r="S43" s="1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s="5" customFormat="1" ht="15" customHeight="1" x14ac:dyDescent="0.35">
      <c r="A44" s="4" t="s">
        <v>50</v>
      </c>
      <c r="B44" s="15">
        <f ca="1">INDIRECT("'("&amp;$A$4&amp;")'!C40")</f>
        <v>38</v>
      </c>
      <c r="C44" s="15">
        <f ca="1">INDIRECT("'("&amp;$A$4&amp;")'!d40")</f>
        <v>7</v>
      </c>
      <c r="D44" s="15">
        <f ca="1">INDIRECT("'("&amp;$A$4&amp;")'!e40")</f>
        <v>4</v>
      </c>
      <c r="E44" s="15">
        <f ca="1">INDIRECT("'("&amp;$A$4&amp;")'!f40")</f>
        <v>15</v>
      </c>
      <c r="F44" s="15">
        <f ca="1">INDIRECT("'("&amp;$A$4&amp;")'!g40")</f>
        <v>64</v>
      </c>
      <c r="G44" s="4"/>
      <c r="I44" s="12"/>
      <c r="J44" s="12"/>
      <c r="L44" s="12"/>
      <c r="M44" s="12"/>
      <c r="O44" s="14"/>
      <c r="P44" s="14"/>
      <c r="Q44" s="14"/>
      <c r="R44" s="14"/>
      <c r="S44" s="1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s="5" customFormat="1" ht="15" customHeight="1" x14ac:dyDescent="0.35">
      <c r="A45" s="4" t="s">
        <v>52</v>
      </c>
      <c r="B45" s="15">
        <f ca="1">INDIRECT("'("&amp;$A$4&amp;")'!C41")</f>
        <v>15</v>
      </c>
      <c r="C45" s="15">
        <f ca="1">INDIRECT("'("&amp;$A$4&amp;")'!d41")</f>
        <v>18</v>
      </c>
      <c r="D45" s="15">
        <f ca="1">INDIRECT("'("&amp;$A$4&amp;")'!e41")</f>
        <v>0</v>
      </c>
      <c r="E45" s="15">
        <f ca="1">INDIRECT("'("&amp;$A$4&amp;")'!f41")</f>
        <v>12</v>
      </c>
      <c r="F45" s="15">
        <f ca="1">INDIRECT("'("&amp;$A$4&amp;")'!g41")</f>
        <v>45</v>
      </c>
      <c r="G45" s="4"/>
      <c r="I45" s="12"/>
      <c r="J45" s="12"/>
      <c r="L45" s="12"/>
      <c r="M45" s="12"/>
      <c r="O45" s="14"/>
      <c r="P45" s="14"/>
      <c r="Q45" s="14"/>
      <c r="R45" s="14"/>
      <c r="S45" s="1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s="5" customFormat="1" ht="15" customHeight="1" x14ac:dyDescent="0.35">
      <c r="A46" s="4" t="s">
        <v>54</v>
      </c>
      <c r="B46" s="15">
        <f ca="1">INDIRECT("'("&amp;$A$4&amp;")'!C42")</f>
        <v>19</v>
      </c>
      <c r="C46" s="15">
        <f ca="1">INDIRECT("'("&amp;$A$4&amp;")'!d42")</f>
        <v>30</v>
      </c>
      <c r="D46" s="15">
        <f ca="1">INDIRECT("'("&amp;$A$4&amp;")'!e42")</f>
        <v>0</v>
      </c>
      <c r="E46" s="15">
        <f ca="1">INDIRECT("'("&amp;$A$4&amp;")'!f42")</f>
        <v>24</v>
      </c>
      <c r="F46" s="15">
        <f ca="1">INDIRECT("'("&amp;$A$4&amp;")'!g42")</f>
        <v>73</v>
      </c>
      <c r="G46" s="4"/>
      <c r="I46" s="12"/>
      <c r="J46" s="12"/>
      <c r="L46" s="12"/>
      <c r="M46" s="12"/>
      <c r="O46" s="14"/>
      <c r="P46" s="14"/>
      <c r="Q46" s="14"/>
      <c r="R46" s="14"/>
      <c r="S46" s="1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s="5" customFormat="1" ht="15" customHeight="1" x14ac:dyDescent="0.35">
      <c r="A47" s="4" t="s">
        <v>33</v>
      </c>
      <c r="B47" s="15">
        <f ca="1">INDIRECT("'("&amp;$A$4&amp;")'!C43")</f>
        <v>0</v>
      </c>
      <c r="C47" s="15">
        <f ca="1">INDIRECT("'("&amp;$A$4&amp;")'!d43")</f>
        <v>7</v>
      </c>
      <c r="D47" s="15">
        <f ca="1">INDIRECT("'("&amp;$A$4&amp;")'!e43")</f>
        <v>0</v>
      </c>
      <c r="E47" s="15">
        <f ca="1">INDIRECT("'("&amp;$A$4&amp;")'!f43")</f>
        <v>1</v>
      </c>
      <c r="F47" s="15">
        <f ca="1">INDIRECT("'("&amp;$A$4&amp;")'!g43")</f>
        <v>8</v>
      </c>
      <c r="G47" s="4"/>
      <c r="I47" s="12"/>
      <c r="J47" s="12"/>
      <c r="L47" s="12"/>
      <c r="M47" s="12"/>
      <c r="O47" s="14"/>
      <c r="P47" s="14"/>
      <c r="Q47" s="14"/>
      <c r="R47" s="14"/>
      <c r="S47" s="1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s="5" customFormat="1" ht="15" customHeight="1" x14ac:dyDescent="0.35">
      <c r="A48" s="52" t="s">
        <v>8</v>
      </c>
      <c r="B48" s="16">
        <f ca="1">INDIRECT("'("&amp;$A$4&amp;")'!C44")</f>
        <v>691</v>
      </c>
      <c r="C48" s="16">
        <f ca="1">INDIRECT("'("&amp;$A$4&amp;")'!d44")</f>
        <v>44</v>
      </c>
      <c r="D48" s="16">
        <f ca="1">INDIRECT("'("&amp;$A$4&amp;")'!e44")</f>
        <v>28</v>
      </c>
      <c r="E48" s="16">
        <f ca="1">INDIRECT("'("&amp;$A$4&amp;")'!f44")</f>
        <v>296</v>
      </c>
      <c r="F48" s="16">
        <f ca="1">INDIRECT("'("&amp;$A$4&amp;")'!g44")</f>
        <v>1059</v>
      </c>
      <c r="G48" s="4"/>
      <c r="I48" s="12"/>
      <c r="J48" s="12"/>
      <c r="L48" s="12"/>
      <c r="M48" s="12"/>
      <c r="O48" s="14"/>
      <c r="P48" s="14"/>
      <c r="Q48" s="14"/>
      <c r="R48" s="14"/>
      <c r="S48" s="1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s="5" customFormat="1" ht="15" customHeight="1" x14ac:dyDescent="0.35">
      <c r="A49" s="4" t="s">
        <v>27</v>
      </c>
      <c r="B49" s="104">
        <f ca="1">INDIRECT("'("&amp;$A$4&amp;")'!C45")</f>
        <v>92</v>
      </c>
      <c r="C49" s="104">
        <f ca="1">INDIRECT("'("&amp;$A$4&amp;")'!d45")</f>
        <v>2</v>
      </c>
      <c r="D49" s="104">
        <f ca="1">INDIRECT("'("&amp;$A$4&amp;")'!e45")</f>
        <v>0</v>
      </c>
      <c r="E49" s="104">
        <f ca="1">INDIRECT("'("&amp;$A$4&amp;")'!f45")</f>
        <v>64</v>
      </c>
      <c r="F49" s="104">
        <f ca="1">INDIRECT("'("&amp;$A$4&amp;")'!g45")</f>
        <v>158</v>
      </c>
      <c r="G49" s="4"/>
      <c r="I49" s="12"/>
      <c r="J49" s="12"/>
      <c r="L49" s="12"/>
      <c r="M49" s="12"/>
      <c r="O49" s="14"/>
      <c r="P49" s="14"/>
      <c r="Q49" s="14"/>
      <c r="R49" s="14"/>
      <c r="S49" s="1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s="5" customFormat="1" ht="15" customHeight="1" x14ac:dyDescent="0.35">
      <c r="A50" s="4" t="s">
        <v>38</v>
      </c>
      <c r="B50" s="15">
        <f ca="1">INDIRECT("'("&amp;$A$4&amp;")'!C46")</f>
        <v>72</v>
      </c>
      <c r="C50" s="15">
        <f ca="1">INDIRECT("'("&amp;$A$4&amp;")'!d46")</f>
        <v>10</v>
      </c>
      <c r="D50" s="15">
        <f ca="1">INDIRECT("'("&amp;$A$4&amp;")'!e46")</f>
        <v>5</v>
      </c>
      <c r="E50" s="15">
        <f ca="1">INDIRECT("'("&amp;$A$4&amp;")'!f46")</f>
        <v>35</v>
      </c>
      <c r="F50" s="15">
        <f ca="1">INDIRECT("'("&amp;$A$4&amp;")'!g46")</f>
        <v>122</v>
      </c>
      <c r="G50" s="4"/>
      <c r="I50" s="12"/>
      <c r="J50" s="12"/>
      <c r="L50" s="12"/>
      <c r="M50" s="12"/>
      <c r="O50" s="14"/>
      <c r="P50" s="14"/>
      <c r="Q50" s="14"/>
      <c r="R50" s="14"/>
      <c r="S50" s="1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s="5" customFormat="1" ht="15" customHeight="1" x14ac:dyDescent="0.35">
      <c r="A51" s="4" t="s">
        <v>47</v>
      </c>
      <c r="B51" s="15">
        <f ca="1">INDIRECT("'("&amp;$A$4&amp;")'!C47")</f>
        <v>47</v>
      </c>
      <c r="C51" s="15">
        <f ca="1">INDIRECT("'("&amp;$A$4&amp;")'!d47")</f>
        <v>14</v>
      </c>
      <c r="D51" s="15">
        <f ca="1">INDIRECT("'("&amp;$A$4&amp;")'!e47")</f>
        <v>1</v>
      </c>
      <c r="E51" s="15">
        <f ca="1">INDIRECT("'("&amp;$A$4&amp;")'!f47")</f>
        <v>27</v>
      </c>
      <c r="F51" s="15">
        <f ca="1">INDIRECT("'("&amp;$A$4&amp;")'!g47")</f>
        <v>89</v>
      </c>
      <c r="G51" s="4"/>
      <c r="I51" s="12"/>
      <c r="J51" s="12"/>
      <c r="L51" s="12"/>
      <c r="M51" s="12"/>
      <c r="O51" s="14"/>
      <c r="P51" s="14"/>
      <c r="Q51" s="14"/>
      <c r="R51" s="14"/>
      <c r="S51" s="1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s="5" customFormat="1" ht="15" customHeight="1" x14ac:dyDescent="0.35">
      <c r="A52" s="4" t="s">
        <v>51</v>
      </c>
      <c r="B52" s="15">
        <f ca="1">INDIRECT("'("&amp;$A$4&amp;")'!C48")</f>
        <v>47</v>
      </c>
      <c r="C52" s="15">
        <f ca="1">INDIRECT("'("&amp;$A$4&amp;")'!d48")</f>
        <v>0</v>
      </c>
      <c r="D52" s="15">
        <f ca="1">INDIRECT("'("&amp;$A$4&amp;")'!e48")</f>
        <v>1</v>
      </c>
      <c r="E52" s="15">
        <f ca="1">INDIRECT("'("&amp;$A$4&amp;")'!f48")</f>
        <v>19</v>
      </c>
      <c r="F52" s="15">
        <f ca="1">INDIRECT("'("&amp;$A$4&amp;")'!g48")</f>
        <v>67</v>
      </c>
      <c r="G52" s="4"/>
      <c r="I52" s="12"/>
      <c r="J52" s="12"/>
      <c r="L52" s="12"/>
      <c r="M52" s="12"/>
      <c r="O52" s="14"/>
      <c r="P52" s="14"/>
      <c r="Q52" s="14"/>
      <c r="R52" s="14"/>
      <c r="S52" s="1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s="5" customFormat="1" ht="15" customHeight="1" x14ac:dyDescent="0.35">
      <c r="A53" s="4" t="s">
        <v>53</v>
      </c>
      <c r="B53" s="15">
        <f ca="1">INDIRECT("'("&amp;$A$4&amp;")'!C49")</f>
        <v>103</v>
      </c>
      <c r="C53" s="15">
        <f ca="1">INDIRECT("'("&amp;$A$4&amp;")'!d49")</f>
        <v>0</v>
      </c>
      <c r="D53" s="15">
        <f ca="1">INDIRECT("'("&amp;$A$4&amp;")'!e49")</f>
        <v>3</v>
      </c>
      <c r="E53" s="15">
        <f ca="1">INDIRECT("'("&amp;$A$4&amp;")'!f49")</f>
        <v>38</v>
      </c>
      <c r="F53" s="15">
        <f ca="1">INDIRECT("'("&amp;$A$4&amp;")'!g49")</f>
        <v>144</v>
      </c>
      <c r="G53" s="4"/>
      <c r="I53" s="12"/>
      <c r="J53" s="12"/>
      <c r="L53" s="12"/>
      <c r="M53" s="12"/>
      <c r="O53" s="14"/>
      <c r="P53" s="14"/>
      <c r="Q53" s="14"/>
      <c r="R53" s="14"/>
      <c r="S53" s="1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s="5" customFormat="1" ht="15" customHeight="1" x14ac:dyDescent="0.35">
      <c r="A54" s="4" t="s">
        <v>55</v>
      </c>
      <c r="B54" s="15">
        <f ca="1">INDIRECT("'("&amp;$A$4&amp;")'!C50")</f>
        <v>77</v>
      </c>
      <c r="C54" s="15">
        <f ca="1">INDIRECT("'("&amp;$A$4&amp;")'!d50")</f>
        <v>18</v>
      </c>
      <c r="D54" s="15">
        <f ca="1">INDIRECT("'("&amp;$A$4&amp;")'!e50")</f>
        <v>4</v>
      </c>
      <c r="E54" s="15">
        <f ca="1">INDIRECT("'("&amp;$A$4&amp;")'!f50")</f>
        <v>39</v>
      </c>
      <c r="F54" s="15">
        <f ca="1">INDIRECT("'("&amp;$A$4&amp;")'!g50")</f>
        <v>138</v>
      </c>
      <c r="G54" s="4"/>
      <c r="I54" s="12"/>
      <c r="J54" s="12"/>
      <c r="K54" s="4"/>
      <c r="L54" s="12"/>
      <c r="M54" s="12"/>
      <c r="O54" s="14"/>
      <c r="P54" s="14"/>
      <c r="Q54" s="14"/>
      <c r="R54" s="14"/>
      <c r="S54" s="1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s="5" customFormat="1" ht="15" customHeight="1" thickBot="1" x14ac:dyDescent="0.4">
      <c r="A55" s="17" t="s">
        <v>26</v>
      </c>
      <c r="B55" s="15">
        <f ca="1">INDIRECT("'("&amp;$A$4&amp;")'!C51")</f>
        <v>253</v>
      </c>
      <c r="C55" s="15">
        <f ca="1">INDIRECT("'("&amp;$A$4&amp;")'!d51")</f>
        <v>0</v>
      </c>
      <c r="D55" s="15">
        <f ca="1">INDIRECT("'("&amp;$A$4&amp;")'!e51")</f>
        <v>14</v>
      </c>
      <c r="E55" s="15">
        <f ca="1">INDIRECT("'("&amp;$A$4&amp;")'!f51")</f>
        <v>74</v>
      </c>
      <c r="F55" s="15">
        <f ca="1">INDIRECT("'("&amp;$A$4&amp;")'!g51")</f>
        <v>341</v>
      </c>
      <c r="G55" s="4"/>
      <c r="I55" s="12"/>
      <c r="J55" s="12"/>
      <c r="K55" s="4"/>
      <c r="L55" s="12"/>
      <c r="M55" s="12"/>
      <c r="O55" s="14"/>
      <c r="P55" s="14"/>
      <c r="Q55" s="14"/>
      <c r="R55" s="14"/>
      <c r="S55" s="1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s="5" customFormat="1" ht="15" customHeight="1" x14ac:dyDescent="0.35">
      <c r="A56" s="4"/>
      <c r="B56" s="105"/>
      <c r="C56" s="105"/>
      <c r="D56" s="105"/>
      <c r="E56" s="105"/>
      <c r="F56" s="105"/>
      <c r="G56" s="4"/>
      <c r="I56" s="12"/>
      <c r="J56" s="12"/>
      <c r="K56" s="4"/>
      <c r="L56" s="12"/>
      <c r="M56" s="12"/>
      <c r="O56" s="14"/>
      <c r="P56" s="14"/>
      <c r="Q56" s="14"/>
      <c r="R56" s="14"/>
      <c r="S56" s="1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x14ac:dyDescent="0.35">
      <c r="A57" s="2"/>
      <c r="I57" s="12"/>
      <c r="J57" s="12"/>
      <c r="L57" s="12"/>
      <c r="M57" s="12"/>
      <c r="N57" s="12"/>
      <c r="O57" s="12"/>
      <c r="P57" s="12"/>
      <c r="Q57" s="12"/>
      <c r="R57" s="12"/>
      <c r="S57" s="12"/>
    </row>
    <row r="58" spans="1:31" s="5" customFormat="1" ht="15" customHeight="1" x14ac:dyDescent="0.35">
      <c r="A58" s="103"/>
      <c r="B58" s="2"/>
      <c r="C58" s="2"/>
      <c r="D58" s="2"/>
      <c r="E58" s="2"/>
      <c r="F58" s="2"/>
      <c r="G58" s="4"/>
      <c r="H58" s="4"/>
      <c r="I58" s="12"/>
      <c r="J58" s="12"/>
      <c r="K58" s="4"/>
      <c r="L58" s="12"/>
      <c r="M58" s="12"/>
      <c r="N58" s="12"/>
      <c r="O58" s="12"/>
      <c r="P58" s="12"/>
      <c r="Q58" s="12"/>
      <c r="R58" s="12"/>
      <c r="S58" s="12"/>
    </row>
    <row r="59" spans="1:31" s="5" customFormat="1" ht="15" customHeight="1" x14ac:dyDescent="0.35">
      <c r="A59" s="18"/>
      <c r="B59" s="103"/>
      <c r="C59" s="103"/>
      <c r="D59" s="103"/>
      <c r="E59" s="103"/>
      <c r="F59" s="103"/>
      <c r="G59" s="4"/>
      <c r="H59" s="4"/>
      <c r="I59" s="12"/>
      <c r="J59" s="12"/>
      <c r="K59" s="4"/>
      <c r="L59" s="12"/>
      <c r="M59" s="12"/>
      <c r="N59" s="12"/>
      <c r="O59" s="12"/>
      <c r="P59" s="12"/>
      <c r="Q59" s="12"/>
      <c r="R59" s="12"/>
      <c r="S59" s="12"/>
    </row>
    <row r="60" spans="1:31" s="5" customFormat="1" ht="15" customHeight="1" x14ac:dyDescent="0.35">
      <c r="A60" s="2"/>
      <c r="B60" s="4"/>
      <c r="C60" s="4"/>
      <c r="D60" s="4"/>
      <c r="E60" s="4"/>
      <c r="F60" s="4"/>
      <c r="G60" s="4"/>
      <c r="H60" s="4"/>
      <c r="I60" s="12"/>
      <c r="J60" s="12"/>
      <c r="K60" s="4"/>
      <c r="L60" s="12"/>
      <c r="M60" s="12"/>
      <c r="N60" s="12"/>
      <c r="O60" s="12"/>
      <c r="P60" s="12"/>
      <c r="Q60" s="12"/>
      <c r="R60" s="12"/>
      <c r="S60" s="12"/>
    </row>
    <row r="61" spans="1:31" s="5" customFormat="1" x14ac:dyDescent="0.35">
      <c r="A61" s="102"/>
      <c r="B61" s="2"/>
      <c r="C61" s="2"/>
      <c r="D61" s="2"/>
      <c r="E61" s="2"/>
      <c r="F61" s="2"/>
      <c r="G61" s="4"/>
      <c r="H61" s="4"/>
      <c r="I61" s="12"/>
      <c r="J61" s="12"/>
      <c r="K61" s="4"/>
      <c r="L61" s="12"/>
      <c r="M61" s="12"/>
      <c r="N61" s="12"/>
      <c r="O61" s="12"/>
      <c r="P61" s="12"/>
      <c r="Q61" s="12"/>
      <c r="R61" s="12"/>
      <c r="S61" s="12"/>
    </row>
    <row r="62" spans="1:31" s="5" customFormat="1" ht="15" customHeight="1" x14ac:dyDescent="0.35">
      <c r="A62" s="4"/>
      <c r="B62" s="102"/>
      <c r="C62" s="102"/>
      <c r="D62" s="102"/>
      <c r="E62" s="102"/>
      <c r="F62" s="102"/>
      <c r="G62" s="4"/>
      <c r="H62" s="4"/>
      <c r="I62" s="12"/>
      <c r="J62" s="12"/>
      <c r="K62" s="4"/>
      <c r="L62" s="12"/>
      <c r="M62" s="12"/>
      <c r="N62" s="12"/>
      <c r="O62" s="12"/>
      <c r="P62" s="12"/>
      <c r="Q62" s="12"/>
      <c r="R62" s="12"/>
      <c r="S62" s="12"/>
    </row>
    <row r="63" spans="1:31" s="5" customFormat="1" ht="15" customHeight="1" x14ac:dyDescent="0.35">
      <c r="A63" s="20"/>
      <c r="B63" s="2"/>
      <c r="C63" s="2"/>
      <c r="D63" s="2"/>
      <c r="E63" s="2"/>
      <c r="F63" s="2"/>
      <c r="K63" s="4"/>
    </row>
    <row r="64" spans="1:31" s="5" customFormat="1" ht="15" customHeight="1" x14ac:dyDescent="0.35">
      <c r="A64" s="20"/>
      <c r="B64" s="2"/>
      <c r="C64" s="2"/>
      <c r="D64" s="2"/>
      <c r="E64" s="2"/>
      <c r="F64" s="2"/>
      <c r="K64" s="4"/>
    </row>
    <row r="65" spans="1:11" s="5" customFormat="1" ht="15" customHeight="1" x14ac:dyDescent="0.35">
      <c r="A65" s="2"/>
      <c r="B65" s="2"/>
      <c r="C65" s="2"/>
      <c r="D65" s="2"/>
      <c r="E65" s="2"/>
      <c r="F65" s="2"/>
      <c r="K65" s="4"/>
    </row>
    <row r="66" spans="1:11" s="5" customFormat="1" x14ac:dyDescent="0.35">
      <c r="A66" s="4"/>
      <c r="B66" s="2"/>
      <c r="C66" s="2"/>
      <c r="D66" s="2"/>
      <c r="E66" s="2"/>
      <c r="F66" s="2"/>
      <c r="K66" s="4"/>
    </row>
    <row r="68" spans="1:11" s="5" customFormat="1" x14ac:dyDescent="0.35">
      <c r="A68" s="20"/>
      <c r="B68" s="4"/>
      <c r="C68" s="4"/>
      <c r="D68" s="4"/>
      <c r="E68" s="4"/>
      <c r="F68" s="21"/>
      <c r="K68" s="4"/>
    </row>
    <row r="69" spans="1:11" s="5" customFormat="1" x14ac:dyDescent="0.35">
      <c r="A69" s="4"/>
      <c r="B69" s="4"/>
      <c r="C69" s="4"/>
      <c r="D69" s="4"/>
      <c r="E69" s="4"/>
      <c r="F69" s="21"/>
      <c r="K69" s="4"/>
    </row>
    <row r="76" spans="1:11" x14ac:dyDescent="0.35">
      <c r="I76" s="4" t="s">
        <v>100</v>
      </c>
      <c r="J76" s="5"/>
    </row>
    <row r="77" spans="1:11" x14ac:dyDescent="0.35">
      <c r="I77" s="4" t="s">
        <v>76</v>
      </c>
    </row>
    <row r="78" spans="1:11" x14ac:dyDescent="0.35">
      <c r="I78" s="4" t="s">
        <v>77</v>
      </c>
    </row>
    <row r="79" spans="1:11" x14ac:dyDescent="0.35">
      <c r="I79" s="4" t="s">
        <v>78</v>
      </c>
    </row>
    <row r="80" spans="1:11" x14ac:dyDescent="0.35">
      <c r="I80" s="4" t="s">
        <v>79</v>
      </c>
    </row>
    <row r="81" spans="9:9" x14ac:dyDescent="0.35">
      <c r="I81" s="4" t="s">
        <v>72</v>
      </c>
    </row>
    <row r="82" spans="9:9" x14ac:dyDescent="0.35">
      <c r="I82" s="4" t="s">
        <v>57</v>
      </c>
    </row>
  </sheetData>
  <mergeCells count="3">
    <mergeCell ref="A1:F1"/>
    <mergeCell ref="A4:E4"/>
    <mergeCell ref="B5:E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2:F22"/>
  <sheetViews>
    <sheetView workbookViewId="0">
      <selection activeCell="A57" sqref="A57:F57"/>
    </sheetView>
  </sheetViews>
  <sheetFormatPr defaultRowHeight="14.5" x14ac:dyDescent="0.35"/>
  <sheetData>
    <row r="2" spans="1:6" x14ac:dyDescent="0.35">
      <c r="B2" s="107"/>
      <c r="C2" s="107"/>
    </row>
    <row r="5" spans="1:6" x14ac:dyDescent="0.35">
      <c r="B5" s="113"/>
      <c r="C5" s="113"/>
      <c r="D5" s="114"/>
      <c r="E5" s="113"/>
    </row>
    <row r="6" spans="1:6" x14ac:dyDescent="0.35">
      <c r="B6" s="113"/>
      <c r="C6" s="113"/>
      <c r="D6" s="114"/>
      <c r="E6" s="113"/>
    </row>
    <row r="7" spans="1:6" x14ac:dyDescent="0.35">
      <c r="B7" s="113"/>
      <c r="C7" s="113"/>
      <c r="D7" s="114"/>
      <c r="E7" s="113"/>
    </row>
    <row r="8" spans="1:6" x14ac:dyDescent="0.35">
      <c r="B8" s="113"/>
      <c r="C8" s="113"/>
      <c r="D8" s="114"/>
      <c r="E8" s="113"/>
    </row>
    <row r="9" spans="1:6" x14ac:dyDescent="0.35">
      <c r="B9" s="113"/>
      <c r="C9" s="113"/>
      <c r="D9" s="114"/>
      <c r="E9" s="113"/>
    </row>
    <row r="10" spans="1:6" x14ac:dyDescent="0.35">
      <c r="B10" s="113"/>
      <c r="C10" s="113"/>
      <c r="D10" s="114"/>
      <c r="E10" s="113"/>
    </row>
    <row r="11" spans="1:6" x14ac:dyDescent="0.35">
      <c r="B11" s="113"/>
      <c r="C11" s="113"/>
      <c r="D11" s="114"/>
      <c r="E11" s="113"/>
    </row>
    <row r="12" spans="1:6" x14ac:dyDescent="0.35">
      <c r="B12" s="113"/>
      <c r="C12" s="113"/>
      <c r="D12" s="114"/>
      <c r="E12" s="113"/>
    </row>
    <row r="13" spans="1:6" x14ac:dyDescent="0.35">
      <c r="A13">
        <v>2010</v>
      </c>
      <c r="B13" s="113" t="s">
        <v>100</v>
      </c>
      <c r="C13" s="114">
        <f>'(2009-10)'!G3</f>
        <v>3778</v>
      </c>
      <c r="D13" s="114">
        <v>55655</v>
      </c>
      <c r="E13" s="115">
        <f>C13/D13</f>
        <v>6.7882490342287299E-2</v>
      </c>
    </row>
    <row r="14" spans="1:6" x14ac:dyDescent="0.35">
      <c r="A14">
        <v>2011</v>
      </c>
      <c r="B14" s="113" t="s">
        <v>76</v>
      </c>
      <c r="C14" s="114">
        <f>'(2010-11)'!G3</f>
        <v>3936</v>
      </c>
      <c r="D14" s="114">
        <v>54264</v>
      </c>
      <c r="E14" s="115">
        <f t="shared" ref="E14:E21" si="0">C14/D14</f>
        <v>7.2534276868642195E-2</v>
      </c>
      <c r="F14" s="122">
        <f>E14-E13</f>
        <v>4.6517865263548952E-3</v>
      </c>
    </row>
    <row r="15" spans="1:6" x14ac:dyDescent="0.35">
      <c r="A15">
        <v>2012</v>
      </c>
      <c r="B15" s="113" t="s">
        <v>77</v>
      </c>
      <c r="C15" s="114">
        <f>'(2011-12)'!G3</f>
        <v>4230</v>
      </c>
      <c r="D15" s="114">
        <v>52071</v>
      </c>
      <c r="E15" s="115">
        <f t="shared" si="0"/>
        <v>8.1235236504004146E-2</v>
      </c>
      <c r="F15" s="122">
        <f t="shared" ref="F15:F21" si="1">E15-E14</f>
        <v>8.7009596353619517E-3</v>
      </c>
    </row>
    <row r="16" spans="1:6" x14ac:dyDescent="0.35">
      <c r="A16">
        <v>2013</v>
      </c>
      <c r="B16" s="119" t="s">
        <v>78</v>
      </c>
      <c r="C16" s="120">
        <f>'(2012-13)'!G3</f>
        <v>3847</v>
      </c>
      <c r="D16" s="120">
        <v>50463</v>
      </c>
      <c r="E16" s="121">
        <f t="shared" si="0"/>
        <v>7.6234072488754134E-2</v>
      </c>
      <c r="F16" s="122">
        <f t="shared" si="1"/>
        <v>-5.001164015250012E-3</v>
      </c>
    </row>
    <row r="17" spans="1:6" x14ac:dyDescent="0.35">
      <c r="A17">
        <v>2014</v>
      </c>
      <c r="B17" s="113" t="s">
        <v>79</v>
      </c>
      <c r="C17" s="114">
        <f>'(2013-14)'!G3</f>
        <v>4228</v>
      </c>
      <c r="D17" s="114">
        <v>48742</v>
      </c>
      <c r="E17" s="115">
        <f t="shared" si="0"/>
        <v>8.6742439784990355E-2</v>
      </c>
      <c r="F17" s="122">
        <f t="shared" si="1"/>
        <v>1.0508367296236221E-2</v>
      </c>
    </row>
    <row r="18" spans="1:6" x14ac:dyDescent="0.35">
      <c r="A18">
        <v>2015</v>
      </c>
      <c r="B18" s="113" t="s">
        <v>72</v>
      </c>
      <c r="C18" s="114">
        <f>'(2014-15)'!G3</f>
        <v>4213</v>
      </c>
      <c r="D18" s="114">
        <v>47094</v>
      </c>
      <c r="E18" s="115">
        <f t="shared" si="0"/>
        <v>8.9459379114112197E-2</v>
      </c>
      <c r="F18" s="122">
        <f t="shared" si="1"/>
        <v>2.7169393291218424E-3</v>
      </c>
    </row>
    <row r="19" spans="1:6" x14ac:dyDescent="0.35">
      <c r="A19">
        <v>2016</v>
      </c>
      <c r="B19" s="113" t="s">
        <v>57</v>
      </c>
      <c r="C19" s="114">
        <f>'(2015-16)'!G3</f>
        <v>4333</v>
      </c>
      <c r="D19" s="114">
        <v>45393</v>
      </c>
      <c r="E19" s="115">
        <f t="shared" si="0"/>
        <v>9.5455246403630511E-2</v>
      </c>
      <c r="F19" s="122">
        <f t="shared" si="1"/>
        <v>5.995867289518314E-3</v>
      </c>
    </row>
    <row r="20" spans="1:6" x14ac:dyDescent="0.35">
      <c r="A20">
        <v>2017</v>
      </c>
      <c r="B20" s="119" t="s">
        <v>107</v>
      </c>
      <c r="C20" s="120">
        <f>'(2016-17)'!G3</f>
        <v>4424.9989999999998</v>
      </c>
      <c r="D20" s="120">
        <v>44226</v>
      </c>
      <c r="E20" s="121">
        <f t="shared" si="0"/>
        <v>0.10005424410979966</v>
      </c>
      <c r="F20" s="122">
        <f t="shared" si="1"/>
        <v>4.5989977061691445E-3</v>
      </c>
    </row>
    <row r="21" spans="1:6" x14ac:dyDescent="0.35">
      <c r="A21">
        <v>2018</v>
      </c>
      <c r="B21" s="116" t="s">
        <v>113</v>
      </c>
      <c r="C21" s="117">
        <f>'(2017-18)'!G3</f>
        <v>3988</v>
      </c>
      <c r="D21" s="117">
        <v>44025</v>
      </c>
      <c r="E21" s="118">
        <f t="shared" si="0"/>
        <v>9.0584894946053374E-2</v>
      </c>
      <c r="F21" s="122">
        <f t="shared" si="1"/>
        <v>-9.4693491637462823E-3</v>
      </c>
    </row>
    <row r="22" spans="1:6" x14ac:dyDescent="0.35">
      <c r="B22" s="113"/>
      <c r="C22" s="113"/>
      <c r="D22" s="113"/>
      <c r="E22" s="11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AF85"/>
  <sheetViews>
    <sheetView tabSelected="1" zoomScaleNormal="100" workbookViewId="0">
      <pane ySplit="7" topLeftCell="A8" activePane="bottomLeft" state="frozen"/>
      <selection pane="bottomLeft" activeCell="A4" sqref="A4:E4"/>
    </sheetView>
  </sheetViews>
  <sheetFormatPr defaultColWidth="9.1796875" defaultRowHeight="14.5" x14ac:dyDescent="0.35"/>
  <cols>
    <col min="1" max="1" width="50.7265625" style="4" customWidth="1"/>
    <col min="2" max="6" width="14.7265625" style="4" customWidth="1"/>
    <col min="7" max="8" width="9.1796875" style="4" customWidth="1"/>
    <col min="9" max="9" width="9.1796875" style="4" hidden="1" customWidth="1"/>
    <col min="10" max="10" width="9.1796875" style="4" customWidth="1"/>
    <col min="11" max="11" width="10" style="4" bestFit="1" customWidth="1"/>
    <col min="12" max="12" width="11.81640625" style="4" customWidth="1"/>
    <col min="13" max="17" width="9.1796875" style="4"/>
    <col min="18" max="18" width="11" style="4" customWidth="1"/>
    <col min="19" max="16384" width="9.1796875" style="4"/>
  </cols>
  <sheetData>
    <row r="1" spans="1:32" s="3" customFormat="1" ht="18.5" customHeight="1" x14ac:dyDescent="0.5">
      <c r="A1" s="156" t="s">
        <v>104</v>
      </c>
      <c r="B1" s="156"/>
      <c r="C1" s="156"/>
      <c r="D1" s="156"/>
      <c r="E1" s="156"/>
      <c r="F1" s="156"/>
      <c r="G1" s="1"/>
      <c r="H1" s="1"/>
      <c r="I1" s="2"/>
      <c r="J1" s="2"/>
    </row>
    <row r="2" spans="1:32" s="5" customFormat="1" ht="1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32" s="5" customFormat="1" ht="15" customHeight="1" x14ac:dyDescent="0.35">
      <c r="A3" s="50" t="s">
        <v>71</v>
      </c>
      <c r="B3" s="51"/>
      <c r="C3" s="51"/>
      <c r="D3" s="51"/>
      <c r="E3" s="51"/>
      <c r="F3" s="4"/>
      <c r="G3" s="4"/>
      <c r="H3" s="4"/>
      <c r="I3" s="4"/>
      <c r="J3" s="4"/>
    </row>
    <row r="4" spans="1:32" s="5" customFormat="1" ht="15" customHeight="1" x14ac:dyDescent="0.35">
      <c r="A4" s="157" t="s">
        <v>149</v>
      </c>
      <c r="B4" s="157"/>
      <c r="C4" s="157"/>
      <c r="D4" s="157"/>
      <c r="E4" s="157"/>
      <c r="F4" s="4"/>
      <c r="G4" s="4"/>
      <c r="H4" s="4"/>
      <c r="I4" s="4"/>
      <c r="J4" s="4"/>
      <c r="K4" s="4"/>
    </row>
    <row r="5" spans="1:32" s="5" customFormat="1" ht="15" thickBot="1" x14ac:dyDescent="0.4">
      <c r="A5" s="4"/>
      <c r="B5" s="158"/>
      <c r="C5" s="158"/>
      <c r="D5" s="158"/>
      <c r="E5" s="158"/>
      <c r="F5" s="49"/>
      <c r="G5" s="4"/>
      <c r="H5" s="4"/>
      <c r="I5" s="6"/>
      <c r="J5" s="6"/>
      <c r="L5" s="6"/>
      <c r="M5" s="6"/>
      <c r="O5" s="6"/>
      <c r="P5" s="6"/>
      <c r="Q5" s="6"/>
      <c r="R5" s="6"/>
      <c r="S5" s="6"/>
      <c r="V5" s="7"/>
    </row>
    <row r="6" spans="1:32" s="11" customFormat="1" ht="31.5" thickBot="1" x14ac:dyDescent="0.4">
      <c r="A6" s="8" t="s">
        <v>70</v>
      </c>
      <c r="B6" s="9" t="s">
        <v>181</v>
      </c>
      <c r="C6" s="9" t="s">
        <v>182</v>
      </c>
      <c r="D6" s="9" t="s">
        <v>3</v>
      </c>
      <c r="E6" s="9" t="s">
        <v>4</v>
      </c>
      <c r="F6" s="10" t="s">
        <v>5</v>
      </c>
      <c r="K6" s="4"/>
    </row>
    <row r="7" spans="1:32" s="5" customFormat="1" ht="15" customHeight="1" x14ac:dyDescent="0.35">
      <c r="A7" s="53" t="s">
        <v>0</v>
      </c>
      <c r="B7" s="16">
        <f ca="1">IF('FIRE1110 raw'!B7="..","..",ROUND('FIRE1110 raw'!B7,0))</f>
        <v>1733</v>
      </c>
      <c r="C7" s="16">
        <f ca="1">IF('FIRE1110 raw'!C7="..","..",ROUND('FIRE1110 raw'!C7,0))</f>
        <v>1508</v>
      </c>
      <c r="D7" s="16">
        <f ca="1">IF('FIRE1110 raw'!D7="..","..",ROUND('FIRE1110 raw'!D7,0))</f>
        <v>98</v>
      </c>
      <c r="E7" s="16">
        <f ca="1">IF('FIRE1110 raw'!E7="..","..",ROUND('FIRE1110 raw'!E7,0))</f>
        <v>955</v>
      </c>
      <c r="F7" s="16">
        <f ca="1">IF('FIRE1110 raw'!F7="..","..",ROUND('FIRE1110 raw'!F7,0))</f>
        <v>4294</v>
      </c>
      <c r="G7" s="4"/>
      <c r="H7" s="4"/>
      <c r="I7" s="12"/>
      <c r="J7" s="12"/>
      <c r="L7" s="12"/>
      <c r="M7" s="12"/>
      <c r="O7" s="12"/>
      <c r="P7" s="12"/>
      <c r="Q7" s="12"/>
      <c r="R7" s="12"/>
      <c r="S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2" s="5" customFormat="1" ht="15" customHeight="1" x14ac:dyDescent="0.35">
      <c r="A8" s="54" t="s">
        <v>9</v>
      </c>
      <c r="B8" s="16">
        <f ca="1">IF('FIRE1110 raw'!B8="..","..",ROUND('FIRE1110 raw'!B8,0))</f>
        <v>1042</v>
      </c>
      <c r="C8" s="16">
        <f ca="1">IF('FIRE1110 raw'!C8="..","..",ROUND('FIRE1110 raw'!C8,0))</f>
        <v>1464</v>
      </c>
      <c r="D8" s="16">
        <f ca="1">IF('FIRE1110 raw'!D8="..","..",ROUND('FIRE1110 raw'!D8,0))</f>
        <v>70</v>
      </c>
      <c r="E8" s="16">
        <f ca="1">IF('FIRE1110 raw'!E8="..","..",ROUND('FIRE1110 raw'!E8,0))</f>
        <v>659</v>
      </c>
      <c r="F8" s="16">
        <f ca="1">IF('FIRE1110 raw'!F8="..","..",ROUND('FIRE1110 raw'!F8,0))</f>
        <v>3235</v>
      </c>
      <c r="G8" s="4"/>
      <c r="I8" s="12"/>
      <c r="J8" s="12"/>
      <c r="L8" s="12"/>
      <c r="M8" s="12"/>
      <c r="O8" s="14"/>
      <c r="P8" s="14"/>
      <c r="Q8" s="14"/>
      <c r="R8" s="14"/>
      <c r="S8" s="1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2" s="5" customFormat="1" ht="15" customHeight="1" x14ac:dyDescent="0.35">
      <c r="A9" s="4" t="s">
        <v>10</v>
      </c>
      <c r="B9" s="104">
        <f ca="1">IF('FIRE1110 raw'!B9="..","..",ROUND('FIRE1110 raw'!B9,0))</f>
        <v>37</v>
      </c>
      <c r="C9" s="104">
        <f ca="1">IF('FIRE1110 raw'!C9="..","..",ROUND('FIRE1110 raw'!C9,0))</f>
        <v>16</v>
      </c>
      <c r="D9" s="104">
        <f ca="1">IF('FIRE1110 raw'!D9="..","..",ROUND('FIRE1110 raw'!D9,0))</f>
        <v>0</v>
      </c>
      <c r="E9" s="104">
        <f ca="1">IF('FIRE1110 raw'!E9="..","..",ROUND('FIRE1110 raw'!E9,0))</f>
        <v>17</v>
      </c>
      <c r="F9" s="16">
        <f ca="1">IF('FIRE1110 raw'!F9="..","..",ROUND('FIRE1110 raw'!F9,0))</f>
        <v>70</v>
      </c>
      <c r="G9" s="4"/>
      <c r="I9" s="12"/>
      <c r="J9" s="12"/>
      <c r="L9" s="12"/>
      <c r="M9" s="12"/>
      <c r="O9" s="14"/>
      <c r="P9" s="14"/>
      <c r="Q9" s="14"/>
      <c r="R9" s="14"/>
      <c r="S9" s="1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2" s="5" customFormat="1" ht="15" customHeight="1" x14ac:dyDescent="0.35">
      <c r="A10" s="4" t="s">
        <v>11</v>
      </c>
      <c r="B10" s="104">
        <f ca="1">IF('FIRE1110 raw'!B10="..","..",ROUND('FIRE1110 raw'!B10,0))</f>
        <v>20</v>
      </c>
      <c r="C10" s="104">
        <f ca="1">IF('FIRE1110 raw'!C10="..","..",ROUND('FIRE1110 raw'!C10,0))</f>
        <v>14</v>
      </c>
      <c r="D10" s="104">
        <f ca="1">IF('FIRE1110 raw'!D10="..","..",ROUND('FIRE1110 raw'!D10,0))</f>
        <v>0</v>
      </c>
      <c r="E10" s="104">
        <f ca="1">IF('FIRE1110 raw'!E10="..","..",ROUND('FIRE1110 raw'!E10,0))</f>
        <v>20</v>
      </c>
      <c r="F10" s="16">
        <f ca="1">IF('FIRE1110 raw'!F10="..","..",ROUND('FIRE1110 raw'!F10,0))</f>
        <v>54</v>
      </c>
      <c r="G10" s="4"/>
      <c r="I10" s="12"/>
      <c r="J10" s="12"/>
      <c r="L10" s="12"/>
      <c r="M10" s="12"/>
      <c r="O10" s="14"/>
      <c r="P10" s="14"/>
      <c r="Q10" s="14"/>
      <c r="R10" s="14"/>
      <c r="S10" s="1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2" s="5" customFormat="1" ht="15" customHeight="1" x14ac:dyDescent="0.35">
      <c r="A11" s="4" t="s">
        <v>12</v>
      </c>
      <c r="B11" s="104">
        <f ca="1">IF('FIRE1110 raw'!B11="..","..",ROUND('FIRE1110 raw'!B11,0))</f>
        <v>31</v>
      </c>
      <c r="C11" s="104">
        <f ca="1">IF('FIRE1110 raw'!C11="..","..",ROUND('FIRE1110 raw'!C11,0))</f>
        <v>15</v>
      </c>
      <c r="D11" s="104">
        <f ca="1">IF('FIRE1110 raw'!D11="..","..",ROUND('FIRE1110 raw'!D11,0))</f>
        <v>4</v>
      </c>
      <c r="E11" s="104">
        <f ca="1">IF('FIRE1110 raw'!E11="..","..",ROUND('FIRE1110 raw'!E11,0))</f>
        <v>33</v>
      </c>
      <c r="F11" s="16">
        <f ca="1">IF('FIRE1110 raw'!F11="..","..",ROUND('FIRE1110 raw'!F11,0))</f>
        <v>83</v>
      </c>
      <c r="G11" s="4"/>
      <c r="I11" s="12"/>
      <c r="J11" s="12"/>
      <c r="L11" s="12"/>
      <c r="M11" s="12"/>
      <c r="O11" s="14"/>
      <c r="P11" s="14"/>
      <c r="Q11" s="14"/>
      <c r="R11" s="14"/>
      <c r="S11" s="1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s="5" customFormat="1" ht="15" customHeight="1" x14ac:dyDescent="0.35">
      <c r="A12" s="4" t="s">
        <v>13</v>
      </c>
      <c r="B12" s="104">
        <f ca="1">IF('FIRE1110 raw'!B12="..","..",ROUND('FIRE1110 raw'!B12,0))</f>
        <v>35</v>
      </c>
      <c r="C12" s="104">
        <f ca="1">IF('FIRE1110 raw'!C12="..","..",ROUND('FIRE1110 raw'!C12,0))</f>
        <v>21</v>
      </c>
      <c r="D12" s="104">
        <f ca="1">IF('FIRE1110 raw'!D12="..","..",ROUND('FIRE1110 raw'!D12,0))</f>
        <v>0</v>
      </c>
      <c r="E12" s="104">
        <f ca="1">IF('FIRE1110 raw'!E12="..","..",ROUND('FIRE1110 raw'!E12,0))</f>
        <v>9</v>
      </c>
      <c r="F12" s="16">
        <f ca="1">IF('FIRE1110 raw'!F12="..","..",ROUND('FIRE1110 raw'!F12,0))</f>
        <v>65</v>
      </c>
      <c r="G12" s="4"/>
      <c r="I12" s="12"/>
      <c r="J12" s="12"/>
      <c r="L12" s="12"/>
      <c r="M12" s="12"/>
      <c r="O12" s="14"/>
      <c r="P12" s="14"/>
      <c r="Q12" s="14"/>
      <c r="R12" s="14"/>
      <c r="S12" s="1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2" s="5" customFormat="1" ht="15" customHeight="1" x14ac:dyDescent="0.35">
      <c r="A13" s="4" t="s">
        <v>14</v>
      </c>
      <c r="B13" s="104">
        <f ca="1">IF('FIRE1110 raw'!B13="..","..",ROUND('FIRE1110 raw'!B13,0))</f>
        <v>16</v>
      </c>
      <c r="C13" s="104">
        <f ca="1">IF('FIRE1110 raw'!C13="..","..",ROUND('FIRE1110 raw'!C13,0))</f>
        <v>31</v>
      </c>
      <c r="D13" s="104">
        <f ca="1">IF('FIRE1110 raw'!D13="..","..",ROUND('FIRE1110 raw'!D13,0))</f>
        <v>9</v>
      </c>
      <c r="E13" s="104">
        <f ca="1">IF('FIRE1110 raw'!E13="..","..",ROUND('FIRE1110 raw'!E13,0))</f>
        <v>17</v>
      </c>
      <c r="F13" s="16">
        <f ca="1">IF('FIRE1110 raw'!F13="..","..",ROUND('FIRE1110 raw'!F13,0))</f>
        <v>73</v>
      </c>
      <c r="G13" s="4"/>
      <c r="I13" s="12"/>
      <c r="J13" s="12"/>
      <c r="L13" s="12"/>
      <c r="M13" s="12"/>
      <c r="O13" s="14"/>
      <c r="P13" s="14"/>
      <c r="Q13" s="14"/>
      <c r="R13" s="14"/>
      <c r="S13" s="1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2" s="5" customFormat="1" ht="15" customHeight="1" x14ac:dyDescent="0.35">
      <c r="A14" s="4" t="s">
        <v>15</v>
      </c>
      <c r="B14" s="104">
        <f ca="1">IF('FIRE1110 raw'!B14="..","..",ROUND('FIRE1110 raw'!B14,0))</f>
        <v>40</v>
      </c>
      <c r="C14" s="104">
        <f ca="1">IF('FIRE1110 raw'!C14="..","..",ROUND('FIRE1110 raw'!C14,0))</f>
        <v>63</v>
      </c>
      <c r="D14" s="104">
        <f ca="1">IF('FIRE1110 raw'!D14="..","..",ROUND('FIRE1110 raw'!D14,0))</f>
        <v>0</v>
      </c>
      <c r="E14" s="104">
        <f ca="1">IF('FIRE1110 raw'!E14="..","..",ROUND('FIRE1110 raw'!E14,0))</f>
        <v>17</v>
      </c>
      <c r="F14" s="16">
        <f ca="1">IF('FIRE1110 raw'!F14="..","..",ROUND('FIRE1110 raw'!F14,0))</f>
        <v>120</v>
      </c>
      <c r="G14" s="4"/>
      <c r="I14" s="12"/>
      <c r="J14" s="12"/>
      <c r="L14" s="12"/>
      <c r="M14" s="12"/>
      <c r="O14" s="14"/>
      <c r="P14" s="14"/>
      <c r="Q14" s="14"/>
      <c r="R14" s="14"/>
      <c r="S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s="5" customFormat="1" ht="15" customHeight="1" x14ac:dyDescent="0.35">
      <c r="A15" s="4" t="s">
        <v>16</v>
      </c>
      <c r="B15" s="104">
        <f ca="1">IF('FIRE1110 raw'!B15="..","..",ROUND('FIRE1110 raw'!B15,0))</f>
        <v>35</v>
      </c>
      <c r="C15" s="104">
        <f ca="1">IF('FIRE1110 raw'!C15="..","..",ROUND('FIRE1110 raw'!C15,0))</f>
        <v>18</v>
      </c>
      <c r="D15" s="104">
        <f ca="1">IF('FIRE1110 raw'!D15="..","..",ROUND('FIRE1110 raw'!D15,0))</f>
        <v>2</v>
      </c>
      <c r="E15" s="104">
        <f ca="1">IF('FIRE1110 raw'!E15="..","..",ROUND('FIRE1110 raw'!E15,0))</f>
        <v>13</v>
      </c>
      <c r="F15" s="16">
        <f ca="1">IF('FIRE1110 raw'!F15="..","..",ROUND('FIRE1110 raw'!F15,0))</f>
        <v>68</v>
      </c>
      <c r="G15" s="4"/>
      <c r="I15" s="12"/>
      <c r="J15" s="12"/>
      <c r="L15" s="12"/>
      <c r="M15" s="12"/>
      <c r="O15" s="14"/>
      <c r="P15" s="14"/>
      <c r="Q15" s="14"/>
      <c r="R15" s="14"/>
      <c r="S15" s="1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2" s="5" customFormat="1" ht="15" customHeight="1" x14ac:dyDescent="0.35">
      <c r="A16" s="4" t="s">
        <v>17</v>
      </c>
      <c r="B16" s="104">
        <f ca="1">IF('FIRE1110 raw'!B16="..","..",ROUND('FIRE1110 raw'!B16,0))</f>
        <v>3</v>
      </c>
      <c r="C16" s="104">
        <f ca="1">IF('FIRE1110 raw'!C16="..","..",ROUND('FIRE1110 raw'!C16,0))</f>
        <v>25</v>
      </c>
      <c r="D16" s="104">
        <f ca="1">IF('FIRE1110 raw'!D16="..","..",ROUND('FIRE1110 raw'!D16,0))</f>
        <v>3</v>
      </c>
      <c r="E16" s="104">
        <f ca="1">IF('FIRE1110 raw'!E16="..","..",ROUND('FIRE1110 raw'!E16,0))</f>
        <v>9</v>
      </c>
      <c r="F16" s="16">
        <f ca="1">IF('FIRE1110 raw'!F16="..","..",ROUND('FIRE1110 raw'!F16,0))</f>
        <v>40</v>
      </c>
      <c r="G16" s="4"/>
      <c r="I16" s="12"/>
      <c r="J16" s="12"/>
      <c r="L16" s="12"/>
      <c r="M16" s="12"/>
      <c r="O16" s="14"/>
      <c r="P16" s="14"/>
      <c r="Q16" s="14"/>
      <c r="R16" s="14"/>
      <c r="S16" s="1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5" customFormat="1" ht="15" customHeight="1" x14ac:dyDescent="0.35">
      <c r="A17" s="4" t="s">
        <v>18</v>
      </c>
      <c r="B17" s="104">
        <f ca="1">IF('FIRE1110 raw'!B17="..","..",ROUND('FIRE1110 raw'!B17,0))</f>
        <v>13</v>
      </c>
      <c r="C17" s="104">
        <f ca="1">IF('FIRE1110 raw'!C17="..","..",ROUND('FIRE1110 raw'!C17,0))</f>
        <v>28</v>
      </c>
      <c r="D17" s="104">
        <f ca="1">IF('FIRE1110 raw'!D17="..","..",ROUND('FIRE1110 raw'!D17,0))</f>
        <v>0</v>
      </c>
      <c r="E17" s="104">
        <f ca="1">IF('FIRE1110 raw'!E17="..","..",ROUND('FIRE1110 raw'!E17,0))</f>
        <v>2</v>
      </c>
      <c r="F17" s="16">
        <f ca="1">IF('FIRE1110 raw'!F17="..","..",ROUND('FIRE1110 raw'!F17,0))</f>
        <v>43</v>
      </c>
      <c r="G17" s="4"/>
      <c r="I17" s="12"/>
      <c r="J17" s="12"/>
      <c r="L17" s="12"/>
      <c r="M17" s="12"/>
      <c r="O17" s="14"/>
      <c r="P17" s="14"/>
      <c r="Q17" s="14"/>
      <c r="R17" s="14"/>
      <c r="S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5" customFormat="1" ht="15" customHeight="1" x14ac:dyDescent="0.35">
      <c r="A18" s="22" t="s">
        <v>19</v>
      </c>
      <c r="B18" s="104">
        <f ca="1">IF('FIRE1110 raw'!B18="..","..",ROUND('FIRE1110 raw'!B18,0))</f>
        <v>27</v>
      </c>
      <c r="C18" s="104">
        <f ca="1">IF('FIRE1110 raw'!C18="..","..",ROUND('FIRE1110 raw'!C18,0))</f>
        <v>36</v>
      </c>
      <c r="D18" s="104">
        <f ca="1">IF('FIRE1110 raw'!D18="..","..",ROUND('FIRE1110 raw'!D18,0))</f>
        <v>1</v>
      </c>
      <c r="E18" s="104">
        <f ca="1">IF('FIRE1110 raw'!E18="..","..",ROUND('FIRE1110 raw'!E18,0))</f>
        <v>16</v>
      </c>
      <c r="F18" s="16">
        <f ca="1">IF('FIRE1110 raw'!F18="..","..",ROUND('FIRE1110 raw'!F18,0))</f>
        <v>80</v>
      </c>
      <c r="G18" s="4"/>
      <c r="I18" s="12"/>
      <c r="J18" s="12"/>
      <c r="L18" s="12"/>
      <c r="M18" s="12"/>
      <c r="O18" s="14"/>
      <c r="P18" s="14"/>
      <c r="Q18" s="14"/>
      <c r="R18" s="14"/>
      <c r="S18" s="1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5" customFormat="1" ht="15" customHeight="1" x14ac:dyDescent="0.35">
      <c r="A19" s="22" t="s">
        <v>20</v>
      </c>
      <c r="B19" s="104">
        <f ca="1">IF('FIRE1110 raw'!B19="..","..",ROUND('FIRE1110 raw'!B19,0))</f>
        <v>47</v>
      </c>
      <c r="C19" s="104">
        <f ca="1">IF('FIRE1110 raw'!C19="..","..",ROUND('FIRE1110 raw'!C19,0))</f>
        <v>132</v>
      </c>
      <c r="D19" s="104">
        <f ca="1">IF('FIRE1110 raw'!D19="..","..",ROUND('FIRE1110 raw'!D19,0))</f>
        <v>3</v>
      </c>
      <c r="E19" s="104">
        <f ca="1">IF('FIRE1110 raw'!E19="..","..",ROUND('FIRE1110 raw'!E19,0))</f>
        <v>27</v>
      </c>
      <c r="F19" s="16">
        <f ca="1">IF('FIRE1110 raw'!F19="..","..",ROUND('FIRE1110 raw'!F19,0))</f>
        <v>209</v>
      </c>
      <c r="G19" s="4"/>
      <c r="I19" s="12"/>
      <c r="J19" s="12"/>
      <c r="L19" s="12"/>
      <c r="M19" s="12"/>
      <c r="O19" s="14"/>
      <c r="P19" s="14"/>
      <c r="Q19" s="14"/>
      <c r="R19" s="14"/>
      <c r="S19" s="1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5" customFormat="1" ht="15" customHeight="1" x14ac:dyDescent="0.35">
      <c r="A20" s="4" t="s">
        <v>106</v>
      </c>
      <c r="B20" s="104">
        <f ca="1">IF('FIRE1110 raw'!B20="..","..",ROUND('FIRE1110 raw'!B20,0))</f>
        <v>30</v>
      </c>
      <c r="C20" s="104">
        <f ca="1">IF('FIRE1110 raw'!C20="..","..",ROUND('FIRE1110 raw'!C20,0))</f>
        <v>80</v>
      </c>
      <c r="D20" s="104">
        <f ca="1">IF('FIRE1110 raw'!D20="..","..",ROUND('FIRE1110 raw'!D20,0))</f>
        <v>2</v>
      </c>
      <c r="E20" s="104">
        <f ca="1">IF('FIRE1110 raw'!E20="..","..",ROUND('FIRE1110 raw'!E20,0))</f>
        <v>41</v>
      </c>
      <c r="F20" s="16">
        <f ca="1">IF('FIRE1110 raw'!F20="..","..",ROUND('FIRE1110 raw'!F20,0))</f>
        <v>153</v>
      </c>
      <c r="G20" s="4"/>
      <c r="I20" s="12"/>
      <c r="J20" s="12"/>
      <c r="L20" s="12"/>
      <c r="M20" s="12"/>
      <c r="O20" s="14"/>
      <c r="P20" s="14"/>
      <c r="Q20" s="14"/>
      <c r="R20" s="14"/>
      <c r="S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5" customFormat="1" ht="15" customHeight="1" x14ac:dyDescent="0.35">
      <c r="A21" s="4" t="s">
        <v>22</v>
      </c>
      <c r="B21" s="104">
        <f ca="1">IF('FIRE1110 raw'!B21="..","..",ROUND('FIRE1110 raw'!B21,0))</f>
        <v>18</v>
      </c>
      <c r="C21" s="104">
        <f ca="1">IF('FIRE1110 raw'!C21="..","..",ROUND('FIRE1110 raw'!C21,0))</f>
        <v>23</v>
      </c>
      <c r="D21" s="104">
        <f ca="1">IF('FIRE1110 raw'!D21="..","..",ROUND('FIRE1110 raw'!D21,0))</f>
        <v>2</v>
      </c>
      <c r="E21" s="104">
        <f ca="1">IF('FIRE1110 raw'!E21="..","..",ROUND('FIRE1110 raw'!E21,0))</f>
        <v>6</v>
      </c>
      <c r="F21" s="16">
        <f ca="1">IF('FIRE1110 raw'!F21="..","..",ROUND('FIRE1110 raw'!F21,0))</f>
        <v>49</v>
      </c>
      <c r="G21" s="4"/>
      <c r="I21" s="12"/>
      <c r="J21" s="12"/>
      <c r="L21" s="12"/>
      <c r="M21" s="12"/>
      <c r="O21" s="14"/>
      <c r="P21" s="14"/>
      <c r="Q21" s="14"/>
      <c r="R21" s="14"/>
      <c r="S21" s="1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15" customHeight="1" x14ac:dyDescent="0.35">
      <c r="A22" s="4" t="s">
        <v>23</v>
      </c>
      <c r="B22" s="104">
        <f ca="1">IF('FIRE1110 raw'!B22="..","..",ROUND('FIRE1110 raw'!B22,0))</f>
        <v>27</v>
      </c>
      <c r="C22" s="104">
        <f ca="1">IF('FIRE1110 raw'!C22="..","..",ROUND('FIRE1110 raw'!C22,0))</f>
        <v>25</v>
      </c>
      <c r="D22" s="104">
        <f ca="1">IF('FIRE1110 raw'!D22="..","..",ROUND('FIRE1110 raw'!D22,0))</f>
        <v>5</v>
      </c>
      <c r="E22" s="104">
        <f ca="1">IF('FIRE1110 raw'!E22="..","..",ROUND('FIRE1110 raw'!E22,0))</f>
        <v>16</v>
      </c>
      <c r="F22" s="16">
        <f ca="1">IF('FIRE1110 raw'!F22="..","..",ROUND('FIRE1110 raw'!F22,0))</f>
        <v>73</v>
      </c>
      <c r="G22" s="4"/>
      <c r="I22" s="12"/>
      <c r="J22" s="12"/>
      <c r="L22" s="12"/>
      <c r="M22" s="12"/>
      <c r="O22" s="14"/>
      <c r="P22" s="14"/>
      <c r="Q22" s="14"/>
      <c r="R22" s="14"/>
      <c r="S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5" customFormat="1" ht="15" customHeight="1" x14ac:dyDescent="0.35">
      <c r="A23" s="4" t="s">
        <v>24</v>
      </c>
      <c r="B23" s="104">
        <f ca="1">IF('FIRE1110 raw'!B23="..","..",ROUND('FIRE1110 raw'!B23,0))</f>
        <v>46</v>
      </c>
      <c r="C23" s="104">
        <f ca="1">IF('FIRE1110 raw'!C23="..","..",ROUND('FIRE1110 raw'!C23,0))</f>
        <v>72</v>
      </c>
      <c r="D23" s="104">
        <f ca="1">IF('FIRE1110 raw'!D23="..","..",ROUND('FIRE1110 raw'!D23,0))</f>
        <v>1</v>
      </c>
      <c r="E23" s="104">
        <f ca="1">IF('FIRE1110 raw'!E23="..","..",ROUND('FIRE1110 raw'!E23,0))</f>
        <v>57</v>
      </c>
      <c r="F23" s="16">
        <f ca="1">IF('FIRE1110 raw'!F23="..","..",ROUND('FIRE1110 raw'!F23,0))</f>
        <v>176</v>
      </c>
      <c r="G23" s="4"/>
      <c r="I23" s="12"/>
      <c r="J23" s="12"/>
      <c r="L23" s="12"/>
      <c r="M23" s="12"/>
      <c r="O23" s="14"/>
      <c r="P23" s="14"/>
      <c r="Q23" s="14"/>
      <c r="R23" s="14"/>
      <c r="S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5" customFormat="1" ht="15" customHeight="1" x14ac:dyDescent="0.35">
      <c r="A24" s="4" t="s">
        <v>25</v>
      </c>
      <c r="B24" s="104">
        <f ca="1">IF('FIRE1110 raw'!B24="..","..",ROUND('FIRE1110 raw'!B24,0))</f>
        <v>18</v>
      </c>
      <c r="C24" s="104">
        <f ca="1">IF('FIRE1110 raw'!C24="..","..",ROUND('FIRE1110 raw'!C24,0))</f>
        <v>34</v>
      </c>
      <c r="D24" s="104">
        <f ca="1">IF('FIRE1110 raw'!D24="..","..",ROUND('FIRE1110 raw'!D24,0))</f>
        <v>2</v>
      </c>
      <c r="E24" s="104">
        <f ca="1">IF('FIRE1110 raw'!E24="..","..",ROUND('FIRE1110 raw'!E24,0))</f>
        <v>6</v>
      </c>
      <c r="F24" s="16">
        <f ca="1">IF('FIRE1110 raw'!F24="..","..",ROUND('FIRE1110 raw'!F24,0))</f>
        <v>60</v>
      </c>
      <c r="G24" s="4"/>
      <c r="I24" s="12"/>
      <c r="J24" s="12"/>
      <c r="L24" s="12"/>
      <c r="M24" s="12"/>
      <c r="O24" s="14"/>
      <c r="P24" s="14"/>
      <c r="Q24" s="14"/>
      <c r="R24" s="14"/>
      <c r="S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5" customFormat="1" ht="15" customHeight="1" x14ac:dyDescent="0.35">
      <c r="A25" s="4" t="s">
        <v>28</v>
      </c>
      <c r="B25" s="104">
        <f ca="1">IF('FIRE1110 raw'!B25="..","..",ROUND('FIRE1110 raw'!B25,0))</f>
        <v>91</v>
      </c>
      <c r="C25" s="104">
        <f ca="1">IF('FIRE1110 raw'!C25="..","..",ROUND('FIRE1110 raw'!C25,0))</f>
        <v>92</v>
      </c>
      <c r="D25" s="104">
        <f ca="1">IF('FIRE1110 raw'!D25="..","..",ROUND('FIRE1110 raw'!D25,0))</f>
        <v>3</v>
      </c>
      <c r="E25" s="104">
        <f ca="1">IF('FIRE1110 raw'!E25="..","..",ROUND('FIRE1110 raw'!E25,0))</f>
        <v>44</v>
      </c>
      <c r="F25" s="16">
        <f ca="1">IF('FIRE1110 raw'!F25="..","..",ROUND('FIRE1110 raw'!F25,0))</f>
        <v>230</v>
      </c>
      <c r="G25" s="4"/>
      <c r="I25" s="12"/>
      <c r="J25" s="12"/>
      <c r="L25" s="12"/>
      <c r="M25" s="12"/>
      <c r="O25" s="14"/>
      <c r="P25" s="14"/>
      <c r="Q25" s="14"/>
      <c r="R25" s="14"/>
      <c r="S25" s="14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5" customFormat="1" ht="15" customHeight="1" x14ac:dyDescent="0.35">
      <c r="A26" s="4" t="s">
        <v>29</v>
      </c>
      <c r="B26" s="104">
        <f ca="1">IF('FIRE1110 raw'!B26="..","..",ROUND('FIRE1110 raw'!B26,0))</f>
        <v>30</v>
      </c>
      <c r="C26" s="104">
        <f ca="1">IF('FIRE1110 raw'!C26="..","..",ROUND('FIRE1110 raw'!C26,0))</f>
        <v>62</v>
      </c>
      <c r="D26" s="104">
        <f ca="1">IF('FIRE1110 raw'!D26="..","..",ROUND('FIRE1110 raw'!D26,0))</f>
        <v>2</v>
      </c>
      <c r="E26" s="104">
        <f ca="1">IF('FIRE1110 raw'!E26="..","..",ROUND('FIRE1110 raw'!E26,0))</f>
        <v>26</v>
      </c>
      <c r="F26" s="16">
        <f ca="1">IF('FIRE1110 raw'!F26="..","..",ROUND('FIRE1110 raw'!F26,0))</f>
        <v>120</v>
      </c>
      <c r="G26" s="4"/>
      <c r="I26" s="12"/>
      <c r="J26" s="12"/>
      <c r="L26" s="12"/>
      <c r="M26" s="12"/>
      <c r="O26" s="14"/>
      <c r="P26" s="14"/>
      <c r="Q26" s="14"/>
      <c r="R26" s="14"/>
      <c r="S26" s="1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5" customFormat="1" ht="15" customHeight="1" x14ac:dyDescent="0.35">
      <c r="A27" s="4" t="s">
        <v>30</v>
      </c>
      <c r="B27" s="104">
        <f ca="1">IF('FIRE1110 raw'!B27="..","..",ROUND('FIRE1110 raw'!B27,0))</f>
        <v>50</v>
      </c>
      <c r="C27" s="104">
        <f ca="1">IF('FIRE1110 raw'!C27="..","..",ROUND('FIRE1110 raw'!C27,0))</f>
        <v>40</v>
      </c>
      <c r="D27" s="104">
        <f ca="1">IF('FIRE1110 raw'!D27="..","..",ROUND('FIRE1110 raw'!D27,0))</f>
        <v>4</v>
      </c>
      <c r="E27" s="104">
        <f ca="1">IF('FIRE1110 raw'!E27="..","..",ROUND('FIRE1110 raw'!E27,0))</f>
        <v>28</v>
      </c>
      <c r="F27" s="16">
        <f ca="1">IF('FIRE1110 raw'!F27="..","..",ROUND('FIRE1110 raw'!F27,0))</f>
        <v>122</v>
      </c>
      <c r="G27" s="4"/>
      <c r="I27" s="12"/>
      <c r="J27" s="12"/>
      <c r="L27" s="12"/>
      <c r="M27" s="12"/>
      <c r="O27" s="14"/>
      <c r="P27" s="14"/>
      <c r="Q27" s="14"/>
      <c r="R27" s="14"/>
      <c r="S27" s="14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s="5" customFormat="1" ht="15" customHeight="1" x14ac:dyDescent="0.35">
      <c r="A28" s="4" t="s">
        <v>31</v>
      </c>
      <c r="B28" s="104">
        <f ca="1">IF('FIRE1110 raw'!B28="..","..",ROUND('FIRE1110 raw'!B28,0))</f>
        <v>33</v>
      </c>
      <c r="C28" s="104">
        <f ca="1">IF('FIRE1110 raw'!C28="..","..",ROUND('FIRE1110 raw'!C28,0))</f>
        <v>25</v>
      </c>
      <c r="D28" s="104">
        <f ca="1">IF('FIRE1110 raw'!D28="..","..",ROUND('FIRE1110 raw'!D28,0))</f>
        <v>2</v>
      </c>
      <c r="E28" s="104">
        <f ca="1">IF('FIRE1110 raw'!E28="..","..",ROUND('FIRE1110 raw'!E28,0))</f>
        <v>12</v>
      </c>
      <c r="F28" s="16">
        <f ca="1">IF('FIRE1110 raw'!F28="..","..",ROUND('FIRE1110 raw'!F28,0))</f>
        <v>72</v>
      </c>
      <c r="G28" s="4"/>
      <c r="I28" s="12"/>
      <c r="J28" s="12"/>
      <c r="L28" s="12"/>
      <c r="M28" s="12"/>
      <c r="O28" s="14"/>
      <c r="P28" s="14"/>
      <c r="Q28" s="14"/>
      <c r="R28" s="14"/>
      <c r="S28" s="1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s="5" customFormat="1" ht="15" customHeight="1" x14ac:dyDescent="0.35">
      <c r="A29" s="4" t="s">
        <v>32</v>
      </c>
      <c r="B29" s="104">
        <f ca="1">IF('FIRE1110 raw'!B29="..","..",ROUND('FIRE1110 raw'!B29,0))</f>
        <v>6</v>
      </c>
      <c r="C29" s="104">
        <f ca="1">IF('FIRE1110 raw'!C29="..","..",ROUND('FIRE1110 raw'!C29,0))</f>
        <v>7</v>
      </c>
      <c r="D29" s="104">
        <f ca="1">IF('FIRE1110 raw'!D29="..","..",ROUND('FIRE1110 raw'!D29,0))</f>
        <v>0</v>
      </c>
      <c r="E29" s="104">
        <f ca="1">IF('FIRE1110 raw'!E29="..","..",ROUND('FIRE1110 raw'!E29,0))</f>
        <v>4</v>
      </c>
      <c r="F29" s="16">
        <f ca="1">IF('FIRE1110 raw'!F29="..","..",ROUND('FIRE1110 raw'!F29,0))</f>
        <v>17</v>
      </c>
      <c r="G29" s="4"/>
      <c r="I29" s="12"/>
      <c r="J29" s="12"/>
      <c r="L29" s="12"/>
      <c r="M29" s="12"/>
      <c r="O29" s="14"/>
      <c r="P29" s="14"/>
      <c r="Q29" s="14"/>
      <c r="R29" s="14"/>
      <c r="S29" s="14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5" customFormat="1" ht="15" customHeight="1" x14ac:dyDescent="0.35">
      <c r="A30" s="5" t="s">
        <v>34</v>
      </c>
      <c r="B30" s="104">
        <f ca="1">IF('FIRE1110 raw'!B30="..","..",ROUND('FIRE1110 raw'!B30,0))</f>
        <v>53</v>
      </c>
      <c r="C30" s="104">
        <f ca="1">IF('FIRE1110 raw'!C30="..","..",ROUND('FIRE1110 raw'!C30,0))</f>
        <v>53</v>
      </c>
      <c r="D30" s="104">
        <f ca="1">IF('FIRE1110 raw'!D30="..","..",ROUND('FIRE1110 raw'!D30,0))</f>
        <v>1</v>
      </c>
      <c r="E30" s="104">
        <f ca="1">IF('FIRE1110 raw'!E30="..","..",ROUND('FIRE1110 raw'!E30,0))</f>
        <v>25</v>
      </c>
      <c r="F30" s="16">
        <f ca="1">IF('FIRE1110 raw'!F30="..","..",ROUND('FIRE1110 raw'!F30,0))</f>
        <v>132</v>
      </c>
      <c r="G30" s="4"/>
      <c r="I30" s="12"/>
      <c r="J30" s="12"/>
      <c r="L30" s="12"/>
      <c r="M30" s="12"/>
      <c r="O30" s="14"/>
      <c r="P30" s="14"/>
      <c r="Q30" s="14"/>
      <c r="R30" s="14"/>
      <c r="S30" s="14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s="5" customFormat="1" ht="15" customHeight="1" x14ac:dyDescent="0.35">
      <c r="A31" s="5" t="s">
        <v>35</v>
      </c>
      <c r="B31" s="104">
        <f ca="1">IF('FIRE1110 raw'!B31="..","..",ROUND('FIRE1110 raw'!B31,0))</f>
        <v>49</v>
      </c>
      <c r="C31" s="104">
        <f ca="1">IF('FIRE1110 raw'!C31="..","..",ROUND('FIRE1110 raw'!C31,0))</f>
        <v>66</v>
      </c>
      <c r="D31" s="104">
        <f ca="1">IF('FIRE1110 raw'!D31="..","..",ROUND('FIRE1110 raw'!D31,0))</f>
        <v>0</v>
      </c>
      <c r="E31" s="104">
        <f ca="1">IF('FIRE1110 raw'!E31="..","..",ROUND('FIRE1110 raw'!E31,0))</f>
        <v>24</v>
      </c>
      <c r="F31" s="16">
        <f ca="1">IF('FIRE1110 raw'!F31="..","..",ROUND('FIRE1110 raw'!F31,0))</f>
        <v>139</v>
      </c>
      <c r="G31" s="4"/>
      <c r="I31" s="12"/>
      <c r="J31" s="12"/>
      <c r="L31" s="12"/>
      <c r="M31" s="12"/>
      <c r="O31" s="14"/>
      <c r="P31" s="14"/>
      <c r="Q31" s="14"/>
      <c r="R31" s="14"/>
      <c r="S31" s="14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5" customFormat="1" ht="15" customHeight="1" x14ac:dyDescent="0.35">
      <c r="A32" s="4" t="s">
        <v>36</v>
      </c>
      <c r="B32" s="104">
        <f ca="1">IF('FIRE1110 raw'!B32="..","..",ROUND('FIRE1110 raw'!B32,0))</f>
        <v>40</v>
      </c>
      <c r="C32" s="104">
        <f ca="1">IF('FIRE1110 raw'!C32="..","..",ROUND('FIRE1110 raw'!C32,0))</f>
        <v>35</v>
      </c>
      <c r="D32" s="104">
        <f ca="1">IF('FIRE1110 raw'!D32="..","..",ROUND('FIRE1110 raw'!D32,0))</f>
        <v>0</v>
      </c>
      <c r="E32" s="104">
        <f ca="1">IF('FIRE1110 raw'!E32="..","..",ROUND('FIRE1110 raw'!E32,0))</f>
        <v>22</v>
      </c>
      <c r="F32" s="16">
        <f ca="1">IF('FIRE1110 raw'!F32="..","..",ROUND('FIRE1110 raw'!F32,0))</f>
        <v>97</v>
      </c>
      <c r="G32" s="4"/>
      <c r="I32" s="12"/>
      <c r="J32" s="12"/>
      <c r="L32" s="12"/>
      <c r="M32" s="12"/>
      <c r="O32" s="14"/>
      <c r="P32" s="14"/>
      <c r="Q32" s="14"/>
      <c r="R32" s="14"/>
      <c r="S32" s="14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5" customFormat="1" ht="15" customHeight="1" x14ac:dyDescent="0.35">
      <c r="A33" s="5" t="s">
        <v>37</v>
      </c>
      <c r="B33" s="104">
        <f ca="1">IF('FIRE1110 raw'!B33="..","..",ROUND('FIRE1110 raw'!B33,0))</f>
        <v>17</v>
      </c>
      <c r="C33" s="104">
        <f ca="1">IF('FIRE1110 raw'!C33="..","..",ROUND('FIRE1110 raw'!C33,0))</f>
        <v>57</v>
      </c>
      <c r="D33" s="104">
        <f ca="1">IF('FIRE1110 raw'!D33="..","..",ROUND('FIRE1110 raw'!D33,0))</f>
        <v>2</v>
      </c>
      <c r="E33" s="104">
        <f ca="1">IF('FIRE1110 raw'!E33="..","..",ROUND('FIRE1110 raw'!E33,0))</f>
        <v>3</v>
      </c>
      <c r="F33" s="16">
        <f ca="1">IF('FIRE1110 raw'!F33="..","..",ROUND('FIRE1110 raw'!F33,0))</f>
        <v>79</v>
      </c>
      <c r="G33" s="4"/>
      <c r="I33" s="12"/>
      <c r="J33" s="12"/>
      <c r="L33" s="12"/>
      <c r="M33" s="12"/>
      <c r="O33" s="14"/>
      <c r="P33" s="14"/>
      <c r="Q33" s="14"/>
      <c r="R33" s="14"/>
      <c r="S33" s="14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5" customFormat="1" ht="15" customHeight="1" x14ac:dyDescent="0.35">
      <c r="A34" s="5" t="s">
        <v>39</v>
      </c>
      <c r="B34" s="104">
        <f ca="1">IF('FIRE1110 raw'!B34="..","..",ROUND('FIRE1110 raw'!B34,0))</f>
        <v>21</v>
      </c>
      <c r="C34" s="104">
        <f ca="1">IF('FIRE1110 raw'!C34="..","..",ROUND('FIRE1110 raw'!C34,0))</f>
        <v>43</v>
      </c>
      <c r="D34" s="104">
        <f ca="1">IF('FIRE1110 raw'!D34="..","..",ROUND('FIRE1110 raw'!D34,0))</f>
        <v>1</v>
      </c>
      <c r="E34" s="104">
        <f ca="1">IF('FIRE1110 raw'!E34="..","..",ROUND('FIRE1110 raw'!E34,0))</f>
        <v>13</v>
      </c>
      <c r="F34" s="16">
        <f ca="1">IF('FIRE1110 raw'!F34="..","..",ROUND('FIRE1110 raw'!F34,0))</f>
        <v>78</v>
      </c>
      <c r="G34" s="4"/>
      <c r="I34" s="12"/>
      <c r="J34" s="12"/>
      <c r="L34" s="12"/>
      <c r="M34" s="12"/>
      <c r="O34" s="14"/>
      <c r="P34" s="14"/>
      <c r="Q34" s="14"/>
      <c r="R34" s="14"/>
      <c r="S34" s="1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5" customFormat="1" ht="15" customHeight="1" x14ac:dyDescent="0.35">
      <c r="A35" s="4" t="s">
        <v>40</v>
      </c>
      <c r="B35" s="104">
        <f ca="1">IF('FIRE1110 raw'!B35="..","..",ROUND('FIRE1110 raw'!B35,0))</f>
        <v>0</v>
      </c>
      <c r="C35" s="104">
        <f ca="1">IF('FIRE1110 raw'!C35="..","..",ROUND('FIRE1110 raw'!C35,0))</f>
        <v>0</v>
      </c>
      <c r="D35" s="104">
        <f ca="1">IF('FIRE1110 raw'!D35="..","..",ROUND('FIRE1110 raw'!D35,0))</f>
        <v>10</v>
      </c>
      <c r="E35" s="104">
        <f ca="1">IF('FIRE1110 raw'!E35="..","..",ROUND('FIRE1110 raw'!E35,0))</f>
        <v>0</v>
      </c>
      <c r="F35" s="16">
        <f ca="1">IF('FIRE1110 raw'!F35="..","..",ROUND('FIRE1110 raw'!F35,0))</f>
        <v>10</v>
      </c>
      <c r="G35" s="4"/>
      <c r="I35" s="12"/>
      <c r="J35" s="12"/>
      <c r="L35" s="12"/>
      <c r="M35" s="12"/>
      <c r="O35" s="14"/>
      <c r="P35" s="14"/>
      <c r="Q35" s="14"/>
      <c r="R35" s="14"/>
      <c r="S35" s="1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5" customFormat="1" ht="15" customHeight="1" x14ac:dyDescent="0.35">
      <c r="A36" s="5" t="s">
        <v>41</v>
      </c>
      <c r="B36" s="104">
        <f ca="1">IF('FIRE1110 raw'!B36="..","..",ROUND('FIRE1110 raw'!B36,0))</f>
        <v>25</v>
      </c>
      <c r="C36" s="104">
        <f ca="1">IF('FIRE1110 raw'!C36="..","..",ROUND('FIRE1110 raw'!C36,0))</f>
        <v>55</v>
      </c>
      <c r="D36" s="104">
        <f ca="1">IF('FIRE1110 raw'!D36="..","..",ROUND('FIRE1110 raw'!D36,0))</f>
        <v>2</v>
      </c>
      <c r="E36" s="104">
        <f ca="1">IF('FIRE1110 raw'!E36="..","..",ROUND('FIRE1110 raw'!E36,0))</f>
        <v>15</v>
      </c>
      <c r="F36" s="16">
        <f ca="1">IF('FIRE1110 raw'!F36="..","..",ROUND('FIRE1110 raw'!F36,0))</f>
        <v>97</v>
      </c>
      <c r="G36" s="4"/>
      <c r="I36" s="12"/>
      <c r="J36" s="12"/>
      <c r="L36" s="12"/>
      <c r="M36" s="12"/>
      <c r="O36" s="14"/>
      <c r="P36" s="14"/>
      <c r="Q36" s="14"/>
      <c r="R36" s="14"/>
      <c r="S36" s="1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5" customFormat="1" ht="15" customHeight="1" x14ac:dyDescent="0.35">
      <c r="A37" s="5" t="s">
        <v>42</v>
      </c>
      <c r="B37" s="104">
        <f ca="1">IF('FIRE1110 raw'!B37="..","..",ROUND('FIRE1110 raw'!B37,0))</f>
        <v>16</v>
      </c>
      <c r="C37" s="104">
        <f ca="1">IF('FIRE1110 raw'!C37="..","..",ROUND('FIRE1110 raw'!C37,0))</f>
        <v>31</v>
      </c>
      <c r="D37" s="104">
        <f ca="1">IF('FIRE1110 raw'!D37="..","..",ROUND('FIRE1110 raw'!D37,0))</f>
        <v>2</v>
      </c>
      <c r="E37" s="104">
        <f ca="1">IF('FIRE1110 raw'!E37="..","..",ROUND('FIRE1110 raw'!E37,0))</f>
        <v>6</v>
      </c>
      <c r="F37" s="16">
        <f ca="1">IF('FIRE1110 raw'!F37="..","..",ROUND('FIRE1110 raw'!F37,0))</f>
        <v>55</v>
      </c>
      <c r="G37" s="4"/>
      <c r="I37" s="12"/>
      <c r="J37" s="12"/>
      <c r="L37" s="12"/>
      <c r="M37" s="12"/>
      <c r="O37" s="14"/>
      <c r="P37" s="14"/>
      <c r="Q37" s="14"/>
      <c r="R37" s="14"/>
      <c r="S37" s="1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5" customFormat="1" ht="15" customHeight="1" x14ac:dyDescent="0.35">
      <c r="A38" s="5" t="s">
        <v>43</v>
      </c>
      <c r="B38" s="104">
        <f ca="1">IF('FIRE1110 raw'!B38="..","..",ROUND('FIRE1110 raw'!B38,0))</f>
        <v>13</v>
      </c>
      <c r="C38" s="104">
        <f ca="1">IF('FIRE1110 raw'!C38="..","..",ROUND('FIRE1110 raw'!C38,0))</f>
        <v>16</v>
      </c>
      <c r="D38" s="104">
        <f ca="1">IF('FIRE1110 raw'!D38="..","..",ROUND('FIRE1110 raw'!D38,0))</f>
        <v>0</v>
      </c>
      <c r="E38" s="104">
        <f ca="1">IF('FIRE1110 raw'!E38="..","..",ROUND('FIRE1110 raw'!E38,0))</f>
        <v>0</v>
      </c>
      <c r="F38" s="16">
        <f ca="1">IF('FIRE1110 raw'!F38="..","..",ROUND('FIRE1110 raw'!F38,0))</f>
        <v>29</v>
      </c>
      <c r="G38" s="4"/>
      <c r="I38" s="12"/>
      <c r="J38" s="12"/>
      <c r="L38" s="12"/>
      <c r="M38" s="12"/>
      <c r="O38" s="14"/>
      <c r="P38" s="14"/>
      <c r="Q38" s="14"/>
      <c r="R38" s="14"/>
      <c r="S38" s="1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5" customFormat="1" ht="15" customHeight="1" x14ac:dyDescent="0.35">
      <c r="A39" s="4" t="s">
        <v>44</v>
      </c>
      <c r="B39" s="104">
        <f ca="1">IF('FIRE1110 raw'!B39="..","..",ROUND('FIRE1110 raw'!B39,0))</f>
        <v>37</v>
      </c>
      <c r="C39" s="104">
        <f ca="1">IF('FIRE1110 raw'!C39="..","..",ROUND('FIRE1110 raw'!C39,0))</f>
        <v>29</v>
      </c>
      <c r="D39" s="104">
        <f ca="1">IF('FIRE1110 raw'!D39="..","..",ROUND('FIRE1110 raw'!D39,0))</f>
        <v>1</v>
      </c>
      <c r="E39" s="104">
        <f ca="1">IF('FIRE1110 raw'!E39="..","..",ROUND('FIRE1110 raw'!E39,0))</f>
        <v>16</v>
      </c>
      <c r="F39" s="16">
        <f ca="1">IF('FIRE1110 raw'!F39="..","..",ROUND('FIRE1110 raw'!F39,0))</f>
        <v>83</v>
      </c>
      <c r="G39" s="4"/>
      <c r="I39" s="12"/>
      <c r="J39" s="12"/>
      <c r="L39" s="12"/>
      <c r="M39" s="12"/>
      <c r="O39" s="14"/>
      <c r="P39" s="14"/>
      <c r="Q39" s="14"/>
      <c r="R39" s="14"/>
      <c r="S39" s="1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5" customFormat="1" ht="15" customHeight="1" x14ac:dyDescent="0.35">
      <c r="A40" s="4" t="s">
        <v>45</v>
      </c>
      <c r="B40" s="104">
        <f ca="1">IF('FIRE1110 raw'!B40="..","..",ROUND('FIRE1110 raw'!B40,0))</f>
        <v>10</v>
      </c>
      <c r="C40" s="104">
        <f ca="1">IF('FIRE1110 raw'!C40="..","..",ROUND('FIRE1110 raw'!C40,0))</f>
        <v>49</v>
      </c>
      <c r="D40" s="104">
        <f ca="1">IF('FIRE1110 raw'!D40="..","..",ROUND('FIRE1110 raw'!D40,0))</f>
        <v>0</v>
      </c>
      <c r="E40" s="104">
        <f ca="1">IF('FIRE1110 raw'!E40="..","..",ROUND('FIRE1110 raw'!E40,0))</f>
        <v>9</v>
      </c>
      <c r="F40" s="16">
        <f ca="1">IF('FIRE1110 raw'!F40="..","..",ROUND('FIRE1110 raw'!F40,0))</f>
        <v>68</v>
      </c>
      <c r="G40" s="4"/>
      <c r="I40" s="12"/>
      <c r="J40" s="12"/>
      <c r="L40" s="12"/>
      <c r="M40" s="12"/>
      <c r="O40" s="14"/>
      <c r="P40" s="14"/>
      <c r="Q40" s="14"/>
      <c r="R40" s="14"/>
      <c r="S40" s="1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s="5" customFormat="1" ht="15" customHeight="1" x14ac:dyDescent="0.35">
      <c r="A41" s="4" t="s">
        <v>46</v>
      </c>
      <c r="B41" s="104">
        <f ca="1">IF('FIRE1110 raw'!B41="..","..",ROUND('FIRE1110 raw'!B41,0))</f>
        <v>4</v>
      </c>
      <c r="C41" s="104">
        <f ca="1">IF('FIRE1110 raw'!C41="..","..",ROUND('FIRE1110 raw'!C41,0))</f>
        <v>28</v>
      </c>
      <c r="D41" s="104">
        <f ca="1">IF('FIRE1110 raw'!D41="..","..",ROUND('FIRE1110 raw'!D41,0))</f>
        <v>2</v>
      </c>
      <c r="E41" s="104">
        <f ca="1">IF('FIRE1110 raw'!E41="..","..",ROUND('FIRE1110 raw'!E41,0))</f>
        <v>10</v>
      </c>
      <c r="F41" s="16">
        <f ca="1">IF('FIRE1110 raw'!F41="..","..",ROUND('FIRE1110 raw'!F41,0))</f>
        <v>44</v>
      </c>
      <c r="G41" s="4"/>
      <c r="I41" s="12"/>
      <c r="J41" s="12"/>
      <c r="L41" s="12"/>
      <c r="M41" s="12"/>
      <c r="O41" s="14"/>
      <c r="P41" s="14"/>
      <c r="Q41" s="14"/>
      <c r="R41" s="14"/>
      <c r="S41" s="1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s="5" customFormat="1" ht="15" customHeight="1" x14ac:dyDescent="0.35">
      <c r="A42" s="4" t="s">
        <v>48</v>
      </c>
      <c r="B42" s="104">
        <f ca="1">IF('FIRE1110 raw'!B42="..","..",ROUND('FIRE1110 raw'!B42,0))</f>
        <v>16</v>
      </c>
      <c r="C42" s="104">
        <f ca="1">IF('FIRE1110 raw'!C42="..","..",ROUND('FIRE1110 raw'!C42,0))</f>
        <v>37</v>
      </c>
      <c r="D42" s="104">
        <f ca="1">IF('FIRE1110 raw'!D42="..","..",ROUND('FIRE1110 raw'!D42,0))</f>
        <v>0</v>
      </c>
      <c r="E42" s="104">
        <f ca="1">IF('FIRE1110 raw'!E42="..","..",ROUND('FIRE1110 raw'!E42,0))</f>
        <v>35</v>
      </c>
      <c r="F42" s="16">
        <f ca="1">IF('FIRE1110 raw'!F42="..","..",ROUND('FIRE1110 raw'!F42,0))</f>
        <v>88</v>
      </c>
      <c r="G42" s="4"/>
      <c r="I42" s="12"/>
      <c r="J42" s="12"/>
      <c r="L42" s="12"/>
      <c r="M42" s="12"/>
      <c r="O42" s="14"/>
      <c r="P42" s="14"/>
      <c r="Q42" s="14"/>
      <c r="R42" s="14"/>
      <c r="S42" s="1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s="5" customFormat="1" ht="15" customHeight="1" x14ac:dyDescent="0.35">
      <c r="A43" s="4" t="s">
        <v>49</v>
      </c>
      <c r="B43" s="104">
        <f ca="1">IF('FIRE1110 raw'!B43="..","..",ROUND('FIRE1110 raw'!B43,0))</f>
        <v>16</v>
      </c>
      <c r="C43" s="104">
        <f ca="1">IF('FIRE1110 raw'!C43="..","..",ROUND('FIRE1110 raw'!C43,0))</f>
        <v>44</v>
      </c>
      <c r="D43" s="104">
        <f ca="1">IF('FIRE1110 raw'!D43="..","..",ROUND('FIRE1110 raw'!D43,0))</f>
        <v>0</v>
      </c>
      <c r="E43" s="104">
        <f ca="1">IF('FIRE1110 raw'!E43="..","..",ROUND('FIRE1110 raw'!E43,0))</f>
        <v>9</v>
      </c>
      <c r="F43" s="16">
        <f ca="1">IF('FIRE1110 raw'!F43="..","..",ROUND('FIRE1110 raw'!F43,0))</f>
        <v>69</v>
      </c>
      <c r="G43" s="4"/>
      <c r="I43" s="12"/>
      <c r="J43" s="12"/>
      <c r="L43" s="12"/>
      <c r="M43" s="12"/>
      <c r="O43" s="14"/>
      <c r="P43" s="14"/>
      <c r="Q43" s="14"/>
      <c r="R43" s="14"/>
      <c r="S43" s="1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s="5" customFormat="1" ht="15" customHeight="1" x14ac:dyDescent="0.35">
      <c r="A44" s="4" t="s">
        <v>50</v>
      </c>
      <c r="B44" s="104">
        <f ca="1">IF('FIRE1110 raw'!B44="..","..",ROUND('FIRE1110 raw'!B44,0))</f>
        <v>38</v>
      </c>
      <c r="C44" s="104">
        <f ca="1">IF('FIRE1110 raw'!C44="..","..",ROUND('FIRE1110 raw'!C44,0))</f>
        <v>7</v>
      </c>
      <c r="D44" s="104">
        <f ca="1">IF('FIRE1110 raw'!D44="..","..",ROUND('FIRE1110 raw'!D44,0))</f>
        <v>4</v>
      </c>
      <c r="E44" s="104">
        <f ca="1">IF('FIRE1110 raw'!E44="..","..",ROUND('FIRE1110 raw'!E44,0))</f>
        <v>15</v>
      </c>
      <c r="F44" s="16">
        <f ca="1">IF('FIRE1110 raw'!F44="..","..",ROUND('FIRE1110 raw'!F44,0))</f>
        <v>64</v>
      </c>
      <c r="G44" s="4"/>
      <c r="I44" s="12"/>
      <c r="J44" s="12"/>
      <c r="L44" s="12"/>
      <c r="M44" s="12"/>
      <c r="O44" s="14"/>
      <c r="P44" s="14"/>
      <c r="Q44" s="14"/>
      <c r="R44" s="14"/>
      <c r="S44" s="1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s="5" customFormat="1" ht="15" customHeight="1" x14ac:dyDescent="0.35">
      <c r="A45" s="4" t="s">
        <v>52</v>
      </c>
      <c r="B45" s="104">
        <f ca="1">IF('FIRE1110 raw'!B45="..","..",ROUND('FIRE1110 raw'!B45,0))</f>
        <v>15</v>
      </c>
      <c r="C45" s="104">
        <f ca="1">IF('FIRE1110 raw'!C45="..","..",ROUND('FIRE1110 raw'!C45,0))</f>
        <v>18</v>
      </c>
      <c r="D45" s="104">
        <f ca="1">IF('FIRE1110 raw'!D45="..","..",ROUND('FIRE1110 raw'!D45,0))</f>
        <v>0</v>
      </c>
      <c r="E45" s="104">
        <f ca="1">IF('FIRE1110 raw'!E45="..","..",ROUND('FIRE1110 raw'!E45,0))</f>
        <v>12</v>
      </c>
      <c r="F45" s="16">
        <f ca="1">IF('FIRE1110 raw'!F45="..","..",ROUND('FIRE1110 raw'!F45,0))</f>
        <v>45</v>
      </c>
      <c r="G45" s="4"/>
      <c r="I45" s="12"/>
      <c r="J45" s="12"/>
      <c r="L45" s="12"/>
      <c r="M45" s="12"/>
      <c r="O45" s="14"/>
      <c r="P45" s="14"/>
      <c r="Q45" s="14"/>
      <c r="R45" s="14"/>
      <c r="S45" s="1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s="5" customFormat="1" ht="15" customHeight="1" x14ac:dyDescent="0.35">
      <c r="A46" s="4" t="s">
        <v>54</v>
      </c>
      <c r="B46" s="104">
        <f ca="1">IF('FIRE1110 raw'!B46="..","..",ROUND('FIRE1110 raw'!B46,0))</f>
        <v>19</v>
      </c>
      <c r="C46" s="104">
        <f ca="1">IF('FIRE1110 raw'!C46="..","..",ROUND('FIRE1110 raw'!C46,0))</f>
        <v>30</v>
      </c>
      <c r="D46" s="104">
        <f ca="1">IF('FIRE1110 raw'!D46="..","..",ROUND('FIRE1110 raw'!D46,0))</f>
        <v>0</v>
      </c>
      <c r="E46" s="104">
        <f ca="1">IF('FIRE1110 raw'!E46="..","..",ROUND('FIRE1110 raw'!E46,0))</f>
        <v>24</v>
      </c>
      <c r="F46" s="16">
        <f ca="1">IF('FIRE1110 raw'!F46="..","..",ROUND('FIRE1110 raw'!F46,0))</f>
        <v>73</v>
      </c>
      <c r="G46" s="4"/>
      <c r="I46" s="12"/>
      <c r="J46" s="12"/>
      <c r="L46" s="12"/>
      <c r="M46" s="12"/>
      <c r="O46" s="14"/>
      <c r="P46" s="14"/>
      <c r="Q46" s="14"/>
      <c r="R46" s="14"/>
      <c r="S46" s="1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s="5" customFormat="1" ht="15" customHeight="1" x14ac:dyDescent="0.35">
      <c r="A47" s="4" t="s">
        <v>33</v>
      </c>
      <c r="B47" s="104">
        <f ca="1">IF('FIRE1110 raw'!B47="..","..",ROUND('FIRE1110 raw'!B47,0))</f>
        <v>0</v>
      </c>
      <c r="C47" s="104">
        <f ca="1">IF('FIRE1110 raw'!C47="..","..",ROUND('FIRE1110 raw'!C47,0))</f>
        <v>7</v>
      </c>
      <c r="D47" s="104">
        <f ca="1">IF('FIRE1110 raw'!D47="..","..",ROUND('FIRE1110 raw'!D47,0))</f>
        <v>0</v>
      </c>
      <c r="E47" s="104">
        <f ca="1">IF('FIRE1110 raw'!E47="..","..",ROUND('FIRE1110 raw'!E47,0))</f>
        <v>1</v>
      </c>
      <c r="F47" s="16">
        <f ca="1">IF('FIRE1110 raw'!F47="..","..",ROUND('FIRE1110 raw'!F47,0))</f>
        <v>8</v>
      </c>
      <c r="G47" s="4"/>
      <c r="I47" s="12"/>
      <c r="J47" s="12"/>
      <c r="L47" s="12"/>
      <c r="M47" s="12"/>
      <c r="O47" s="14"/>
      <c r="P47" s="14"/>
      <c r="Q47" s="14"/>
      <c r="R47" s="14"/>
      <c r="S47" s="1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s="5" customFormat="1" ht="15" customHeight="1" x14ac:dyDescent="0.35">
      <c r="A48" s="52" t="s">
        <v>8</v>
      </c>
      <c r="B48" s="16">
        <f ca="1">IF('FIRE1110 raw'!B48="..","..",ROUND('FIRE1110 raw'!B48,0))</f>
        <v>691</v>
      </c>
      <c r="C48" s="16">
        <f ca="1">IF('FIRE1110 raw'!C48="..","..",ROUND('FIRE1110 raw'!C48,0))</f>
        <v>44</v>
      </c>
      <c r="D48" s="16">
        <f ca="1">IF('FIRE1110 raw'!D48="..","..",ROUND('FIRE1110 raw'!D48,0))</f>
        <v>28</v>
      </c>
      <c r="E48" s="16">
        <f ca="1">IF('FIRE1110 raw'!E48="..","..",ROUND('FIRE1110 raw'!E48,0))</f>
        <v>296</v>
      </c>
      <c r="F48" s="16">
        <f ca="1">IF('FIRE1110 raw'!F48="..","..",ROUND('FIRE1110 raw'!F48,0))</f>
        <v>1059</v>
      </c>
      <c r="G48" s="4"/>
      <c r="I48" s="12"/>
      <c r="J48" s="12"/>
      <c r="L48" s="12"/>
      <c r="M48" s="12"/>
      <c r="O48" s="14"/>
      <c r="P48" s="14"/>
      <c r="Q48" s="14"/>
      <c r="R48" s="14"/>
      <c r="S48" s="1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s="5" customFormat="1" ht="15" customHeight="1" x14ac:dyDescent="0.35">
      <c r="A49" s="106" t="s">
        <v>27</v>
      </c>
      <c r="B49" s="104">
        <f ca="1">IF('FIRE1110 raw'!B49="..","..",ROUND('FIRE1110 raw'!B49,0))</f>
        <v>92</v>
      </c>
      <c r="C49" s="104">
        <f ca="1">IF('FIRE1110 raw'!C49="..","..",ROUND('FIRE1110 raw'!C49,0))</f>
        <v>2</v>
      </c>
      <c r="D49" s="104">
        <f ca="1">IF('FIRE1110 raw'!D49="..","..",ROUND('FIRE1110 raw'!D49,0))</f>
        <v>0</v>
      </c>
      <c r="E49" s="104">
        <f ca="1">IF('FIRE1110 raw'!E49="..","..",ROUND('FIRE1110 raw'!E49,0))</f>
        <v>64</v>
      </c>
      <c r="F49" s="16">
        <f ca="1">IF('FIRE1110 raw'!F49="..","..",ROUND('FIRE1110 raw'!F49,0))</f>
        <v>158</v>
      </c>
      <c r="G49" s="4"/>
      <c r="I49" s="12"/>
      <c r="J49" s="12"/>
      <c r="L49" s="12"/>
      <c r="M49" s="12"/>
      <c r="O49" s="14"/>
      <c r="P49" s="14"/>
      <c r="Q49" s="14"/>
      <c r="R49" s="14"/>
      <c r="S49" s="1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s="5" customFormat="1" ht="15" customHeight="1" x14ac:dyDescent="0.35">
      <c r="A50" s="106" t="s">
        <v>38</v>
      </c>
      <c r="B50" s="104">
        <f ca="1">IF('FIRE1110 raw'!B50="..","..",ROUND('FIRE1110 raw'!B50,0))</f>
        <v>72</v>
      </c>
      <c r="C50" s="104">
        <f ca="1">IF('FIRE1110 raw'!C50="..","..",ROUND('FIRE1110 raw'!C50,0))</f>
        <v>10</v>
      </c>
      <c r="D50" s="104">
        <f ca="1">IF('FIRE1110 raw'!D50="..","..",ROUND('FIRE1110 raw'!D50,0))</f>
        <v>5</v>
      </c>
      <c r="E50" s="104">
        <f ca="1">IF('FIRE1110 raw'!E50="..","..",ROUND('FIRE1110 raw'!E50,0))</f>
        <v>35</v>
      </c>
      <c r="F50" s="16">
        <f ca="1">IF('FIRE1110 raw'!F50="..","..",ROUND('FIRE1110 raw'!F50,0))</f>
        <v>122</v>
      </c>
      <c r="G50" s="4"/>
      <c r="I50" s="12"/>
      <c r="J50" s="12"/>
      <c r="L50" s="12"/>
      <c r="M50" s="12"/>
      <c r="O50" s="14"/>
      <c r="P50" s="14"/>
      <c r="Q50" s="14"/>
      <c r="R50" s="14"/>
      <c r="S50" s="1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s="5" customFormat="1" ht="15" customHeight="1" x14ac:dyDescent="0.35">
      <c r="A51" s="106" t="s">
        <v>47</v>
      </c>
      <c r="B51" s="104">
        <f ca="1">IF('FIRE1110 raw'!B51="..","..",ROUND('FIRE1110 raw'!B51,0))</f>
        <v>47</v>
      </c>
      <c r="C51" s="104">
        <f ca="1">IF('FIRE1110 raw'!C51="..","..",ROUND('FIRE1110 raw'!C51,0))</f>
        <v>14</v>
      </c>
      <c r="D51" s="104">
        <f ca="1">IF('FIRE1110 raw'!D51="..","..",ROUND('FIRE1110 raw'!D51,0))</f>
        <v>1</v>
      </c>
      <c r="E51" s="104">
        <f ca="1">IF('FIRE1110 raw'!E51="..","..",ROUND('FIRE1110 raw'!E51,0))</f>
        <v>27</v>
      </c>
      <c r="F51" s="16">
        <f ca="1">IF('FIRE1110 raw'!F51="..","..",ROUND('FIRE1110 raw'!F51,0))</f>
        <v>89</v>
      </c>
      <c r="G51" s="4"/>
      <c r="I51" s="12"/>
      <c r="J51" s="12"/>
      <c r="L51" s="12"/>
      <c r="M51" s="12"/>
      <c r="O51" s="14"/>
      <c r="P51" s="14"/>
      <c r="Q51" s="14"/>
      <c r="R51" s="14"/>
      <c r="S51" s="1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s="5" customFormat="1" ht="15" customHeight="1" x14ac:dyDescent="0.35">
      <c r="A52" s="106" t="s">
        <v>51</v>
      </c>
      <c r="B52" s="104">
        <f ca="1">IF('FIRE1110 raw'!B52="..","..",ROUND('FIRE1110 raw'!B52,0))</f>
        <v>47</v>
      </c>
      <c r="C52" s="104">
        <f ca="1">IF('FIRE1110 raw'!C52="..","..",ROUND('FIRE1110 raw'!C52,0))</f>
        <v>0</v>
      </c>
      <c r="D52" s="104">
        <f ca="1">IF('FIRE1110 raw'!D52="..","..",ROUND('FIRE1110 raw'!D52,0))</f>
        <v>1</v>
      </c>
      <c r="E52" s="104">
        <f ca="1">IF('FIRE1110 raw'!E52="..","..",ROUND('FIRE1110 raw'!E52,0))</f>
        <v>19</v>
      </c>
      <c r="F52" s="16">
        <f ca="1">IF('FIRE1110 raw'!F52="..","..",ROUND('FIRE1110 raw'!F52,0))</f>
        <v>67</v>
      </c>
      <c r="G52" s="4"/>
      <c r="I52" s="12"/>
      <c r="J52" s="12"/>
      <c r="L52" s="12"/>
      <c r="M52" s="12"/>
      <c r="O52" s="14"/>
      <c r="P52" s="14"/>
      <c r="Q52" s="14"/>
      <c r="R52" s="14"/>
      <c r="S52" s="1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s="5" customFormat="1" ht="15" customHeight="1" x14ac:dyDescent="0.35">
      <c r="A53" s="106" t="s">
        <v>53</v>
      </c>
      <c r="B53" s="104">
        <f ca="1">IF('FIRE1110 raw'!B53="..","..",ROUND('FIRE1110 raw'!B53,0))</f>
        <v>103</v>
      </c>
      <c r="C53" s="104">
        <f ca="1">IF('FIRE1110 raw'!C53="..","..",ROUND('FIRE1110 raw'!C53,0))</f>
        <v>0</v>
      </c>
      <c r="D53" s="104">
        <f ca="1">IF('FIRE1110 raw'!D53="..","..",ROUND('FIRE1110 raw'!D53,0))</f>
        <v>3</v>
      </c>
      <c r="E53" s="104">
        <f ca="1">IF('FIRE1110 raw'!E53="..","..",ROUND('FIRE1110 raw'!E53,0))</f>
        <v>38</v>
      </c>
      <c r="F53" s="16">
        <f ca="1">IF('FIRE1110 raw'!F53="..","..",ROUND('FIRE1110 raw'!F53,0))</f>
        <v>144</v>
      </c>
      <c r="G53" s="4"/>
      <c r="I53" s="12"/>
      <c r="J53" s="12"/>
      <c r="L53" s="12"/>
      <c r="M53" s="12"/>
      <c r="O53" s="14"/>
      <c r="P53" s="14"/>
      <c r="Q53" s="14"/>
      <c r="R53" s="14"/>
      <c r="S53" s="1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s="5" customFormat="1" ht="15" customHeight="1" x14ac:dyDescent="0.35">
      <c r="A54" s="106" t="s">
        <v>55</v>
      </c>
      <c r="B54" s="104">
        <f ca="1">IF('FIRE1110 raw'!B54="..","..",ROUND('FIRE1110 raw'!B54,0))</f>
        <v>77</v>
      </c>
      <c r="C54" s="104">
        <f ca="1">IF('FIRE1110 raw'!C54="..","..",ROUND('FIRE1110 raw'!C54,0))</f>
        <v>18</v>
      </c>
      <c r="D54" s="104">
        <f ca="1">IF('FIRE1110 raw'!D54="..","..",ROUND('FIRE1110 raw'!D54,0))</f>
        <v>4</v>
      </c>
      <c r="E54" s="104">
        <f ca="1">IF('FIRE1110 raw'!E54="..","..",ROUND('FIRE1110 raw'!E54,0))</f>
        <v>39</v>
      </c>
      <c r="F54" s="16">
        <f ca="1">IF('FIRE1110 raw'!F54="..","..",ROUND('FIRE1110 raw'!F54,0))</f>
        <v>138</v>
      </c>
      <c r="G54" s="4"/>
      <c r="I54" s="12"/>
      <c r="J54" s="12"/>
      <c r="K54" s="4"/>
      <c r="L54" s="12"/>
      <c r="M54" s="12"/>
      <c r="O54" s="14"/>
      <c r="P54" s="14"/>
      <c r="Q54" s="14"/>
      <c r="R54" s="14"/>
      <c r="S54" s="1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s="5" customFormat="1" ht="15" customHeight="1" thickBot="1" x14ac:dyDescent="0.4">
      <c r="A55" s="17" t="s">
        <v>26</v>
      </c>
      <c r="B55" s="108">
        <f ca="1">IF('FIRE1110 raw'!B55="..","..",ROUND('FIRE1110 raw'!B55,0))</f>
        <v>253</v>
      </c>
      <c r="C55" s="108">
        <f ca="1">IF('FIRE1110 raw'!C55="..","..",ROUND('FIRE1110 raw'!C55,0))</f>
        <v>0</v>
      </c>
      <c r="D55" s="108">
        <f ca="1">IF('FIRE1110 raw'!D55="..","..",ROUND('FIRE1110 raw'!D55,0))</f>
        <v>14</v>
      </c>
      <c r="E55" s="108">
        <f ca="1">IF('FIRE1110 raw'!E55="..","..",ROUND('FIRE1110 raw'!E55,0))</f>
        <v>74</v>
      </c>
      <c r="F55" s="112">
        <f ca="1">IF('FIRE1110 raw'!F55="..","..",ROUND('FIRE1110 raw'!F55,0))</f>
        <v>341</v>
      </c>
      <c r="G55" s="4"/>
      <c r="I55" s="12"/>
      <c r="J55" s="12"/>
      <c r="K55" s="4"/>
      <c r="L55" s="12"/>
      <c r="M55" s="12"/>
      <c r="O55" s="14"/>
      <c r="P55" s="14"/>
      <c r="Q55" s="14"/>
      <c r="R55" s="14"/>
      <c r="S55" s="1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s="5" customFormat="1" ht="15" customHeight="1" x14ac:dyDescent="0.35">
      <c r="A56" s="4"/>
      <c r="B56" s="4"/>
      <c r="C56" s="4"/>
      <c r="D56" s="4"/>
      <c r="E56" s="4"/>
      <c r="F56" s="4"/>
      <c r="G56" s="4"/>
      <c r="I56" s="12"/>
      <c r="J56" s="12"/>
      <c r="K56" s="4"/>
      <c r="L56" s="12"/>
      <c r="M56" s="12"/>
      <c r="O56" s="14"/>
      <c r="P56" s="14"/>
      <c r="Q56" s="14"/>
      <c r="R56" s="14"/>
      <c r="S56" s="1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x14ac:dyDescent="0.35">
      <c r="A57" s="161" t="s">
        <v>179</v>
      </c>
      <c r="B57" s="161"/>
      <c r="C57" s="161"/>
      <c r="D57" s="161"/>
      <c r="E57" s="161"/>
      <c r="F57" s="161"/>
      <c r="I57" s="12"/>
      <c r="J57" s="12"/>
      <c r="L57" s="12"/>
      <c r="M57" s="12"/>
      <c r="N57" s="12"/>
      <c r="O57" s="12"/>
      <c r="P57" s="12"/>
      <c r="Q57" s="12"/>
      <c r="R57" s="12"/>
      <c r="S57" s="12"/>
    </row>
    <row r="58" spans="1:31" x14ac:dyDescent="0.35">
      <c r="A58" s="103" t="s">
        <v>180</v>
      </c>
      <c r="B58" s="145"/>
      <c r="C58" s="145"/>
      <c r="D58" s="145"/>
      <c r="E58" s="145"/>
      <c r="F58" s="145"/>
      <c r="I58" s="12"/>
      <c r="J58" s="12"/>
      <c r="L58" s="12"/>
      <c r="M58" s="12"/>
      <c r="N58" s="12"/>
      <c r="O58" s="12"/>
      <c r="P58" s="12"/>
      <c r="Q58" s="12"/>
      <c r="R58" s="12"/>
      <c r="S58" s="12"/>
    </row>
    <row r="59" spans="1:31" s="5" customFormat="1" ht="15" customHeight="1" x14ac:dyDescent="0.35">
      <c r="A59" s="162"/>
      <c r="B59" s="162"/>
      <c r="C59" s="162"/>
      <c r="D59" s="162"/>
      <c r="E59" s="162"/>
      <c r="F59" s="162"/>
      <c r="G59" s="4"/>
      <c r="H59" s="4"/>
      <c r="I59" s="12"/>
      <c r="J59" s="12"/>
      <c r="K59" s="4"/>
      <c r="L59" s="12"/>
      <c r="M59" s="12"/>
      <c r="N59" s="12"/>
      <c r="O59" s="12"/>
      <c r="P59" s="12"/>
      <c r="Q59" s="12"/>
      <c r="R59" s="12"/>
      <c r="S59" s="12"/>
    </row>
    <row r="60" spans="1:31" s="5" customFormat="1" ht="15" customHeight="1" x14ac:dyDescent="0.35">
      <c r="A60" s="18" t="s">
        <v>101</v>
      </c>
      <c r="B60" s="4"/>
      <c r="C60" s="4"/>
      <c r="D60" s="4"/>
      <c r="E60" s="4"/>
      <c r="F60" s="4"/>
      <c r="G60" s="4"/>
      <c r="H60" s="4"/>
      <c r="I60" s="12"/>
      <c r="J60" s="12"/>
      <c r="K60" s="4"/>
      <c r="L60" s="12"/>
      <c r="M60" s="12"/>
      <c r="N60" s="12"/>
      <c r="O60" s="12"/>
      <c r="P60" s="12"/>
      <c r="Q60" s="12"/>
      <c r="R60" s="12"/>
      <c r="S60" s="12"/>
    </row>
    <row r="61" spans="1:31" s="5" customFormat="1" ht="31.5" customHeight="1" x14ac:dyDescent="0.35">
      <c r="A61" s="161" t="s">
        <v>102</v>
      </c>
      <c r="B61" s="161"/>
      <c r="C61" s="161"/>
      <c r="D61" s="161"/>
      <c r="E61" s="161"/>
      <c r="F61" s="161"/>
      <c r="G61" s="4"/>
      <c r="H61" s="4"/>
      <c r="I61" s="12"/>
      <c r="J61" s="12"/>
      <c r="K61" s="4"/>
      <c r="L61" s="12"/>
      <c r="M61" s="12"/>
      <c r="N61" s="12"/>
      <c r="O61" s="12"/>
      <c r="P61" s="12"/>
      <c r="Q61" s="12"/>
      <c r="R61" s="12"/>
      <c r="S61" s="12"/>
    </row>
    <row r="62" spans="1:31" s="5" customFormat="1" ht="15" customHeight="1" x14ac:dyDescent="0.35">
      <c r="A62" s="19"/>
      <c r="B62" s="19"/>
      <c r="C62" s="19"/>
      <c r="D62" s="19"/>
      <c r="E62" s="19"/>
      <c r="F62" s="19"/>
      <c r="G62" s="4"/>
      <c r="H62" s="4"/>
      <c r="I62" s="12"/>
      <c r="J62" s="12"/>
      <c r="K62" s="4"/>
      <c r="L62" s="12"/>
      <c r="M62" s="12"/>
      <c r="N62" s="12"/>
      <c r="O62" s="12"/>
      <c r="P62" s="12"/>
      <c r="Q62" s="12"/>
      <c r="R62" s="12"/>
      <c r="S62" s="12"/>
    </row>
    <row r="63" spans="1:31" s="5" customFormat="1" ht="15" customHeight="1" x14ac:dyDescent="0.35">
      <c r="A63" s="4" t="s">
        <v>6</v>
      </c>
      <c r="B63" s="2"/>
      <c r="C63" s="2"/>
      <c r="D63" s="2"/>
      <c r="E63" s="2"/>
      <c r="F63" s="2"/>
      <c r="K63" s="4"/>
    </row>
    <row r="64" spans="1:31" s="5" customFormat="1" ht="15" customHeight="1" x14ac:dyDescent="0.35">
      <c r="A64" s="163" t="s">
        <v>7</v>
      </c>
      <c r="B64" s="163"/>
      <c r="C64" s="2"/>
      <c r="D64" s="2"/>
      <c r="E64" s="2"/>
      <c r="F64" s="2"/>
      <c r="K64" s="4"/>
    </row>
    <row r="65" spans="1:11" s="5" customFormat="1" ht="15" customHeight="1" x14ac:dyDescent="0.35">
      <c r="A65" s="20"/>
      <c r="B65" s="2"/>
      <c r="C65" s="2"/>
      <c r="D65" s="2"/>
      <c r="E65" s="2"/>
      <c r="F65" s="2"/>
      <c r="K65" s="4"/>
    </row>
    <row r="66" spans="1:11" s="5" customFormat="1" x14ac:dyDescent="0.35">
      <c r="A66" s="161" t="s">
        <v>103</v>
      </c>
      <c r="B66" s="161"/>
      <c r="C66" s="161"/>
      <c r="D66" s="161"/>
      <c r="E66" s="161"/>
      <c r="F66" s="161"/>
      <c r="K66" s="4"/>
    </row>
    <row r="68" spans="1:11" s="5" customFormat="1" x14ac:dyDescent="0.35">
      <c r="A68" s="4" t="s">
        <v>111</v>
      </c>
      <c r="B68" s="4"/>
      <c r="C68" s="4"/>
      <c r="D68" s="4"/>
      <c r="E68" s="160" t="s">
        <v>153</v>
      </c>
      <c r="F68" s="160"/>
      <c r="K68" s="4"/>
    </row>
    <row r="69" spans="1:11" s="5" customFormat="1" ht="14.5" customHeight="1" x14ac:dyDescent="0.35">
      <c r="A69" s="144" t="s">
        <v>151</v>
      </c>
      <c r="B69" s="4"/>
      <c r="C69" s="4"/>
      <c r="E69" s="159" t="s">
        <v>152</v>
      </c>
      <c r="F69" s="159"/>
      <c r="K69" s="4"/>
    </row>
    <row r="76" spans="1:11" x14ac:dyDescent="0.35">
      <c r="I76" s="4" t="s">
        <v>100</v>
      </c>
      <c r="J76" s="5"/>
    </row>
    <row r="77" spans="1:11" x14ac:dyDescent="0.35">
      <c r="I77" s="4" t="s">
        <v>76</v>
      </c>
    </row>
    <row r="78" spans="1:11" x14ac:dyDescent="0.35">
      <c r="I78" s="4" t="s">
        <v>77</v>
      </c>
    </row>
    <row r="79" spans="1:11" x14ac:dyDescent="0.35">
      <c r="I79" s="4" t="s">
        <v>78</v>
      </c>
    </row>
    <row r="80" spans="1:11" x14ac:dyDescent="0.35">
      <c r="I80" s="4" t="s">
        <v>79</v>
      </c>
    </row>
    <row r="81" spans="9:9" x14ac:dyDescent="0.35">
      <c r="I81" s="4" t="s">
        <v>72</v>
      </c>
    </row>
    <row r="82" spans="9:9" x14ac:dyDescent="0.35">
      <c r="I82" s="4" t="s">
        <v>57</v>
      </c>
    </row>
    <row r="83" spans="9:9" x14ac:dyDescent="0.35">
      <c r="I83" s="4" t="s">
        <v>107</v>
      </c>
    </row>
    <row r="84" spans="9:9" x14ac:dyDescent="0.35">
      <c r="I84" s="4" t="s">
        <v>113</v>
      </c>
    </row>
    <row r="85" spans="9:9" x14ac:dyDescent="0.35">
      <c r="I85" s="4" t="s">
        <v>149</v>
      </c>
    </row>
  </sheetData>
  <mergeCells count="10">
    <mergeCell ref="E69:F69"/>
    <mergeCell ref="E68:F68"/>
    <mergeCell ref="A66:F66"/>
    <mergeCell ref="A1:F1"/>
    <mergeCell ref="A4:E4"/>
    <mergeCell ref="B5:E5"/>
    <mergeCell ref="A57:F57"/>
    <mergeCell ref="A59:F59"/>
    <mergeCell ref="A61:F61"/>
    <mergeCell ref="A64:B64"/>
  </mergeCells>
  <dataValidations count="1">
    <dataValidation type="list" allowBlank="1" showInputMessage="1" showErrorMessage="1" sqref="A4:E4" xr:uid="{00000000-0002-0000-0A00-000000000000}">
      <formula1>$I$76:$I$85</formula1>
    </dataValidation>
  </dataValidations>
  <hyperlinks>
    <hyperlink ref="A64" r:id="rId1" xr:uid="{00000000-0004-0000-0A00-000000000000}"/>
    <hyperlink ref="A69" r:id="rId2" xr:uid="{00000000-0004-0000-0A00-000001000000}"/>
    <hyperlink ref="E68" r:id="rId3" display="Updated alongside Fire and rescue workforce and pensions statistics" xr:uid="{948A6F7B-E1BD-42CC-88FE-03AD79C9BA79}"/>
    <hyperlink ref="E69:F69" r:id="rId4" display="Next Update: Autumn 2020" xr:uid="{17BFF524-DCE1-46AA-A4C0-5D16E0FE87DB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2"/>
  </sheetPr>
  <dimension ref="A1:I63"/>
  <sheetViews>
    <sheetView showGridLines="0" zoomScale="85" zoomScaleNormal="100" workbookViewId="0">
      <pane xSplit="2" ySplit="2" topLeftCell="C3" activePane="bottomRight" state="frozen"/>
      <selection activeCell="A57" sqref="A57:F57"/>
      <selection pane="topRight" activeCell="A57" sqref="A57:F57"/>
      <selection pane="bottomLeft" activeCell="A57" sqref="A57:F57"/>
      <selection pane="bottomRight" activeCell="A57" sqref="A57:F57"/>
    </sheetView>
  </sheetViews>
  <sheetFormatPr defaultRowHeight="13" x14ac:dyDescent="0.35"/>
  <cols>
    <col min="1" max="1" width="3.54296875" style="76" hidden="1" customWidth="1"/>
    <col min="2" max="2" width="27.54296875" style="76" bestFit="1" customWidth="1"/>
    <col min="3" max="3" width="20.1796875" style="76" customWidth="1"/>
    <col min="4" max="4" width="21.7265625" style="76" customWidth="1"/>
    <col min="5" max="5" width="18.81640625" style="76" customWidth="1"/>
    <col min="6" max="6" width="21.453125" style="76" customWidth="1"/>
    <col min="7" max="7" width="26.54296875" style="76" customWidth="1"/>
    <col min="8" max="256" width="9.1796875" style="76"/>
    <col min="257" max="257" width="0" style="76" hidden="1" customWidth="1"/>
    <col min="258" max="258" width="27.54296875" style="76" bestFit="1" customWidth="1"/>
    <col min="259" max="259" width="20.1796875" style="76" customWidth="1"/>
    <col min="260" max="260" width="21.7265625" style="76" customWidth="1"/>
    <col min="261" max="261" width="18.81640625" style="76" customWidth="1"/>
    <col min="262" max="262" width="21.453125" style="76" customWidth="1"/>
    <col min="263" max="263" width="26.54296875" style="76" customWidth="1"/>
    <col min="264" max="512" width="9.1796875" style="76"/>
    <col min="513" max="513" width="0" style="76" hidden="1" customWidth="1"/>
    <col min="514" max="514" width="27.54296875" style="76" bestFit="1" customWidth="1"/>
    <col min="515" max="515" width="20.1796875" style="76" customWidth="1"/>
    <col min="516" max="516" width="21.7265625" style="76" customWidth="1"/>
    <col min="517" max="517" width="18.81640625" style="76" customWidth="1"/>
    <col min="518" max="518" width="21.453125" style="76" customWidth="1"/>
    <col min="519" max="519" width="26.54296875" style="76" customWidth="1"/>
    <col min="520" max="768" width="9.1796875" style="76"/>
    <col min="769" max="769" width="0" style="76" hidden="1" customWidth="1"/>
    <col min="770" max="770" width="27.54296875" style="76" bestFit="1" customWidth="1"/>
    <col min="771" max="771" width="20.1796875" style="76" customWidth="1"/>
    <col min="772" max="772" width="21.7265625" style="76" customWidth="1"/>
    <col min="773" max="773" width="18.81640625" style="76" customWidth="1"/>
    <col min="774" max="774" width="21.453125" style="76" customWidth="1"/>
    <col min="775" max="775" width="26.54296875" style="76" customWidth="1"/>
    <col min="776" max="1024" width="9.1796875" style="76"/>
    <col min="1025" max="1025" width="0" style="76" hidden="1" customWidth="1"/>
    <col min="1026" max="1026" width="27.54296875" style="76" bestFit="1" customWidth="1"/>
    <col min="1027" max="1027" width="20.1796875" style="76" customWidth="1"/>
    <col min="1028" max="1028" width="21.7265625" style="76" customWidth="1"/>
    <col min="1029" max="1029" width="18.81640625" style="76" customWidth="1"/>
    <col min="1030" max="1030" width="21.453125" style="76" customWidth="1"/>
    <col min="1031" max="1031" width="26.54296875" style="76" customWidth="1"/>
    <col min="1032" max="1280" width="9.1796875" style="76"/>
    <col min="1281" max="1281" width="0" style="76" hidden="1" customWidth="1"/>
    <col min="1282" max="1282" width="27.54296875" style="76" bestFit="1" customWidth="1"/>
    <col min="1283" max="1283" width="20.1796875" style="76" customWidth="1"/>
    <col min="1284" max="1284" width="21.7265625" style="76" customWidth="1"/>
    <col min="1285" max="1285" width="18.81640625" style="76" customWidth="1"/>
    <col min="1286" max="1286" width="21.453125" style="76" customWidth="1"/>
    <col min="1287" max="1287" width="26.54296875" style="76" customWidth="1"/>
    <col min="1288" max="1536" width="9.1796875" style="76"/>
    <col min="1537" max="1537" width="0" style="76" hidden="1" customWidth="1"/>
    <col min="1538" max="1538" width="27.54296875" style="76" bestFit="1" customWidth="1"/>
    <col min="1539" max="1539" width="20.1796875" style="76" customWidth="1"/>
    <col min="1540" max="1540" width="21.7265625" style="76" customWidth="1"/>
    <col min="1541" max="1541" width="18.81640625" style="76" customWidth="1"/>
    <col min="1542" max="1542" width="21.453125" style="76" customWidth="1"/>
    <col min="1543" max="1543" width="26.54296875" style="76" customWidth="1"/>
    <col min="1544" max="1792" width="9.1796875" style="76"/>
    <col min="1793" max="1793" width="0" style="76" hidden="1" customWidth="1"/>
    <col min="1794" max="1794" width="27.54296875" style="76" bestFit="1" customWidth="1"/>
    <col min="1795" max="1795" width="20.1796875" style="76" customWidth="1"/>
    <col min="1796" max="1796" width="21.7265625" style="76" customWidth="1"/>
    <col min="1797" max="1797" width="18.81640625" style="76" customWidth="1"/>
    <col min="1798" max="1798" width="21.453125" style="76" customWidth="1"/>
    <col min="1799" max="1799" width="26.54296875" style="76" customWidth="1"/>
    <col min="1800" max="2048" width="9.1796875" style="76"/>
    <col min="2049" max="2049" width="0" style="76" hidden="1" customWidth="1"/>
    <col min="2050" max="2050" width="27.54296875" style="76" bestFit="1" customWidth="1"/>
    <col min="2051" max="2051" width="20.1796875" style="76" customWidth="1"/>
    <col min="2052" max="2052" width="21.7265625" style="76" customWidth="1"/>
    <col min="2053" max="2053" width="18.81640625" style="76" customWidth="1"/>
    <col min="2054" max="2054" width="21.453125" style="76" customWidth="1"/>
    <col min="2055" max="2055" width="26.54296875" style="76" customWidth="1"/>
    <col min="2056" max="2304" width="9.1796875" style="76"/>
    <col min="2305" max="2305" width="0" style="76" hidden="1" customWidth="1"/>
    <col min="2306" max="2306" width="27.54296875" style="76" bestFit="1" customWidth="1"/>
    <col min="2307" max="2307" width="20.1796875" style="76" customWidth="1"/>
    <col min="2308" max="2308" width="21.7265625" style="76" customWidth="1"/>
    <col min="2309" max="2309" width="18.81640625" style="76" customWidth="1"/>
    <col min="2310" max="2310" width="21.453125" style="76" customWidth="1"/>
    <col min="2311" max="2311" width="26.54296875" style="76" customWidth="1"/>
    <col min="2312" max="2560" width="9.1796875" style="76"/>
    <col min="2561" max="2561" width="0" style="76" hidden="1" customWidth="1"/>
    <col min="2562" max="2562" width="27.54296875" style="76" bestFit="1" customWidth="1"/>
    <col min="2563" max="2563" width="20.1796875" style="76" customWidth="1"/>
    <col min="2564" max="2564" width="21.7265625" style="76" customWidth="1"/>
    <col min="2565" max="2565" width="18.81640625" style="76" customWidth="1"/>
    <col min="2566" max="2566" width="21.453125" style="76" customWidth="1"/>
    <col min="2567" max="2567" width="26.54296875" style="76" customWidth="1"/>
    <col min="2568" max="2816" width="9.1796875" style="76"/>
    <col min="2817" max="2817" width="0" style="76" hidden="1" customWidth="1"/>
    <col min="2818" max="2818" width="27.54296875" style="76" bestFit="1" customWidth="1"/>
    <col min="2819" max="2819" width="20.1796875" style="76" customWidth="1"/>
    <col min="2820" max="2820" width="21.7265625" style="76" customWidth="1"/>
    <col min="2821" max="2821" width="18.81640625" style="76" customWidth="1"/>
    <col min="2822" max="2822" width="21.453125" style="76" customWidth="1"/>
    <col min="2823" max="2823" width="26.54296875" style="76" customWidth="1"/>
    <col min="2824" max="3072" width="9.1796875" style="76"/>
    <col min="3073" max="3073" width="0" style="76" hidden="1" customWidth="1"/>
    <col min="3074" max="3074" width="27.54296875" style="76" bestFit="1" customWidth="1"/>
    <col min="3075" max="3075" width="20.1796875" style="76" customWidth="1"/>
    <col min="3076" max="3076" width="21.7265625" style="76" customWidth="1"/>
    <col min="3077" max="3077" width="18.81640625" style="76" customWidth="1"/>
    <col min="3078" max="3078" width="21.453125" style="76" customWidth="1"/>
    <col min="3079" max="3079" width="26.54296875" style="76" customWidth="1"/>
    <col min="3080" max="3328" width="9.1796875" style="76"/>
    <col min="3329" max="3329" width="0" style="76" hidden="1" customWidth="1"/>
    <col min="3330" max="3330" width="27.54296875" style="76" bestFit="1" customWidth="1"/>
    <col min="3331" max="3331" width="20.1796875" style="76" customWidth="1"/>
    <col min="3332" max="3332" width="21.7265625" style="76" customWidth="1"/>
    <col min="3333" max="3333" width="18.81640625" style="76" customWidth="1"/>
    <col min="3334" max="3334" width="21.453125" style="76" customWidth="1"/>
    <col min="3335" max="3335" width="26.54296875" style="76" customWidth="1"/>
    <col min="3336" max="3584" width="9.1796875" style="76"/>
    <col min="3585" max="3585" width="0" style="76" hidden="1" customWidth="1"/>
    <col min="3586" max="3586" width="27.54296875" style="76" bestFit="1" customWidth="1"/>
    <col min="3587" max="3587" width="20.1796875" style="76" customWidth="1"/>
    <col min="3588" max="3588" width="21.7265625" style="76" customWidth="1"/>
    <col min="3589" max="3589" width="18.81640625" style="76" customWidth="1"/>
    <col min="3590" max="3590" width="21.453125" style="76" customWidth="1"/>
    <col min="3591" max="3591" width="26.54296875" style="76" customWidth="1"/>
    <col min="3592" max="3840" width="9.1796875" style="76"/>
    <col min="3841" max="3841" width="0" style="76" hidden="1" customWidth="1"/>
    <col min="3842" max="3842" width="27.54296875" style="76" bestFit="1" customWidth="1"/>
    <col min="3843" max="3843" width="20.1796875" style="76" customWidth="1"/>
    <col min="3844" max="3844" width="21.7265625" style="76" customWidth="1"/>
    <col min="3845" max="3845" width="18.81640625" style="76" customWidth="1"/>
    <col min="3846" max="3846" width="21.453125" style="76" customWidth="1"/>
    <col min="3847" max="3847" width="26.54296875" style="76" customWidth="1"/>
    <col min="3848" max="4096" width="9.1796875" style="76"/>
    <col min="4097" max="4097" width="0" style="76" hidden="1" customWidth="1"/>
    <col min="4098" max="4098" width="27.54296875" style="76" bestFit="1" customWidth="1"/>
    <col min="4099" max="4099" width="20.1796875" style="76" customWidth="1"/>
    <col min="4100" max="4100" width="21.7265625" style="76" customWidth="1"/>
    <col min="4101" max="4101" width="18.81640625" style="76" customWidth="1"/>
    <col min="4102" max="4102" width="21.453125" style="76" customWidth="1"/>
    <col min="4103" max="4103" width="26.54296875" style="76" customWidth="1"/>
    <col min="4104" max="4352" width="9.1796875" style="76"/>
    <col min="4353" max="4353" width="0" style="76" hidden="1" customWidth="1"/>
    <col min="4354" max="4354" width="27.54296875" style="76" bestFit="1" customWidth="1"/>
    <col min="4355" max="4355" width="20.1796875" style="76" customWidth="1"/>
    <col min="4356" max="4356" width="21.7265625" style="76" customWidth="1"/>
    <col min="4357" max="4357" width="18.81640625" style="76" customWidth="1"/>
    <col min="4358" max="4358" width="21.453125" style="76" customWidth="1"/>
    <col min="4359" max="4359" width="26.54296875" style="76" customWidth="1"/>
    <col min="4360" max="4608" width="9.1796875" style="76"/>
    <col min="4609" max="4609" width="0" style="76" hidden="1" customWidth="1"/>
    <col min="4610" max="4610" width="27.54296875" style="76" bestFit="1" customWidth="1"/>
    <col min="4611" max="4611" width="20.1796875" style="76" customWidth="1"/>
    <col min="4612" max="4612" width="21.7265625" style="76" customWidth="1"/>
    <col min="4613" max="4613" width="18.81640625" style="76" customWidth="1"/>
    <col min="4614" max="4614" width="21.453125" style="76" customWidth="1"/>
    <col min="4615" max="4615" width="26.54296875" style="76" customWidth="1"/>
    <col min="4616" max="4864" width="9.1796875" style="76"/>
    <col min="4865" max="4865" width="0" style="76" hidden="1" customWidth="1"/>
    <col min="4866" max="4866" width="27.54296875" style="76" bestFit="1" customWidth="1"/>
    <col min="4867" max="4867" width="20.1796875" style="76" customWidth="1"/>
    <col min="4868" max="4868" width="21.7265625" style="76" customWidth="1"/>
    <col min="4869" max="4869" width="18.81640625" style="76" customWidth="1"/>
    <col min="4870" max="4870" width="21.453125" style="76" customWidth="1"/>
    <col min="4871" max="4871" width="26.54296875" style="76" customWidth="1"/>
    <col min="4872" max="5120" width="9.1796875" style="76"/>
    <col min="5121" max="5121" width="0" style="76" hidden="1" customWidth="1"/>
    <col min="5122" max="5122" width="27.54296875" style="76" bestFit="1" customWidth="1"/>
    <col min="5123" max="5123" width="20.1796875" style="76" customWidth="1"/>
    <col min="5124" max="5124" width="21.7265625" style="76" customWidth="1"/>
    <col min="5125" max="5125" width="18.81640625" style="76" customWidth="1"/>
    <col min="5126" max="5126" width="21.453125" style="76" customWidth="1"/>
    <col min="5127" max="5127" width="26.54296875" style="76" customWidth="1"/>
    <col min="5128" max="5376" width="9.1796875" style="76"/>
    <col min="5377" max="5377" width="0" style="76" hidden="1" customWidth="1"/>
    <col min="5378" max="5378" width="27.54296875" style="76" bestFit="1" customWidth="1"/>
    <col min="5379" max="5379" width="20.1796875" style="76" customWidth="1"/>
    <col min="5380" max="5380" width="21.7265625" style="76" customWidth="1"/>
    <col min="5381" max="5381" width="18.81640625" style="76" customWidth="1"/>
    <col min="5382" max="5382" width="21.453125" style="76" customWidth="1"/>
    <col min="5383" max="5383" width="26.54296875" style="76" customWidth="1"/>
    <col min="5384" max="5632" width="9.1796875" style="76"/>
    <col min="5633" max="5633" width="0" style="76" hidden="1" customWidth="1"/>
    <col min="5634" max="5634" width="27.54296875" style="76" bestFit="1" customWidth="1"/>
    <col min="5635" max="5635" width="20.1796875" style="76" customWidth="1"/>
    <col min="5636" max="5636" width="21.7265625" style="76" customWidth="1"/>
    <col min="5637" max="5637" width="18.81640625" style="76" customWidth="1"/>
    <col min="5638" max="5638" width="21.453125" style="76" customWidth="1"/>
    <col min="5639" max="5639" width="26.54296875" style="76" customWidth="1"/>
    <col min="5640" max="5888" width="9.1796875" style="76"/>
    <col min="5889" max="5889" width="0" style="76" hidden="1" customWidth="1"/>
    <col min="5890" max="5890" width="27.54296875" style="76" bestFit="1" customWidth="1"/>
    <col min="5891" max="5891" width="20.1796875" style="76" customWidth="1"/>
    <col min="5892" max="5892" width="21.7265625" style="76" customWidth="1"/>
    <col min="5893" max="5893" width="18.81640625" style="76" customWidth="1"/>
    <col min="5894" max="5894" width="21.453125" style="76" customWidth="1"/>
    <col min="5895" max="5895" width="26.54296875" style="76" customWidth="1"/>
    <col min="5896" max="6144" width="9.1796875" style="76"/>
    <col min="6145" max="6145" width="0" style="76" hidden="1" customWidth="1"/>
    <col min="6146" max="6146" width="27.54296875" style="76" bestFit="1" customWidth="1"/>
    <col min="6147" max="6147" width="20.1796875" style="76" customWidth="1"/>
    <col min="6148" max="6148" width="21.7265625" style="76" customWidth="1"/>
    <col min="6149" max="6149" width="18.81640625" style="76" customWidth="1"/>
    <col min="6150" max="6150" width="21.453125" style="76" customWidth="1"/>
    <col min="6151" max="6151" width="26.54296875" style="76" customWidth="1"/>
    <col min="6152" max="6400" width="9.1796875" style="76"/>
    <col min="6401" max="6401" width="0" style="76" hidden="1" customWidth="1"/>
    <col min="6402" max="6402" width="27.54296875" style="76" bestFit="1" customWidth="1"/>
    <col min="6403" max="6403" width="20.1796875" style="76" customWidth="1"/>
    <col min="6404" max="6404" width="21.7265625" style="76" customWidth="1"/>
    <col min="6405" max="6405" width="18.81640625" style="76" customWidth="1"/>
    <col min="6406" max="6406" width="21.453125" style="76" customWidth="1"/>
    <col min="6407" max="6407" width="26.54296875" style="76" customWidth="1"/>
    <col min="6408" max="6656" width="9.1796875" style="76"/>
    <col min="6657" max="6657" width="0" style="76" hidden="1" customWidth="1"/>
    <col min="6658" max="6658" width="27.54296875" style="76" bestFit="1" customWidth="1"/>
    <col min="6659" max="6659" width="20.1796875" style="76" customWidth="1"/>
    <col min="6660" max="6660" width="21.7265625" style="76" customWidth="1"/>
    <col min="6661" max="6661" width="18.81640625" style="76" customWidth="1"/>
    <col min="6662" max="6662" width="21.453125" style="76" customWidth="1"/>
    <col min="6663" max="6663" width="26.54296875" style="76" customWidth="1"/>
    <col min="6664" max="6912" width="9.1796875" style="76"/>
    <col min="6913" max="6913" width="0" style="76" hidden="1" customWidth="1"/>
    <col min="6914" max="6914" width="27.54296875" style="76" bestFit="1" customWidth="1"/>
    <col min="6915" max="6915" width="20.1796875" style="76" customWidth="1"/>
    <col min="6916" max="6916" width="21.7265625" style="76" customWidth="1"/>
    <col min="6917" max="6917" width="18.81640625" style="76" customWidth="1"/>
    <col min="6918" max="6918" width="21.453125" style="76" customWidth="1"/>
    <col min="6919" max="6919" width="26.54296875" style="76" customWidth="1"/>
    <col min="6920" max="7168" width="9.1796875" style="76"/>
    <col min="7169" max="7169" width="0" style="76" hidden="1" customWidth="1"/>
    <col min="7170" max="7170" width="27.54296875" style="76" bestFit="1" customWidth="1"/>
    <col min="7171" max="7171" width="20.1796875" style="76" customWidth="1"/>
    <col min="7172" max="7172" width="21.7265625" style="76" customWidth="1"/>
    <col min="7173" max="7173" width="18.81640625" style="76" customWidth="1"/>
    <col min="7174" max="7174" width="21.453125" style="76" customWidth="1"/>
    <col min="7175" max="7175" width="26.54296875" style="76" customWidth="1"/>
    <col min="7176" max="7424" width="9.1796875" style="76"/>
    <col min="7425" max="7425" width="0" style="76" hidden="1" customWidth="1"/>
    <col min="7426" max="7426" width="27.54296875" style="76" bestFit="1" customWidth="1"/>
    <col min="7427" max="7427" width="20.1796875" style="76" customWidth="1"/>
    <col min="7428" max="7428" width="21.7265625" style="76" customWidth="1"/>
    <col min="7429" max="7429" width="18.81640625" style="76" customWidth="1"/>
    <col min="7430" max="7430" width="21.453125" style="76" customWidth="1"/>
    <col min="7431" max="7431" width="26.54296875" style="76" customWidth="1"/>
    <col min="7432" max="7680" width="9.1796875" style="76"/>
    <col min="7681" max="7681" width="0" style="76" hidden="1" customWidth="1"/>
    <col min="7682" max="7682" width="27.54296875" style="76" bestFit="1" customWidth="1"/>
    <col min="7683" max="7683" width="20.1796875" style="76" customWidth="1"/>
    <col min="7684" max="7684" width="21.7265625" style="76" customWidth="1"/>
    <col min="7685" max="7685" width="18.81640625" style="76" customWidth="1"/>
    <col min="7686" max="7686" width="21.453125" style="76" customWidth="1"/>
    <col min="7687" max="7687" width="26.54296875" style="76" customWidth="1"/>
    <col min="7688" max="7936" width="9.1796875" style="76"/>
    <col min="7937" max="7937" width="0" style="76" hidden="1" customWidth="1"/>
    <col min="7938" max="7938" width="27.54296875" style="76" bestFit="1" customWidth="1"/>
    <col min="7939" max="7939" width="20.1796875" style="76" customWidth="1"/>
    <col min="7940" max="7940" width="21.7265625" style="76" customWidth="1"/>
    <col min="7941" max="7941" width="18.81640625" style="76" customWidth="1"/>
    <col min="7942" max="7942" width="21.453125" style="76" customWidth="1"/>
    <col min="7943" max="7943" width="26.54296875" style="76" customWidth="1"/>
    <col min="7944" max="8192" width="9.1796875" style="76"/>
    <col min="8193" max="8193" width="0" style="76" hidden="1" customWidth="1"/>
    <col min="8194" max="8194" width="27.54296875" style="76" bestFit="1" customWidth="1"/>
    <col min="8195" max="8195" width="20.1796875" style="76" customWidth="1"/>
    <col min="8196" max="8196" width="21.7265625" style="76" customWidth="1"/>
    <col min="8197" max="8197" width="18.81640625" style="76" customWidth="1"/>
    <col min="8198" max="8198" width="21.453125" style="76" customWidth="1"/>
    <col min="8199" max="8199" width="26.54296875" style="76" customWidth="1"/>
    <col min="8200" max="8448" width="9.1796875" style="76"/>
    <col min="8449" max="8449" width="0" style="76" hidden="1" customWidth="1"/>
    <col min="8450" max="8450" width="27.54296875" style="76" bestFit="1" customWidth="1"/>
    <col min="8451" max="8451" width="20.1796875" style="76" customWidth="1"/>
    <col min="8452" max="8452" width="21.7265625" style="76" customWidth="1"/>
    <col min="8453" max="8453" width="18.81640625" style="76" customWidth="1"/>
    <col min="8454" max="8454" width="21.453125" style="76" customWidth="1"/>
    <col min="8455" max="8455" width="26.54296875" style="76" customWidth="1"/>
    <col min="8456" max="8704" width="9.1796875" style="76"/>
    <col min="8705" max="8705" width="0" style="76" hidden="1" customWidth="1"/>
    <col min="8706" max="8706" width="27.54296875" style="76" bestFit="1" customWidth="1"/>
    <col min="8707" max="8707" width="20.1796875" style="76" customWidth="1"/>
    <col min="8708" max="8708" width="21.7265625" style="76" customWidth="1"/>
    <col min="8709" max="8709" width="18.81640625" style="76" customWidth="1"/>
    <col min="8710" max="8710" width="21.453125" style="76" customWidth="1"/>
    <col min="8711" max="8711" width="26.54296875" style="76" customWidth="1"/>
    <col min="8712" max="8960" width="9.1796875" style="76"/>
    <col min="8961" max="8961" width="0" style="76" hidden="1" customWidth="1"/>
    <col min="8962" max="8962" width="27.54296875" style="76" bestFit="1" customWidth="1"/>
    <col min="8963" max="8963" width="20.1796875" style="76" customWidth="1"/>
    <col min="8964" max="8964" width="21.7265625" style="76" customWidth="1"/>
    <col min="8965" max="8965" width="18.81640625" style="76" customWidth="1"/>
    <col min="8966" max="8966" width="21.453125" style="76" customWidth="1"/>
    <col min="8967" max="8967" width="26.54296875" style="76" customWidth="1"/>
    <col min="8968" max="9216" width="9.1796875" style="76"/>
    <col min="9217" max="9217" width="0" style="76" hidden="1" customWidth="1"/>
    <col min="9218" max="9218" width="27.54296875" style="76" bestFit="1" customWidth="1"/>
    <col min="9219" max="9219" width="20.1796875" style="76" customWidth="1"/>
    <col min="9220" max="9220" width="21.7265625" style="76" customWidth="1"/>
    <col min="9221" max="9221" width="18.81640625" style="76" customWidth="1"/>
    <col min="9222" max="9222" width="21.453125" style="76" customWidth="1"/>
    <col min="9223" max="9223" width="26.54296875" style="76" customWidth="1"/>
    <col min="9224" max="9472" width="9.1796875" style="76"/>
    <col min="9473" max="9473" width="0" style="76" hidden="1" customWidth="1"/>
    <col min="9474" max="9474" width="27.54296875" style="76" bestFit="1" customWidth="1"/>
    <col min="9475" max="9475" width="20.1796875" style="76" customWidth="1"/>
    <col min="9476" max="9476" width="21.7265625" style="76" customWidth="1"/>
    <col min="9477" max="9477" width="18.81640625" style="76" customWidth="1"/>
    <col min="9478" max="9478" width="21.453125" style="76" customWidth="1"/>
    <col min="9479" max="9479" width="26.54296875" style="76" customWidth="1"/>
    <col min="9480" max="9728" width="9.1796875" style="76"/>
    <col min="9729" max="9729" width="0" style="76" hidden="1" customWidth="1"/>
    <col min="9730" max="9730" width="27.54296875" style="76" bestFit="1" customWidth="1"/>
    <col min="9731" max="9731" width="20.1796875" style="76" customWidth="1"/>
    <col min="9732" max="9732" width="21.7265625" style="76" customWidth="1"/>
    <col min="9733" max="9733" width="18.81640625" style="76" customWidth="1"/>
    <col min="9734" max="9734" width="21.453125" style="76" customWidth="1"/>
    <col min="9735" max="9735" width="26.54296875" style="76" customWidth="1"/>
    <col min="9736" max="9984" width="9.1796875" style="76"/>
    <col min="9985" max="9985" width="0" style="76" hidden="1" customWidth="1"/>
    <col min="9986" max="9986" width="27.54296875" style="76" bestFit="1" customWidth="1"/>
    <col min="9987" max="9987" width="20.1796875" style="76" customWidth="1"/>
    <col min="9988" max="9988" width="21.7265625" style="76" customWidth="1"/>
    <col min="9989" max="9989" width="18.81640625" style="76" customWidth="1"/>
    <col min="9990" max="9990" width="21.453125" style="76" customWidth="1"/>
    <col min="9991" max="9991" width="26.54296875" style="76" customWidth="1"/>
    <col min="9992" max="10240" width="9.1796875" style="76"/>
    <col min="10241" max="10241" width="0" style="76" hidden="1" customWidth="1"/>
    <col min="10242" max="10242" width="27.54296875" style="76" bestFit="1" customWidth="1"/>
    <col min="10243" max="10243" width="20.1796875" style="76" customWidth="1"/>
    <col min="10244" max="10244" width="21.7265625" style="76" customWidth="1"/>
    <col min="10245" max="10245" width="18.81640625" style="76" customWidth="1"/>
    <col min="10246" max="10246" width="21.453125" style="76" customWidth="1"/>
    <col min="10247" max="10247" width="26.54296875" style="76" customWidth="1"/>
    <col min="10248" max="10496" width="9.1796875" style="76"/>
    <col min="10497" max="10497" width="0" style="76" hidden="1" customWidth="1"/>
    <col min="10498" max="10498" width="27.54296875" style="76" bestFit="1" customWidth="1"/>
    <col min="10499" max="10499" width="20.1796875" style="76" customWidth="1"/>
    <col min="10500" max="10500" width="21.7265625" style="76" customWidth="1"/>
    <col min="10501" max="10501" width="18.81640625" style="76" customWidth="1"/>
    <col min="10502" max="10502" width="21.453125" style="76" customWidth="1"/>
    <col min="10503" max="10503" width="26.54296875" style="76" customWidth="1"/>
    <col min="10504" max="10752" width="9.1796875" style="76"/>
    <col min="10753" max="10753" width="0" style="76" hidden="1" customWidth="1"/>
    <col min="10754" max="10754" width="27.54296875" style="76" bestFit="1" customWidth="1"/>
    <col min="10755" max="10755" width="20.1796875" style="76" customWidth="1"/>
    <col min="10756" max="10756" width="21.7265625" style="76" customWidth="1"/>
    <col min="10757" max="10757" width="18.81640625" style="76" customWidth="1"/>
    <col min="10758" max="10758" width="21.453125" style="76" customWidth="1"/>
    <col min="10759" max="10759" width="26.54296875" style="76" customWidth="1"/>
    <col min="10760" max="11008" width="9.1796875" style="76"/>
    <col min="11009" max="11009" width="0" style="76" hidden="1" customWidth="1"/>
    <col min="11010" max="11010" width="27.54296875" style="76" bestFit="1" customWidth="1"/>
    <col min="11011" max="11011" width="20.1796875" style="76" customWidth="1"/>
    <col min="11012" max="11012" width="21.7265625" style="76" customWidth="1"/>
    <col min="11013" max="11013" width="18.81640625" style="76" customWidth="1"/>
    <col min="11014" max="11014" width="21.453125" style="76" customWidth="1"/>
    <col min="11015" max="11015" width="26.54296875" style="76" customWidth="1"/>
    <col min="11016" max="11264" width="9.1796875" style="76"/>
    <col min="11265" max="11265" width="0" style="76" hidden="1" customWidth="1"/>
    <col min="11266" max="11266" width="27.54296875" style="76" bestFit="1" customWidth="1"/>
    <col min="11267" max="11267" width="20.1796875" style="76" customWidth="1"/>
    <col min="11268" max="11268" width="21.7265625" style="76" customWidth="1"/>
    <col min="11269" max="11269" width="18.81640625" style="76" customWidth="1"/>
    <col min="11270" max="11270" width="21.453125" style="76" customWidth="1"/>
    <col min="11271" max="11271" width="26.54296875" style="76" customWidth="1"/>
    <col min="11272" max="11520" width="9.1796875" style="76"/>
    <col min="11521" max="11521" width="0" style="76" hidden="1" customWidth="1"/>
    <col min="11522" max="11522" width="27.54296875" style="76" bestFit="1" customWidth="1"/>
    <col min="11523" max="11523" width="20.1796875" style="76" customWidth="1"/>
    <col min="11524" max="11524" width="21.7265625" style="76" customWidth="1"/>
    <col min="11525" max="11525" width="18.81640625" style="76" customWidth="1"/>
    <col min="11526" max="11526" width="21.453125" style="76" customWidth="1"/>
    <col min="11527" max="11527" width="26.54296875" style="76" customWidth="1"/>
    <col min="11528" max="11776" width="9.1796875" style="76"/>
    <col min="11777" max="11777" width="0" style="76" hidden="1" customWidth="1"/>
    <col min="11778" max="11778" width="27.54296875" style="76" bestFit="1" customWidth="1"/>
    <col min="11779" max="11779" width="20.1796875" style="76" customWidth="1"/>
    <col min="11780" max="11780" width="21.7265625" style="76" customWidth="1"/>
    <col min="11781" max="11781" width="18.81640625" style="76" customWidth="1"/>
    <col min="11782" max="11782" width="21.453125" style="76" customWidth="1"/>
    <col min="11783" max="11783" width="26.54296875" style="76" customWidth="1"/>
    <col min="11784" max="12032" width="9.1796875" style="76"/>
    <col min="12033" max="12033" width="0" style="76" hidden="1" customWidth="1"/>
    <col min="12034" max="12034" width="27.54296875" style="76" bestFit="1" customWidth="1"/>
    <col min="12035" max="12035" width="20.1796875" style="76" customWidth="1"/>
    <col min="12036" max="12036" width="21.7265625" style="76" customWidth="1"/>
    <col min="12037" max="12037" width="18.81640625" style="76" customWidth="1"/>
    <col min="12038" max="12038" width="21.453125" style="76" customWidth="1"/>
    <col min="12039" max="12039" width="26.54296875" style="76" customWidth="1"/>
    <col min="12040" max="12288" width="9.1796875" style="76"/>
    <col min="12289" max="12289" width="0" style="76" hidden="1" customWidth="1"/>
    <col min="12290" max="12290" width="27.54296875" style="76" bestFit="1" customWidth="1"/>
    <col min="12291" max="12291" width="20.1796875" style="76" customWidth="1"/>
    <col min="12292" max="12292" width="21.7265625" style="76" customWidth="1"/>
    <col min="12293" max="12293" width="18.81640625" style="76" customWidth="1"/>
    <col min="12294" max="12294" width="21.453125" style="76" customWidth="1"/>
    <col min="12295" max="12295" width="26.54296875" style="76" customWidth="1"/>
    <col min="12296" max="12544" width="9.1796875" style="76"/>
    <col min="12545" max="12545" width="0" style="76" hidden="1" customWidth="1"/>
    <col min="12546" max="12546" width="27.54296875" style="76" bestFit="1" customWidth="1"/>
    <col min="12547" max="12547" width="20.1796875" style="76" customWidth="1"/>
    <col min="12548" max="12548" width="21.7265625" style="76" customWidth="1"/>
    <col min="12549" max="12549" width="18.81640625" style="76" customWidth="1"/>
    <col min="12550" max="12550" width="21.453125" style="76" customWidth="1"/>
    <col min="12551" max="12551" width="26.54296875" style="76" customWidth="1"/>
    <col min="12552" max="12800" width="9.1796875" style="76"/>
    <col min="12801" max="12801" width="0" style="76" hidden="1" customWidth="1"/>
    <col min="12802" max="12802" width="27.54296875" style="76" bestFit="1" customWidth="1"/>
    <col min="12803" max="12803" width="20.1796875" style="76" customWidth="1"/>
    <col min="12804" max="12804" width="21.7265625" style="76" customWidth="1"/>
    <col min="12805" max="12805" width="18.81640625" style="76" customWidth="1"/>
    <col min="12806" max="12806" width="21.453125" style="76" customWidth="1"/>
    <col min="12807" max="12807" width="26.54296875" style="76" customWidth="1"/>
    <col min="12808" max="13056" width="9.1796875" style="76"/>
    <col min="13057" max="13057" width="0" style="76" hidden="1" customWidth="1"/>
    <col min="13058" max="13058" width="27.54296875" style="76" bestFit="1" customWidth="1"/>
    <col min="13059" max="13059" width="20.1796875" style="76" customWidth="1"/>
    <col min="13060" max="13060" width="21.7265625" style="76" customWidth="1"/>
    <col min="13061" max="13061" width="18.81640625" style="76" customWidth="1"/>
    <col min="13062" max="13062" width="21.453125" style="76" customWidth="1"/>
    <col min="13063" max="13063" width="26.54296875" style="76" customWidth="1"/>
    <col min="13064" max="13312" width="9.1796875" style="76"/>
    <col min="13313" max="13313" width="0" style="76" hidden="1" customWidth="1"/>
    <col min="13314" max="13314" width="27.54296875" style="76" bestFit="1" customWidth="1"/>
    <col min="13315" max="13315" width="20.1796875" style="76" customWidth="1"/>
    <col min="13316" max="13316" width="21.7265625" style="76" customWidth="1"/>
    <col min="13317" max="13317" width="18.81640625" style="76" customWidth="1"/>
    <col min="13318" max="13318" width="21.453125" style="76" customWidth="1"/>
    <col min="13319" max="13319" width="26.54296875" style="76" customWidth="1"/>
    <col min="13320" max="13568" width="9.1796875" style="76"/>
    <col min="13569" max="13569" width="0" style="76" hidden="1" customWidth="1"/>
    <col min="13570" max="13570" width="27.54296875" style="76" bestFit="1" customWidth="1"/>
    <col min="13571" max="13571" width="20.1796875" style="76" customWidth="1"/>
    <col min="13572" max="13572" width="21.7265625" style="76" customWidth="1"/>
    <col min="13573" max="13573" width="18.81640625" style="76" customWidth="1"/>
    <col min="13574" max="13574" width="21.453125" style="76" customWidth="1"/>
    <col min="13575" max="13575" width="26.54296875" style="76" customWidth="1"/>
    <col min="13576" max="13824" width="9.1796875" style="76"/>
    <col min="13825" max="13825" width="0" style="76" hidden="1" customWidth="1"/>
    <col min="13826" max="13826" width="27.54296875" style="76" bestFit="1" customWidth="1"/>
    <col min="13827" max="13827" width="20.1796875" style="76" customWidth="1"/>
    <col min="13828" max="13828" width="21.7265625" style="76" customWidth="1"/>
    <col min="13829" max="13829" width="18.81640625" style="76" customWidth="1"/>
    <col min="13830" max="13830" width="21.453125" style="76" customWidth="1"/>
    <col min="13831" max="13831" width="26.54296875" style="76" customWidth="1"/>
    <col min="13832" max="14080" width="9.1796875" style="76"/>
    <col min="14081" max="14081" width="0" style="76" hidden="1" customWidth="1"/>
    <col min="14082" max="14082" width="27.54296875" style="76" bestFit="1" customWidth="1"/>
    <col min="14083" max="14083" width="20.1796875" style="76" customWidth="1"/>
    <col min="14084" max="14084" width="21.7265625" style="76" customWidth="1"/>
    <col min="14085" max="14085" width="18.81640625" style="76" customWidth="1"/>
    <col min="14086" max="14086" width="21.453125" style="76" customWidth="1"/>
    <col min="14087" max="14087" width="26.54296875" style="76" customWidth="1"/>
    <col min="14088" max="14336" width="9.1796875" style="76"/>
    <col min="14337" max="14337" width="0" style="76" hidden="1" customWidth="1"/>
    <col min="14338" max="14338" width="27.54296875" style="76" bestFit="1" customWidth="1"/>
    <col min="14339" max="14339" width="20.1796875" style="76" customWidth="1"/>
    <col min="14340" max="14340" width="21.7265625" style="76" customWidth="1"/>
    <col min="14341" max="14341" width="18.81640625" style="76" customWidth="1"/>
    <col min="14342" max="14342" width="21.453125" style="76" customWidth="1"/>
    <col min="14343" max="14343" width="26.54296875" style="76" customWidth="1"/>
    <col min="14344" max="14592" width="9.1796875" style="76"/>
    <col min="14593" max="14593" width="0" style="76" hidden="1" customWidth="1"/>
    <col min="14594" max="14594" width="27.54296875" style="76" bestFit="1" customWidth="1"/>
    <col min="14595" max="14595" width="20.1796875" style="76" customWidth="1"/>
    <col min="14596" max="14596" width="21.7265625" style="76" customWidth="1"/>
    <col min="14597" max="14597" width="18.81640625" style="76" customWidth="1"/>
    <col min="14598" max="14598" width="21.453125" style="76" customWidth="1"/>
    <col min="14599" max="14599" width="26.54296875" style="76" customWidth="1"/>
    <col min="14600" max="14848" width="9.1796875" style="76"/>
    <col min="14849" max="14849" width="0" style="76" hidden="1" customWidth="1"/>
    <col min="14850" max="14850" width="27.54296875" style="76" bestFit="1" customWidth="1"/>
    <col min="14851" max="14851" width="20.1796875" style="76" customWidth="1"/>
    <col min="14852" max="14852" width="21.7265625" style="76" customWidth="1"/>
    <col min="14853" max="14853" width="18.81640625" style="76" customWidth="1"/>
    <col min="14854" max="14854" width="21.453125" style="76" customWidth="1"/>
    <col min="14855" max="14855" width="26.54296875" style="76" customWidth="1"/>
    <col min="14856" max="15104" width="9.1796875" style="76"/>
    <col min="15105" max="15105" width="0" style="76" hidden="1" customWidth="1"/>
    <col min="15106" max="15106" width="27.54296875" style="76" bestFit="1" customWidth="1"/>
    <col min="15107" max="15107" width="20.1796875" style="76" customWidth="1"/>
    <col min="15108" max="15108" width="21.7265625" style="76" customWidth="1"/>
    <col min="15109" max="15109" width="18.81640625" style="76" customWidth="1"/>
    <col min="15110" max="15110" width="21.453125" style="76" customWidth="1"/>
    <col min="15111" max="15111" width="26.54296875" style="76" customWidth="1"/>
    <col min="15112" max="15360" width="9.1796875" style="76"/>
    <col min="15361" max="15361" width="0" style="76" hidden="1" customWidth="1"/>
    <col min="15362" max="15362" width="27.54296875" style="76" bestFit="1" customWidth="1"/>
    <col min="15363" max="15363" width="20.1796875" style="76" customWidth="1"/>
    <col min="15364" max="15364" width="21.7265625" style="76" customWidth="1"/>
    <col min="15365" max="15365" width="18.81640625" style="76" customWidth="1"/>
    <col min="15366" max="15366" width="21.453125" style="76" customWidth="1"/>
    <col min="15367" max="15367" width="26.54296875" style="76" customWidth="1"/>
    <col min="15368" max="15616" width="9.1796875" style="76"/>
    <col min="15617" max="15617" width="0" style="76" hidden="1" customWidth="1"/>
    <col min="15618" max="15618" width="27.54296875" style="76" bestFit="1" customWidth="1"/>
    <col min="15619" max="15619" width="20.1796875" style="76" customWidth="1"/>
    <col min="15620" max="15620" width="21.7265625" style="76" customWidth="1"/>
    <col min="15621" max="15621" width="18.81640625" style="76" customWidth="1"/>
    <col min="15622" max="15622" width="21.453125" style="76" customWidth="1"/>
    <col min="15623" max="15623" width="26.54296875" style="76" customWidth="1"/>
    <col min="15624" max="15872" width="9.1796875" style="76"/>
    <col min="15873" max="15873" width="0" style="76" hidden="1" customWidth="1"/>
    <col min="15874" max="15874" width="27.54296875" style="76" bestFit="1" customWidth="1"/>
    <col min="15875" max="15875" width="20.1796875" style="76" customWidth="1"/>
    <col min="15876" max="15876" width="21.7265625" style="76" customWidth="1"/>
    <col min="15877" max="15877" width="18.81640625" style="76" customWidth="1"/>
    <col min="15878" max="15878" width="21.453125" style="76" customWidth="1"/>
    <col min="15879" max="15879" width="26.54296875" style="76" customWidth="1"/>
    <col min="15880" max="16128" width="9.1796875" style="76"/>
    <col min="16129" max="16129" width="0" style="76" hidden="1" customWidth="1"/>
    <col min="16130" max="16130" width="27.54296875" style="76" bestFit="1" customWidth="1"/>
    <col min="16131" max="16131" width="20.1796875" style="76" customWidth="1"/>
    <col min="16132" max="16132" width="21.7265625" style="76" customWidth="1"/>
    <col min="16133" max="16133" width="18.81640625" style="76" customWidth="1"/>
    <col min="16134" max="16134" width="21.453125" style="76" customWidth="1"/>
    <col min="16135" max="16135" width="26.54296875" style="76" customWidth="1"/>
    <col min="16136" max="16384" width="9.1796875" style="76"/>
  </cols>
  <sheetData>
    <row r="1" spans="1:7" s="55" customFormat="1" ht="41.25" customHeight="1" x14ac:dyDescent="0.35">
      <c r="B1" s="146" t="s">
        <v>73</v>
      </c>
      <c r="C1" s="146"/>
      <c r="D1" s="146"/>
      <c r="E1" s="146"/>
      <c r="F1" s="146"/>
      <c r="G1" s="147"/>
    </row>
    <row r="2" spans="1:7" s="56" customFormat="1" ht="28.5" customHeight="1" x14ac:dyDescent="0.35">
      <c r="C2" s="57" t="s">
        <v>1</v>
      </c>
      <c r="D2" s="57" t="s">
        <v>59</v>
      </c>
      <c r="E2" s="57" t="s">
        <v>60</v>
      </c>
      <c r="F2" s="58" t="s">
        <v>61</v>
      </c>
      <c r="G2" s="59" t="s">
        <v>5</v>
      </c>
    </row>
    <row r="3" spans="1:7" s="56" customFormat="1" ht="28.5" customHeight="1" x14ac:dyDescent="0.35">
      <c r="B3" s="60" t="s">
        <v>0</v>
      </c>
      <c r="C3" s="61">
        <v>1338</v>
      </c>
      <c r="D3" s="61">
        <v>1345</v>
      </c>
      <c r="E3" s="61">
        <v>124</v>
      </c>
      <c r="F3" s="61">
        <v>1129</v>
      </c>
      <c r="G3" s="61">
        <v>3936</v>
      </c>
    </row>
    <row r="4" spans="1:7" s="60" customFormat="1" ht="25.5" customHeight="1" x14ac:dyDescent="0.35">
      <c r="A4" s="62"/>
      <c r="B4" s="60" t="s">
        <v>62</v>
      </c>
      <c r="C4" s="63">
        <v>731</v>
      </c>
      <c r="D4" s="63">
        <v>1315</v>
      </c>
      <c r="E4" s="63">
        <v>91</v>
      </c>
      <c r="F4" s="63">
        <v>657</v>
      </c>
      <c r="G4" s="61">
        <v>2794</v>
      </c>
    </row>
    <row r="5" spans="1:7" s="65" customFormat="1" ht="12.75" customHeight="1" x14ac:dyDescent="0.35">
      <c r="A5" s="64">
        <v>51</v>
      </c>
      <c r="B5" s="65" t="s">
        <v>10</v>
      </c>
      <c r="C5" s="66">
        <v>17</v>
      </c>
      <c r="D5" s="66">
        <v>12</v>
      </c>
      <c r="E5" s="66">
        <v>2</v>
      </c>
      <c r="F5" s="66">
        <v>15</v>
      </c>
      <c r="G5" s="61">
        <v>46</v>
      </c>
    </row>
    <row r="6" spans="1:7" s="65" customFormat="1" ht="12.75" customHeight="1" x14ac:dyDescent="0.35">
      <c r="A6" s="64">
        <v>52</v>
      </c>
      <c r="B6" s="65" t="s">
        <v>11</v>
      </c>
      <c r="C6" s="66">
        <v>13</v>
      </c>
      <c r="D6" s="66">
        <v>14</v>
      </c>
      <c r="E6" s="66">
        <v>1</v>
      </c>
      <c r="F6" s="66">
        <v>14</v>
      </c>
      <c r="G6" s="61">
        <v>42</v>
      </c>
    </row>
    <row r="7" spans="1:7" s="65" customFormat="1" ht="12.75" customHeight="1" x14ac:dyDescent="0.35">
      <c r="A7" s="64">
        <v>86</v>
      </c>
      <c r="B7" s="65" t="s">
        <v>12</v>
      </c>
      <c r="C7" s="66">
        <v>16</v>
      </c>
      <c r="D7" s="66">
        <v>15</v>
      </c>
      <c r="E7" s="66">
        <v>2</v>
      </c>
      <c r="F7" s="66">
        <v>18</v>
      </c>
      <c r="G7" s="61">
        <v>51</v>
      </c>
    </row>
    <row r="8" spans="1:7" s="65" customFormat="1" ht="14" x14ac:dyDescent="0.35">
      <c r="A8" s="64">
        <v>53</v>
      </c>
      <c r="B8" s="65" t="s">
        <v>13</v>
      </c>
      <c r="C8" s="66">
        <v>14</v>
      </c>
      <c r="D8" s="66">
        <v>31</v>
      </c>
      <c r="E8" s="66">
        <v>2</v>
      </c>
      <c r="F8" s="66">
        <v>16</v>
      </c>
      <c r="G8" s="61">
        <v>63</v>
      </c>
    </row>
    <row r="9" spans="1:7" s="65" customFormat="1" ht="12.75" customHeight="1" x14ac:dyDescent="0.35">
      <c r="A9" s="64">
        <v>54</v>
      </c>
      <c r="B9" s="65" t="s">
        <v>14</v>
      </c>
      <c r="C9" s="66">
        <v>6</v>
      </c>
      <c r="D9" s="66">
        <v>45</v>
      </c>
      <c r="E9" s="66">
        <v>1</v>
      </c>
      <c r="F9" s="66">
        <v>24</v>
      </c>
      <c r="G9" s="61">
        <v>76</v>
      </c>
    </row>
    <row r="10" spans="1:7" s="65" customFormat="1" ht="12.75" customHeight="1" x14ac:dyDescent="0.35">
      <c r="A10" s="64">
        <v>55</v>
      </c>
      <c r="B10" s="65" t="s">
        <v>15</v>
      </c>
      <c r="C10" s="66">
        <v>32</v>
      </c>
      <c r="D10" s="66">
        <v>11</v>
      </c>
      <c r="E10" s="66">
        <v>2</v>
      </c>
      <c r="F10" s="66">
        <v>31</v>
      </c>
      <c r="G10" s="61">
        <v>76</v>
      </c>
    </row>
    <row r="11" spans="1:7" s="65" customFormat="1" ht="13.5" customHeight="1" x14ac:dyDescent="0.35">
      <c r="A11" s="64">
        <v>56</v>
      </c>
      <c r="B11" s="65" t="s">
        <v>16</v>
      </c>
      <c r="C11" s="66">
        <v>42</v>
      </c>
      <c r="D11" s="66">
        <v>7</v>
      </c>
      <c r="E11" s="66">
        <v>8</v>
      </c>
      <c r="F11" s="66">
        <v>14</v>
      </c>
      <c r="G11" s="61">
        <v>71</v>
      </c>
    </row>
    <row r="12" spans="1:7" s="65" customFormat="1" ht="13.5" customHeight="1" x14ac:dyDescent="0.35">
      <c r="A12" s="64">
        <v>57</v>
      </c>
      <c r="B12" s="65" t="s">
        <v>17</v>
      </c>
      <c r="C12" s="66">
        <v>7</v>
      </c>
      <c r="D12" s="66">
        <v>20</v>
      </c>
      <c r="E12" s="66">
        <v>2</v>
      </c>
      <c r="F12" s="66">
        <v>9</v>
      </c>
      <c r="G12" s="61">
        <v>38</v>
      </c>
    </row>
    <row r="13" spans="1:7" s="65" customFormat="1" ht="12.75" customHeight="1" x14ac:dyDescent="0.35">
      <c r="A13" s="64">
        <v>59</v>
      </c>
      <c r="B13" s="65" t="s">
        <v>18</v>
      </c>
      <c r="C13" s="66">
        <v>7</v>
      </c>
      <c r="D13" s="66">
        <v>34</v>
      </c>
      <c r="E13" s="66">
        <v>5</v>
      </c>
      <c r="F13" s="66">
        <v>15</v>
      </c>
      <c r="G13" s="61">
        <v>61</v>
      </c>
    </row>
    <row r="14" spans="1:7" s="65" customFormat="1" ht="12.75" customHeight="1" x14ac:dyDescent="0.35">
      <c r="A14" s="64">
        <v>60</v>
      </c>
      <c r="B14" s="65" t="s">
        <v>19</v>
      </c>
      <c r="C14" s="66">
        <v>28</v>
      </c>
      <c r="D14" s="66">
        <v>43</v>
      </c>
      <c r="E14" s="66">
        <v>3</v>
      </c>
      <c r="F14" s="66">
        <v>17</v>
      </c>
      <c r="G14" s="61">
        <v>91</v>
      </c>
    </row>
    <row r="15" spans="1:7" s="65" customFormat="1" ht="12.75" customHeight="1" x14ac:dyDescent="0.35">
      <c r="A15" s="64">
        <v>61</v>
      </c>
      <c r="B15" s="67" t="s">
        <v>63</v>
      </c>
      <c r="C15" s="66">
        <v>12</v>
      </c>
      <c r="D15" s="66">
        <v>89</v>
      </c>
      <c r="E15" s="66">
        <v>5</v>
      </c>
      <c r="F15" s="66">
        <v>20</v>
      </c>
      <c r="G15" s="61">
        <v>126</v>
      </c>
    </row>
    <row r="16" spans="1:7" s="65" customFormat="1" ht="12.75" customHeight="1" x14ac:dyDescent="0.35">
      <c r="A16" s="64">
        <v>62</v>
      </c>
      <c r="B16" s="65" t="s">
        <v>106</v>
      </c>
      <c r="C16" s="66">
        <f>C62+C63</f>
        <v>23</v>
      </c>
      <c r="D16" s="66">
        <f t="shared" ref="D16:G16" si="0">D62+D63</f>
        <v>67</v>
      </c>
      <c r="E16" s="66">
        <f t="shared" si="0"/>
        <v>3</v>
      </c>
      <c r="F16" s="66">
        <f t="shared" si="0"/>
        <v>22</v>
      </c>
      <c r="G16" s="66">
        <f t="shared" si="0"/>
        <v>115</v>
      </c>
    </row>
    <row r="17" spans="1:7" s="65" customFormat="1" ht="12.75" customHeight="1" x14ac:dyDescent="0.35">
      <c r="A17" s="64">
        <v>58</v>
      </c>
      <c r="B17" s="65" t="s">
        <v>22</v>
      </c>
      <c r="C17" s="66">
        <v>17</v>
      </c>
      <c r="D17" s="66">
        <v>17</v>
      </c>
      <c r="E17" s="66">
        <v>7</v>
      </c>
      <c r="F17" s="66">
        <v>20</v>
      </c>
      <c r="G17" s="61">
        <v>61</v>
      </c>
    </row>
    <row r="18" spans="1:7" s="65" customFormat="1" ht="12.75" customHeight="1" x14ac:dyDescent="0.35">
      <c r="A18" s="64">
        <v>63</v>
      </c>
      <c r="B18" s="65" t="s">
        <v>23</v>
      </c>
      <c r="C18" s="66">
        <v>10</v>
      </c>
      <c r="D18" s="66">
        <v>19</v>
      </c>
      <c r="E18" s="66">
        <v>1</v>
      </c>
      <c r="F18" s="66">
        <v>19</v>
      </c>
      <c r="G18" s="61">
        <v>49</v>
      </c>
    </row>
    <row r="19" spans="1:7" s="65" customFormat="1" ht="12.75" customHeight="1" x14ac:dyDescent="0.35">
      <c r="A19" s="64">
        <v>64</v>
      </c>
      <c r="B19" s="65" t="s">
        <v>24</v>
      </c>
      <c r="C19" s="66">
        <v>35</v>
      </c>
      <c r="D19" s="66">
        <v>26</v>
      </c>
      <c r="E19" s="66">
        <v>1</v>
      </c>
      <c r="F19" s="66">
        <v>32</v>
      </c>
      <c r="G19" s="61">
        <v>94</v>
      </c>
    </row>
    <row r="20" spans="1:7" s="65" customFormat="1" ht="12.75" customHeight="1" x14ac:dyDescent="0.35">
      <c r="A20" s="64">
        <v>65</v>
      </c>
      <c r="B20" s="65" t="s">
        <v>25</v>
      </c>
      <c r="C20" s="66">
        <v>8</v>
      </c>
      <c r="D20" s="66">
        <v>26</v>
      </c>
      <c r="E20" s="66">
        <v>2</v>
      </c>
      <c r="F20" s="66">
        <v>9</v>
      </c>
      <c r="G20" s="61">
        <v>45</v>
      </c>
    </row>
    <row r="21" spans="1:7" s="65" customFormat="1" ht="12.75" customHeight="1" x14ac:dyDescent="0.35">
      <c r="A21" s="64">
        <v>67</v>
      </c>
      <c r="B21" s="65" t="s">
        <v>28</v>
      </c>
      <c r="C21" s="66">
        <v>30</v>
      </c>
      <c r="D21" s="66">
        <v>56</v>
      </c>
      <c r="E21" s="66">
        <v>3</v>
      </c>
      <c r="F21" s="66">
        <v>36</v>
      </c>
      <c r="G21" s="61">
        <v>125</v>
      </c>
    </row>
    <row r="22" spans="1:7" s="65" customFormat="1" ht="12.75" customHeight="1" x14ac:dyDescent="0.35">
      <c r="A22" s="64">
        <v>68</v>
      </c>
      <c r="B22" s="65" t="s">
        <v>64</v>
      </c>
      <c r="C22" s="66">
        <v>25</v>
      </c>
      <c r="D22" s="66">
        <v>42</v>
      </c>
      <c r="E22" s="66">
        <v>2</v>
      </c>
      <c r="F22" s="66">
        <v>16</v>
      </c>
      <c r="G22" s="61">
        <v>85</v>
      </c>
    </row>
    <row r="23" spans="1:7" s="65" customFormat="1" ht="12.75" customHeight="1" x14ac:dyDescent="0.35">
      <c r="A23" s="64">
        <v>69</v>
      </c>
      <c r="B23" s="65" t="s">
        <v>30</v>
      </c>
      <c r="C23" s="66">
        <v>36</v>
      </c>
      <c r="D23" s="66">
        <v>32</v>
      </c>
      <c r="E23" s="66">
        <v>3</v>
      </c>
      <c r="F23" s="66">
        <v>14</v>
      </c>
      <c r="G23" s="61">
        <v>85</v>
      </c>
    </row>
    <row r="24" spans="1:7" s="65" customFormat="1" ht="12.75" customHeight="1" x14ac:dyDescent="0.35">
      <c r="A24" s="64">
        <v>70</v>
      </c>
      <c r="B24" s="65" t="s">
        <v>31</v>
      </c>
      <c r="C24" s="66">
        <v>20</v>
      </c>
      <c r="D24" s="66">
        <v>27</v>
      </c>
      <c r="E24" s="66">
        <v>1</v>
      </c>
      <c r="F24" s="66">
        <v>30</v>
      </c>
      <c r="G24" s="61">
        <v>78</v>
      </c>
    </row>
    <row r="25" spans="1:7" s="65" customFormat="1" ht="12.75" customHeight="1" x14ac:dyDescent="0.35">
      <c r="A25" s="64">
        <v>71</v>
      </c>
      <c r="B25" s="65" t="s">
        <v>65</v>
      </c>
      <c r="C25" s="66">
        <v>0</v>
      </c>
      <c r="D25" s="66">
        <v>4</v>
      </c>
      <c r="E25" s="66">
        <v>2</v>
      </c>
      <c r="F25" s="66">
        <v>4</v>
      </c>
      <c r="G25" s="61">
        <v>10</v>
      </c>
    </row>
    <row r="26" spans="1:7" s="65" customFormat="1" ht="12.75" customHeight="1" x14ac:dyDescent="0.35">
      <c r="A26" s="64">
        <v>73</v>
      </c>
      <c r="B26" s="65" t="s">
        <v>34</v>
      </c>
      <c r="C26" s="66">
        <v>37</v>
      </c>
      <c r="D26" s="66">
        <v>93</v>
      </c>
      <c r="E26" s="66">
        <v>0</v>
      </c>
      <c r="F26" s="66">
        <v>39</v>
      </c>
      <c r="G26" s="61">
        <v>169</v>
      </c>
    </row>
    <row r="27" spans="1:7" s="65" customFormat="1" ht="12.75" customHeight="1" x14ac:dyDescent="0.35">
      <c r="A27" s="64">
        <v>74</v>
      </c>
      <c r="B27" s="65" t="s">
        <v>35</v>
      </c>
      <c r="C27" s="66">
        <v>40</v>
      </c>
      <c r="D27" s="66">
        <v>52</v>
      </c>
      <c r="E27" s="66">
        <v>4</v>
      </c>
      <c r="F27" s="66">
        <v>26</v>
      </c>
      <c r="G27" s="61">
        <v>122</v>
      </c>
    </row>
    <row r="28" spans="1:7" s="65" customFormat="1" ht="12.75" customHeight="1" x14ac:dyDescent="0.35">
      <c r="A28" s="64">
        <v>75</v>
      </c>
      <c r="B28" s="65" t="s">
        <v>36</v>
      </c>
      <c r="C28" s="66">
        <v>33</v>
      </c>
      <c r="D28" s="66">
        <v>23</v>
      </c>
      <c r="E28" s="66">
        <v>0</v>
      </c>
      <c r="F28" s="66">
        <v>15</v>
      </c>
      <c r="G28" s="61">
        <v>71</v>
      </c>
    </row>
    <row r="29" spans="1:7" s="65" customFormat="1" ht="12.75" customHeight="1" x14ac:dyDescent="0.35">
      <c r="A29" s="64">
        <v>76</v>
      </c>
      <c r="B29" s="65" t="s">
        <v>37</v>
      </c>
      <c r="C29" s="66">
        <v>11</v>
      </c>
      <c r="D29" s="66">
        <v>81</v>
      </c>
      <c r="E29" s="66">
        <v>1</v>
      </c>
      <c r="F29" s="66">
        <v>8</v>
      </c>
      <c r="G29" s="61">
        <v>101</v>
      </c>
    </row>
    <row r="30" spans="1:7" s="65" customFormat="1" ht="12.75" customHeight="1" x14ac:dyDescent="0.35">
      <c r="A30" s="64">
        <v>79</v>
      </c>
      <c r="B30" s="65" t="s">
        <v>39</v>
      </c>
      <c r="C30" s="66">
        <v>9</v>
      </c>
      <c r="D30" s="66">
        <v>43</v>
      </c>
      <c r="E30" s="66">
        <v>1</v>
      </c>
      <c r="F30" s="66">
        <v>13</v>
      </c>
      <c r="G30" s="61">
        <v>66</v>
      </c>
    </row>
    <row r="31" spans="1:7" s="65" customFormat="1" ht="12.75" customHeight="1" x14ac:dyDescent="0.35">
      <c r="A31" s="64"/>
      <c r="B31" s="96" t="s">
        <v>40</v>
      </c>
      <c r="C31" s="97" t="s">
        <v>75</v>
      </c>
      <c r="D31" s="97" t="s">
        <v>75</v>
      </c>
      <c r="E31" s="97" t="s">
        <v>75</v>
      </c>
      <c r="F31" s="97" t="s">
        <v>75</v>
      </c>
      <c r="G31" s="98" t="s">
        <v>75</v>
      </c>
    </row>
    <row r="32" spans="1:7" s="65" customFormat="1" ht="12.75" customHeight="1" x14ac:dyDescent="0.35">
      <c r="A32" s="64">
        <v>80</v>
      </c>
      <c r="B32" s="65" t="s">
        <v>41</v>
      </c>
      <c r="C32" s="66">
        <v>9</v>
      </c>
      <c r="D32" s="66">
        <v>42</v>
      </c>
      <c r="E32" s="66">
        <v>3</v>
      </c>
      <c r="F32" s="66">
        <v>12</v>
      </c>
      <c r="G32" s="61">
        <v>66</v>
      </c>
    </row>
    <row r="33" spans="1:9" s="65" customFormat="1" ht="13.5" customHeight="1" x14ac:dyDescent="0.35">
      <c r="A33" s="64">
        <v>81</v>
      </c>
      <c r="B33" s="65" t="s">
        <v>42</v>
      </c>
      <c r="C33" s="66">
        <v>14</v>
      </c>
      <c r="D33" s="66">
        <v>42</v>
      </c>
      <c r="E33" s="66">
        <v>2</v>
      </c>
      <c r="F33" s="66">
        <v>17</v>
      </c>
      <c r="G33" s="61">
        <v>75</v>
      </c>
    </row>
    <row r="34" spans="1:9" s="65" customFormat="1" ht="13.5" customHeight="1" x14ac:dyDescent="0.35">
      <c r="A34" s="64">
        <v>83</v>
      </c>
      <c r="B34" s="65" t="s">
        <v>43</v>
      </c>
      <c r="C34" s="66">
        <v>12</v>
      </c>
      <c r="D34" s="66">
        <v>24</v>
      </c>
      <c r="E34" s="66">
        <v>9</v>
      </c>
      <c r="F34" s="66">
        <v>7</v>
      </c>
      <c r="G34" s="61">
        <v>52</v>
      </c>
    </row>
    <row r="35" spans="1:9" s="65" customFormat="1" ht="14.25" customHeight="1" x14ac:dyDescent="0.35">
      <c r="A35" s="64">
        <v>84</v>
      </c>
      <c r="B35" s="65" t="s">
        <v>44</v>
      </c>
      <c r="C35" s="66">
        <v>24</v>
      </c>
      <c r="D35" s="66">
        <v>30</v>
      </c>
      <c r="E35" s="66">
        <v>4</v>
      </c>
      <c r="F35" s="66">
        <v>19</v>
      </c>
      <c r="G35" s="61">
        <v>77</v>
      </c>
    </row>
    <row r="36" spans="1:9" s="65" customFormat="1" ht="12.75" customHeight="1" x14ac:dyDescent="0.35">
      <c r="A36" s="64">
        <v>85</v>
      </c>
      <c r="B36" s="65" t="s">
        <v>45</v>
      </c>
      <c r="C36" s="66">
        <v>14</v>
      </c>
      <c r="D36" s="66">
        <v>53</v>
      </c>
      <c r="E36" s="66">
        <v>1</v>
      </c>
      <c r="F36" s="66">
        <v>6</v>
      </c>
      <c r="G36" s="61">
        <v>74</v>
      </c>
    </row>
    <row r="37" spans="1:9" s="65" customFormat="1" ht="12.75" customHeight="1" x14ac:dyDescent="0.35">
      <c r="A37" s="64">
        <v>87</v>
      </c>
      <c r="B37" s="65" t="s">
        <v>46</v>
      </c>
      <c r="C37" s="66">
        <v>10</v>
      </c>
      <c r="D37" s="66">
        <v>28</v>
      </c>
      <c r="E37" s="66">
        <v>2</v>
      </c>
      <c r="F37" s="66">
        <v>11</v>
      </c>
      <c r="G37" s="61">
        <v>51</v>
      </c>
      <c r="I37" s="68"/>
    </row>
    <row r="38" spans="1:9" s="65" customFormat="1" ht="12.75" customHeight="1" x14ac:dyDescent="0.35">
      <c r="A38" s="64">
        <v>90</v>
      </c>
      <c r="B38" s="65" t="s">
        <v>48</v>
      </c>
      <c r="C38" s="66">
        <v>29</v>
      </c>
      <c r="D38" s="66">
        <v>46</v>
      </c>
      <c r="E38" s="66">
        <v>0</v>
      </c>
      <c r="F38" s="66">
        <v>34</v>
      </c>
      <c r="G38" s="61">
        <v>109</v>
      </c>
    </row>
    <row r="39" spans="1:9" s="65" customFormat="1" ht="12.75" customHeight="1" x14ac:dyDescent="0.35">
      <c r="A39" s="64">
        <v>91</v>
      </c>
      <c r="B39" s="65" t="s">
        <v>49</v>
      </c>
      <c r="C39" s="66">
        <v>12</v>
      </c>
      <c r="D39" s="66">
        <v>39</v>
      </c>
      <c r="E39" s="66">
        <v>2</v>
      </c>
      <c r="F39" s="66">
        <v>12</v>
      </c>
      <c r="G39" s="61">
        <v>65</v>
      </c>
    </row>
    <row r="40" spans="1:9" s="65" customFormat="1" ht="12.75" customHeight="1" x14ac:dyDescent="0.35">
      <c r="A40" s="64">
        <v>92</v>
      </c>
      <c r="B40" s="65" t="s">
        <v>50</v>
      </c>
      <c r="C40" s="66">
        <v>37</v>
      </c>
      <c r="D40" s="66">
        <v>9</v>
      </c>
      <c r="E40" s="66">
        <v>1</v>
      </c>
      <c r="F40" s="66">
        <v>15</v>
      </c>
      <c r="G40" s="61">
        <v>62</v>
      </c>
    </row>
    <row r="41" spans="1:9" s="65" customFormat="1" ht="12.75" customHeight="1" x14ac:dyDescent="0.35">
      <c r="A41" s="64">
        <v>94</v>
      </c>
      <c r="B41" s="65" t="s">
        <v>52</v>
      </c>
      <c r="C41" s="66">
        <v>14</v>
      </c>
      <c r="D41" s="66">
        <v>22</v>
      </c>
      <c r="E41" s="66">
        <v>3</v>
      </c>
      <c r="F41" s="66">
        <v>14</v>
      </c>
      <c r="G41" s="61">
        <v>53</v>
      </c>
    </row>
    <row r="42" spans="1:9" s="65" customFormat="1" ht="12.75" customHeight="1" x14ac:dyDescent="0.35">
      <c r="A42" s="64">
        <v>96</v>
      </c>
      <c r="B42" s="65" t="s">
        <v>54</v>
      </c>
      <c r="C42" s="66">
        <v>27</v>
      </c>
      <c r="D42" s="66">
        <v>46</v>
      </c>
      <c r="E42" s="66">
        <v>0</v>
      </c>
      <c r="F42" s="66">
        <v>14</v>
      </c>
      <c r="G42" s="61">
        <v>87</v>
      </c>
      <c r="H42" s="68"/>
    </row>
    <row r="43" spans="1:9" s="65" customFormat="1" ht="12.75" customHeight="1" x14ac:dyDescent="0.35">
      <c r="A43" s="64">
        <v>72</v>
      </c>
      <c r="B43" s="65" t="s">
        <v>33</v>
      </c>
      <c r="C43" s="66">
        <v>1</v>
      </c>
      <c r="D43" s="66">
        <v>5</v>
      </c>
      <c r="E43" s="66">
        <v>0</v>
      </c>
      <c r="F43" s="66">
        <v>0</v>
      </c>
      <c r="G43" s="61">
        <v>6</v>
      </c>
    </row>
    <row r="44" spans="1:9" s="60" customFormat="1" ht="25.5" customHeight="1" x14ac:dyDescent="0.35">
      <c r="B44" s="60" t="s">
        <v>66</v>
      </c>
      <c r="C44" s="63">
        <v>607</v>
      </c>
      <c r="D44" s="63">
        <v>30</v>
      </c>
      <c r="E44" s="63">
        <v>33</v>
      </c>
      <c r="F44" s="63">
        <v>472</v>
      </c>
      <c r="G44" s="61">
        <v>1142</v>
      </c>
    </row>
    <row r="45" spans="1:9" s="65" customFormat="1" ht="12.75" customHeight="1" x14ac:dyDescent="0.35">
      <c r="A45" s="64">
        <v>66</v>
      </c>
      <c r="B45" s="65" t="s">
        <v>27</v>
      </c>
      <c r="C45" s="66">
        <v>100</v>
      </c>
      <c r="D45" s="69">
        <v>3</v>
      </c>
      <c r="E45" s="69">
        <v>1</v>
      </c>
      <c r="F45" s="69">
        <v>46</v>
      </c>
      <c r="G45" s="61">
        <v>150</v>
      </c>
    </row>
    <row r="46" spans="1:9" s="65" customFormat="1" ht="14.25" customHeight="1" x14ac:dyDescent="0.35">
      <c r="A46" s="64">
        <v>78</v>
      </c>
      <c r="B46" s="65" t="s">
        <v>38</v>
      </c>
      <c r="C46" s="66">
        <v>39</v>
      </c>
      <c r="D46" s="69">
        <v>0</v>
      </c>
      <c r="E46" s="69">
        <v>0</v>
      </c>
      <c r="F46" s="69">
        <v>68</v>
      </c>
      <c r="G46" s="61">
        <v>107</v>
      </c>
    </row>
    <row r="47" spans="1:9" s="65" customFormat="1" ht="12.75" customHeight="1" x14ac:dyDescent="0.35">
      <c r="A47" s="64">
        <v>89</v>
      </c>
      <c r="B47" s="65" t="s">
        <v>47</v>
      </c>
      <c r="C47" s="66">
        <v>34</v>
      </c>
      <c r="D47" s="69">
        <v>14</v>
      </c>
      <c r="E47" s="69">
        <v>0</v>
      </c>
      <c r="F47" s="69">
        <v>23</v>
      </c>
      <c r="G47" s="61">
        <v>71</v>
      </c>
    </row>
    <row r="48" spans="1:9" s="65" customFormat="1" ht="12.75" customHeight="1" x14ac:dyDescent="0.35">
      <c r="A48" s="64">
        <v>93</v>
      </c>
      <c r="B48" s="65" t="s">
        <v>67</v>
      </c>
      <c r="C48" s="66">
        <v>44</v>
      </c>
      <c r="D48" s="69">
        <v>0</v>
      </c>
      <c r="E48" s="69">
        <v>18</v>
      </c>
      <c r="F48" s="69">
        <v>33</v>
      </c>
      <c r="G48" s="61">
        <v>95</v>
      </c>
    </row>
    <row r="49" spans="1:9" s="65" customFormat="1" ht="12.75" customHeight="1" x14ac:dyDescent="0.35">
      <c r="A49" s="64">
        <v>95</v>
      </c>
      <c r="B49" s="65" t="s">
        <v>53</v>
      </c>
      <c r="C49" s="66">
        <v>96</v>
      </c>
      <c r="D49" s="69">
        <v>0</v>
      </c>
      <c r="E49" s="69">
        <v>3</v>
      </c>
      <c r="F49" s="69">
        <v>100</v>
      </c>
      <c r="G49" s="61">
        <v>199</v>
      </c>
    </row>
    <row r="50" spans="1:9" s="65" customFormat="1" ht="12.75" customHeight="1" x14ac:dyDescent="0.35">
      <c r="A50" s="64">
        <v>97</v>
      </c>
      <c r="B50" s="65" t="s">
        <v>55</v>
      </c>
      <c r="C50" s="66">
        <v>65</v>
      </c>
      <c r="D50" s="69">
        <v>13</v>
      </c>
      <c r="E50" s="69">
        <v>3</v>
      </c>
      <c r="F50" s="69">
        <v>79</v>
      </c>
      <c r="G50" s="61">
        <v>160</v>
      </c>
    </row>
    <row r="51" spans="1:9" s="74" customFormat="1" ht="12.75" customHeight="1" x14ac:dyDescent="0.35">
      <c r="A51" s="64">
        <v>77</v>
      </c>
      <c r="B51" s="70" t="s">
        <v>26</v>
      </c>
      <c r="C51" s="71">
        <v>229</v>
      </c>
      <c r="D51" s="71">
        <v>0</v>
      </c>
      <c r="E51" s="72">
        <v>8</v>
      </c>
      <c r="F51" s="72">
        <v>123</v>
      </c>
      <c r="G51" s="73">
        <v>360</v>
      </c>
    </row>
    <row r="52" spans="1:9" s="65" customFormat="1" ht="10.5" customHeight="1" x14ac:dyDescent="0.35">
      <c r="A52" s="64"/>
      <c r="C52" s="75"/>
      <c r="D52" s="75"/>
      <c r="E52" s="75"/>
      <c r="F52" s="75"/>
      <c r="G52" s="75"/>
      <c r="I52" s="76"/>
    </row>
    <row r="53" spans="1:9" s="65" customFormat="1" ht="13.5" customHeight="1" x14ac:dyDescent="0.35">
      <c r="A53" s="64"/>
      <c r="B53" s="65" t="s">
        <v>68</v>
      </c>
      <c r="H53" s="76"/>
      <c r="I53" s="76"/>
    </row>
    <row r="54" spans="1:9" s="65" customFormat="1" ht="13.5" customHeight="1" x14ac:dyDescent="0.35">
      <c r="A54" s="64"/>
      <c r="H54" s="76"/>
      <c r="I54" s="76"/>
    </row>
    <row r="55" spans="1:9" s="65" customFormat="1" x14ac:dyDescent="0.35">
      <c r="A55" s="64"/>
      <c r="B55" s="77" t="s">
        <v>69</v>
      </c>
      <c r="H55" s="76"/>
      <c r="I55" s="76"/>
    </row>
    <row r="56" spans="1:9" x14ac:dyDescent="0.35">
      <c r="A56" s="64"/>
      <c r="F56" s="78"/>
      <c r="G56" s="78"/>
    </row>
    <row r="57" spans="1:9" x14ac:dyDescent="0.35">
      <c r="A57" s="64"/>
    </row>
    <row r="58" spans="1:9" x14ac:dyDescent="0.35">
      <c r="A58" s="64"/>
    </row>
    <row r="59" spans="1:9" x14ac:dyDescent="0.35">
      <c r="A59" s="64"/>
      <c r="E59" s="79"/>
    </row>
    <row r="62" spans="1:9" ht="14" x14ac:dyDescent="0.35">
      <c r="B62" s="65" t="s">
        <v>21</v>
      </c>
      <c r="C62" s="66">
        <v>13</v>
      </c>
      <c r="D62" s="66">
        <v>28</v>
      </c>
      <c r="E62" s="66">
        <v>3</v>
      </c>
      <c r="F62" s="66">
        <v>16</v>
      </c>
      <c r="G62" s="61">
        <v>60</v>
      </c>
    </row>
    <row r="63" spans="1:9" ht="14" x14ac:dyDescent="0.35">
      <c r="B63" s="65" t="s">
        <v>56</v>
      </c>
      <c r="C63" s="66">
        <v>10</v>
      </c>
      <c r="D63" s="66">
        <v>39</v>
      </c>
      <c r="E63" s="66">
        <v>0</v>
      </c>
      <c r="F63" s="66">
        <v>6</v>
      </c>
      <c r="G63" s="61">
        <v>55</v>
      </c>
    </row>
  </sheetData>
  <mergeCells count="1">
    <mergeCell ref="B1:G1"/>
  </mergeCells>
  <printOptions horizontalCentered="1" verticalCentered="1"/>
  <pageMargins left="0.2" right="0.34" top="0.32" bottom="0.25" header="0.51181102362204722" footer="0.51181102362204722"/>
  <pageSetup paperSize="9" scale="65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2"/>
  </sheetPr>
  <dimension ref="A1:I63"/>
  <sheetViews>
    <sheetView showGridLines="0" zoomScale="85" zoomScaleNormal="100" workbookViewId="0">
      <pane xSplit="2" ySplit="2" topLeftCell="C3" activePane="bottomRight" state="frozen"/>
      <selection activeCell="A57" sqref="A57:F57"/>
      <selection pane="topRight" activeCell="A57" sqref="A57:F57"/>
      <selection pane="bottomLeft" activeCell="A57" sqref="A57:F57"/>
      <selection pane="bottomRight" activeCell="A57" sqref="A57:F57"/>
    </sheetView>
  </sheetViews>
  <sheetFormatPr defaultRowHeight="13" x14ac:dyDescent="0.35"/>
  <cols>
    <col min="1" max="1" width="3.54296875" style="76" customWidth="1"/>
    <col min="2" max="2" width="27.54296875" style="76" bestFit="1" customWidth="1"/>
    <col min="3" max="3" width="20.1796875" style="76" customWidth="1"/>
    <col min="4" max="4" width="21.7265625" style="76" customWidth="1"/>
    <col min="5" max="5" width="18.81640625" style="76" customWidth="1"/>
    <col min="6" max="6" width="21.453125" style="76" customWidth="1"/>
    <col min="7" max="7" width="26.54296875" style="76" customWidth="1"/>
    <col min="8" max="255" width="9.1796875" style="76"/>
    <col min="256" max="256" width="0" style="76" hidden="1" customWidth="1"/>
    <col min="257" max="257" width="3.453125" style="76" customWidth="1"/>
    <col min="258" max="258" width="27.54296875" style="76" bestFit="1" customWidth="1"/>
    <col min="259" max="259" width="20.1796875" style="76" customWidth="1"/>
    <col min="260" max="260" width="21.7265625" style="76" customWidth="1"/>
    <col min="261" max="261" width="18.81640625" style="76" customWidth="1"/>
    <col min="262" max="262" width="21.453125" style="76" customWidth="1"/>
    <col min="263" max="263" width="26.54296875" style="76" customWidth="1"/>
    <col min="264" max="511" width="9.1796875" style="76"/>
    <col min="512" max="512" width="0" style="76" hidden="1" customWidth="1"/>
    <col min="513" max="513" width="3.453125" style="76" customWidth="1"/>
    <col min="514" max="514" width="27.54296875" style="76" bestFit="1" customWidth="1"/>
    <col min="515" max="515" width="20.1796875" style="76" customWidth="1"/>
    <col min="516" max="516" width="21.7265625" style="76" customWidth="1"/>
    <col min="517" max="517" width="18.81640625" style="76" customWidth="1"/>
    <col min="518" max="518" width="21.453125" style="76" customWidth="1"/>
    <col min="519" max="519" width="26.54296875" style="76" customWidth="1"/>
    <col min="520" max="767" width="9.1796875" style="76"/>
    <col min="768" max="768" width="0" style="76" hidden="1" customWidth="1"/>
    <col min="769" max="769" width="3.453125" style="76" customWidth="1"/>
    <col min="770" max="770" width="27.54296875" style="76" bestFit="1" customWidth="1"/>
    <col min="771" max="771" width="20.1796875" style="76" customWidth="1"/>
    <col min="772" max="772" width="21.7265625" style="76" customWidth="1"/>
    <col min="773" max="773" width="18.81640625" style="76" customWidth="1"/>
    <col min="774" max="774" width="21.453125" style="76" customWidth="1"/>
    <col min="775" max="775" width="26.54296875" style="76" customWidth="1"/>
    <col min="776" max="1023" width="9.1796875" style="76"/>
    <col min="1024" max="1024" width="0" style="76" hidden="1" customWidth="1"/>
    <col min="1025" max="1025" width="3.453125" style="76" customWidth="1"/>
    <col min="1026" max="1026" width="27.54296875" style="76" bestFit="1" customWidth="1"/>
    <col min="1027" max="1027" width="20.1796875" style="76" customWidth="1"/>
    <col min="1028" max="1028" width="21.7265625" style="76" customWidth="1"/>
    <col min="1029" max="1029" width="18.81640625" style="76" customWidth="1"/>
    <col min="1030" max="1030" width="21.453125" style="76" customWidth="1"/>
    <col min="1031" max="1031" width="26.54296875" style="76" customWidth="1"/>
    <col min="1032" max="1279" width="9.1796875" style="76"/>
    <col min="1280" max="1280" width="0" style="76" hidden="1" customWidth="1"/>
    <col min="1281" max="1281" width="3.453125" style="76" customWidth="1"/>
    <col min="1282" max="1282" width="27.54296875" style="76" bestFit="1" customWidth="1"/>
    <col min="1283" max="1283" width="20.1796875" style="76" customWidth="1"/>
    <col min="1284" max="1284" width="21.7265625" style="76" customWidth="1"/>
    <col min="1285" max="1285" width="18.81640625" style="76" customWidth="1"/>
    <col min="1286" max="1286" width="21.453125" style="76" customWidth="1"/>
    <col min="1287" max="1287" width="26.54296875" style="76" customWidth="1"/>
    <col min="1288" max="1535" width="9.1796875" style="76"/>
    <col min="1536" max="1536" width="0" style="76" hidden="1" customWidth="1"/>
    <col min="1537" max="1537" width="3.453125" style="76" customWidth="1"/>
    <col min="1538" max="1538" width="27.54296875" style="76" bestFit="1" customWidth="1"/>
    <col min="1539" max="1539" width="20.1796875" style="76" customWidth="1"/>
    <col min="1540" max="1540" width="21.7265625" style="76" customWidth="1"/>
    <col min="1541" max="1541" width="18.81640625" style="76" customWidth="1"/>
    <col min="1542" max="1542" width="21.453125" style="76" customWidth="1"/>
    <col min="1543" max="1543" width="26.54296875" style="76" customWidth="1"/>
    <col min="1544" max="1791" width="9.1796875" style="76"/>
    <col min="1792" max="1792" width="0" style="76" hidden="1" customWidth="1"/>
    <col min="1793" max="1793" width="3.453125" style="76" customWidth="1"/>
    <col min="1794" max="1794" width="27.54296875" style="76" bestFit="1" customWidth="1"/>
    <col min="1795" max="1795" width="20.1796875" style="76" customWidth="1"/>
    <col min="1796" max="1796" width="21.7265625" style="76" customWidth="1"/>
    <col min="1797" max="1797" width="18.81640625" style="76" customWidth="1"/>
    <col min="1798" max="1798" width="21.453125" style="76" customWidth="1"/>
    <col min="1799" max="1799" width="26.54296875" style="76" customWidth="1"/>
    <col min="1800" max="2047" width="9.1796875" style="76"/>
    <col min="2048" max="2048" width="0" style="76" hidden="1" customWidth="1"/>
    <col min="2049" max="2049" width="3.453125" style="76" customWidth="1"/>
    <col min="2050" max="2050" width="27.54296875" style="76" bestFit="1" customWidth="1"/>
    <col min="2051" max="2051" width="20.1796875" style="76" customWidth="1"/>
    <col min="2052" max="2052" width="21.7265625" style="76" customWidth="1"/>
    <col min="2053" max="2053" width="18.81640625" style="76" customWidth="1"/>
    <col min="2054" max="2054" width="21.453125" style="76" customWidth="1"/>
    <col min="2055" max="2055" width="26.54296875" style="76" customWidth="1"/>
    <col min="2056" max="2303" width="9.1796875" style="76"/>
    <col min="2304" max="2304" width="0" style="76" hidden="1" customWidth="1"/>
    <col min="2305" max="2305" width="3.453125" style="76" customWidth="1"/>
    <col min="2306" max="2306" width="27.54296875" style="76" bestFit="1" customWidth="1"/>
    <col min="2307" max="2307" width="20.1796875" style="76" customWidth="1"/>
    <col min="2308" max="2308" width="21.7265625" style="76" customWidth="1"/>
    <col min="2309" max="2309" width="18.81640625" style="76" customWidth="1"/>
    <col min="2310" max="2310" width="21.453125" style="76" customWidth="1"/>
    <col min="2311" max="2311" width="26.54296875" style="76" customWidth="1"/>
    <col min="2312" max="2559" width="9.1796875" style="76"/>
    <col min="2560" max="2560" width="0" style="76" hidden="1" customWidth="1"/>
    <col min="2561" max="2561" width="3.453125" style="76" customWidth="1"/>
    <col min="2562" max="2562" width="27.54296875" style="76" bestFit="1" customWidth="1"/>
    <col min="2563" max="2563" width="20.1796875" style="76" customWidth="1"/>
    <col min="2564" max="2564" width="21.7265625" style="76" customWidth="1"/>
    <col min="2565" max="2565" width="18.81640625" style="76" customWidth="1"/>
    <col min="2566" max="2566" width="21.453125" style="76" customWidth="1"/>
    <col min="2567" max="2567" width="26.54296875" style="76" customWidth="1"/>
    <col min="2568" max="2815" width="9.1796875" style="76"/>
    <col min="2816" max="2816" width="0" style="76" hidden="1" customWidth="1"/>
    <col min="2817" max="2817" width="3.453125" style="76" customWidth="1"/>
    <col min="2818" max="2818" width="27.54296875" style="76" bestFit="1" customWidth="1"/>
    <col min="2819" max="2819" width="20.1796875" style="76" customWidth="1"/>
    <col min="2820" max="2820" width="21.7265625" style="76" customWidth="1"/>
    <col min="2821" max="2821" width="18.81640625" style="76" customWidth="1"/>
    <col min="2822" max="2822" width="21.453125" style="76" customWidth="1"/>
    <col min="2823" max="2823" width="26.54296875" style="76" customWidth="1"/>
    <col min="2824" max="3071" width="9.1796875" style="76"/>
    <col min="3072" max="3072" width="0" style="76" hidden="1" customWidth="1"/>
    <col min="3073" max="3073" width="3.453125" style="76" customWidth="1"/>
    <col min="3074" max="3074" width="27.54296875" style="76" bestFit="1" customWidth="1"/>
    <col min="3075" max="3075" width="20.1796875" style="76" customWidth="1"/>
    <col min="3076" max="3076" width="21.7265625" style="76" customWidth="1"/>
    <col min="3077" max="3077" width="18.81640625" style="76" customWidth="1"/>
    <col min="3078" max="3078" width="21.453125" style="76" customWidth="1"/>
    <col min="3079" max="3079" width="26.54296875" style="76" customWidth="1"/>
    <col min="3080" max="3327" width="9.1796875" style="76"/>
    <col min="3328" max="3328" width="0" style="76" hidden="1" customWidth="1"/>
    <col min="3329" max="3329" width="3.453125" style="76" customWidth="1"/>
    <col min="3330" max="3330" width="27.54296875" style="76" bestFit="1" customWidth="1"/>
    <col min="3331" max="3331" width="20.1796875" style="76" customWidth="1"/>
    <col min="3332" max="3332" width="21.7265625" style="76" customWidth="1"/>
    <col min="3333" max="3333" width="18.81640625" style="76" customWidth="1"/>
    <col min="3334" max="3334" width="21.453125" style="76" customWidth="1"/>
    <col min="3335" max="3335" width="26.54296875" style="76" customWidth="1"/>
    <col min="3336" max="3583" width="9.1796875" style="76"/>
    <col min="3584" max="3584" width="0" style="76" hidden="1" customWidth="1"/>
    <col min="3585" max="3585" width="3.453125" style="76" customWidth="1"/>
    <col min="3586" max="3586" width="27.54296875" style="76" bestFit="1" customWidth="1"/>
    <col min="3587" max="3587" width="20.1796875" style="76" customWidth="1"/>
    <col min="3588" max="3588" width="21.7265625" style="76" customWidth="1"/>
    <col min="3589" max="3589" width="18.81640625" style="76" customWidth="1"/>
    <col min="3590" max="3590" width="21.453125" style="76" customWidth="1"/>
    <col min="3591" max="3591" width="26.54296875" style="76" customWidth="1"/>
    <col min="3592" max="3839" width="9.1796875" style="76"/>
    <col min="3840" max="3840" width="0" style="76" hidden="1" customWidth="1"/>
    <col min="3841" max="3841" width="3.453125" style="76" customWidth="1"/>
    <col min="3842" max="3842" width="27.54296875" style="76" bestFit="1" customWidth="1"/>
    <col min="3843" max="3843" width="20.1796875" style="76" customWidth="1"/>
    <col min="3844" max="3844" width="21.7265625" style="76" customWidth="1"/>
    <col min="3845" max="3845" width="18.81640625" style="76" customWidth="1"/>
    <col min="3846" max="3846" width="21.453125" style="76" customWidth="1"/>
    <col min="3847" max="3847" width="26.54296875" style="76" customWidth="1"/>
    <col min="3848" max="4095" width="9.1796875" style="76"/>
    <col min="4096" max="4096" width="0" style="76" hidden="1" customWidth="1"/>
    <col min="4097" max="4097" width="3.453125" style="76" customWidth="1"/>
    <col min="4098" max="4098" width="27.54296875" style="76" bestFit="1" customWidth="1"/>
    <col min="4099" max="4099" width="20.1796875" style="76" customWidth="1"/>
    <col min="4100" max="4100" width="21.7265625" style="76" customWidth="1"/>
    <col min="4101" max="4101" width="18.81640625" style="76" customWidth="1"/>
    <col min="4102" max="4102" width="21.453125" style="76" customWidth="1"/>
    <col min="4103" max="4103" width="26.54296875" style="76" customWidth="1"/>
    <col min="4104" max="4351" width="9.1796875" style="76"/>
    <col min="4352" max="4352" width="0" style="76" hidden="1" customWidth="1"/>
    <col min="4353" max="4353" width="3.453125" style="76" customWidth="1"/>
    <col min="4354" max="4354" width="27.54296875" style="76" bestFit="1" customWidth="1"/>
    <col min="4355" max="4355" width="20.1796875" style="76" customWidth="1"/>
    <col min="4356" max="4356" width="21.7265625" style="76" customWidth="1"/>
    <col min="4357" max="4357" width="18.81640625" style="76" customWidth="1"/>
    <col min="4358" max="4358" width="21.453125" style="76" customWidth="1"/>
    <col min="4359" max="4359" width="26.54296875" style="76" customWidth="1"/>
    <col min="4360" max="4607" width="9.1796875" style="76"/>
    <col min="4608" max="4608" width="0" style="76" hidden="1" customWidth="1"/>
    <col min="4609" max="4609" width="3.453125" style="76" customWidth="1"/>
    <col min="4610" max="4610" width="27.54296875" style="76" bestFit="1" customWidth="1"/>
    <col min="4611" max="4611" width="20.1796875" style="76" customWidth="1"/>
    <col min="4612" max="4612" width="21.7265625" style="76" customWidth="1"/>
    <col min="4613" max="4613" width="18.81640625" style="76" customWidth="1"/>
    <col min="4614" max="4614" width="21.453125" style="76" customWidth="1"/>
    <col min="4615" max="4615" width="26.54296875" style="76" customWidth="1"/>
    <col min="4616" max="4863" width="9.1796875" style="76"/>
    <col min="4864" max="4864" width="0" style="76" hidden="1" customWidth="1"/>
    <col min="4865" max="4865" width="3.453125" style="76" customWidth="1"/>
    <col min="4866" max="4866" width="27.54296875" style="76" bestFit="1" customWidth="1"/>
    <col min="4867" max="4867" width="20.1796875" style="76" customWidth="1"/>
    <col min="4868" max="4868" width="21.7265625" style="76" customWidth="1"/>
    <col min="4869" max="4869" width="18.81640625" style="76" customWidth="1"/>
    <col min="4870" max="4870" width="21.453125" style="76" customWidth="1"/>
    <col min="4871" max="4871" width="26.54296875" style="76" customWidth="1"/>
    <col min="4872" max="5119" width="9.1796875" style="76"/>
    <col min="5120" max="5120" width="0" style="76" hidden="1" customWidth="1"/>
    <col min="5121" max="5121" width="3.453125" style="76" customWidth="1"/>
    <col min="5122" max="5122" width="27.54296875" style="76" bestFit="1" customWidth="1"/>
    <col min="5123" max="5123" width="20.1796875" style="76" customWidth="1"/>
    <col min="5124" max="5124" width="21.7265625" style="76" customWidth="1"/>
    <col min="5125" max="5125" width="18.81640625" style="76" customWidth="1"/>
    <col min="5126" max="5126" width="21.453125" style="76" customWidth="1"/>
    <col min="5127" max="5127" width="26.54296875" style="76" customWidth="1"/>
    <col min="5128" max="5375" width="9.1796875" style="76"/>
    <col min="5376" max="5376" width="0" style="76" hidden="1" customWidth="1"/>
    <col min="5377" max="5377" width="3.453125" style="76" customWidth="1"/>
    <col min="5378" max="5378" width="27.54296875" style="76" bestFit="1" customWidth="1"/>
    <col min="5379" max="5379" width="20.1796875" style="76" customWidth="1"/>
    <col min="5380" max="5380" width="21.7265625" style="76" customWidth="1"/>
    <col min="5381" max="5381" width="18.81640625" style="76" customWidth="1"/>
    <col min="5382" max="5382" width="21.453125" style="76" customWidth="1"/>
    <col min="5383" max="5383" width="26.54296875" style="76" customWidth="1"/>
    <col min="5384" max="5631" width="9.1796875" style="76"/>
    <col min="5632" max="5632" width="0" style="76" hidden="1" customWidth="1"/>
    <col min="5633" max="5633" width="3.453125" style="76" customWidth="1"/>
    <col min="5634" max="5634" width="27.54296875" style="76" bestFit="1" customWidth="1"/>
    <col min="5635" max="5635" width="20.1796875" style="76" customWidth="1"/>
    <col min="5636" max="5636" width="21.7265625" style="76" customWidth="1"/>
    <col min="5637" max="5637" width="18.81640625" style="76" customWidth="1"/>
    <col min="5638" max="5638" width="21.453125" style="76" customWidth="1"/>
    <col min="5639" max="5639" width="26.54296875" style="76" customWidth="1"/>
    <col min="5640" max="5887" width="9.1796875" style="76"/>
    <col min="5888" max="5888" width="0" style="76" hidden="1" customWidth="1"/>
    <col min="5889" max="5889" width="3.453125" style="76" customWidth="1"/>
    <col min="5890" max="5890" width="27.54296875" style="76" bestFit="1" customWidth="1"/>
    <col min="5891" max="5891" width="20.1796875" style="76" customWidth="1"/>
    <col min="5892" max="5892" width="21.7265625" style="76" customWidth="1"/>
    <col min="5893" max="5893" width="18.81640625" style="76" customWidth="1"/>
    <col min="5894" max="5894" width="21.453125" style="76" customWidth="1"/>
    <col min="5895" max="5895" width="26.54296875" style="76" customWidth="1"/>
    <col min="5896" max="6143" width="9.1796875" style="76"/>
    <col min="6144" max="6144" width="0" style="76" hidden="1" customWidth="1"/>
    <col min="6145" max="6145" width="3.453125" style="76" customWidth="1"/>
    <col min="6146" max="6146" width="27.54296875" style="76" bestFit="1" customWidth="1"/>
    <col min="6147" max="6147" width="20.1796875" style="76" customWidth="1"/>
    <col min="6148" max="6148" width="21.7265625" style="76" customWidth="1"/>
    <col min="6149" max="6149" width="18.81640625" style="76" customWidth="1"/>
    <col min="6150" max="6150" width="21.453125" style="76" customWidth="1"/>
    <col min="6151" max="6151" width="26.54296875" style="76" customWidth="1"/>
    <col min="6152" max="6399" width="9.1796875" style="76"/>
    <col min="6400" max="6400" width="0" style="76" hidden="1" customWidth="1"/>
    <col min="6401" max="6401" width="3.453125" style="76" customWidth="1"/>
    <col min="6402" max="6402" width="27.54296875" style="76" bestFit="1" customWidth="1"/>
    <col min="6403" max="6403" width="20.1796875" style="76" customWidth="1"/>
    <col min="6404" max="6404" width="21.7265625" style="76" customWidth="1"/>
    <col min="6405" max="6405" width="18.81640625" style="76" customWidth="1"/>
    <col min="6406" max="6406" width="21.453125" style="76" customWidth="1"/>
    <col min="6407" max="6407" width="26.54296875" style="76" customWidth="1"/>
    <col min="6408" max="6655" width="9.1796875" style="76"/>
    <col min="6656" max="6656" width="0" style="76" hidden="1" customWidth="1"/>
    <col min="6657" max="6657" width="3.453125" style="76" customWidth="1"/>
    <col min="6658" max="6658" width="27.54296875" style="76" bestFit="1" customWidth="1"/>
    <col min="6659" max="6659" width="20.1796875" style="76" customWidth="1"/>
    <col min="6660" max="6660" width="21.7265625" style="76" customWidth="1"/>
    <col min="6661" max="6661" width="18.81640625" style="76" customWidth="1"/>
    <col min="6662" max="6662" width="21.453125" style="76" customWidth="1"/>
    <col min="6663" max="6663" width="26.54296875" style="76" customWidth="1"/>
    <col min="6664" max="6911" width="9.1796875" style="76"/>
    <col min="6912" max="6912" width="0" style="76" hidden="1" customWidth="1"/>
    <col min="6913" max="6913" width="3.453125" style="76" customWidth="1"/>
    <col min="6914" max="6914" width="27.54296875" style="76" bestFit="1" customWidth="1"/>
    <col min="6915" max="6915" width="20.1796875" style="76" customWidth="1"/>
    <col min="6916" max="6916" width="21.7265625" style="76" customWidth="1"/>
    <col min="6917" max="6917" width="18.81640625" style="76" customWidth="1"/>
    <col min="6918" max="6918" width="21.453125" style="76" customWidth="1"/>
    <col min="6919" max="6919" width="26.54296875" style="76" customWidth="1"/>
    <col min="6920" max="7167" width="9.1796875" style="76"/>
    <col min="7168" max="7168" width="0" style="76" hidden="1" customWidth="1"/>
    <col min="7169" max="7169" width="3.453125" style="76" customWidth="1"/>
    <col min="7170" max="7170" width="27.54296875" style="76" bestFit="1" customWidth="1"/>
    <col min="7171" max="7171" width="20.1796875" style="76" customWidth="1"/>
    <col min="7172" max="7172" width="21.7265625" style="76" customWidth="1"/>
    <col min="7173" max="7173" width="18.81640625" style="76" customWidth="1"/>
    <col min="7174" max="7174" width="21.453125" style="76" customWidth="1"/>
    <col min="7175" max="7175" width="26.54296875" style="76" customWidth="1"/>
    <col min="7176" max="7423" width="9.1796875" style="76"/>
    <col min="7424" max="7424" width="0" style="76" hidden="1" customWidth="1"/>
    <col min="7425" max="7425" width="3.453125" style="76" customWidth="1"/>
    <col min="7426" max="7426" width="27.54296875" style="76" bestFit="1" customWidth="1"/>
    <col min="7427" max="7427" width="20.1796875" style="76" customWidth="1"/>
    <col min="7428" max="7428" width="21.7265625" style="76" customWidth="1"/>
    <col min="7429" max="7429" width="18.81640625" style="76" customWidth="1"/>
    <col min="7430" max="7430" width="21.453125" style="76" customWidth="1"/>
    <col min="7431" max="7431" width="26.54296875" style="76" customWidth="1"/>
    <col min="7432" max="7679" width="9.1796875" style="76"/>
    <col min="7680" max="7680" width="0" style="76" hidden="1" customWidth="1"/>
    <col min="7681" max="7681" width="3.453125" style="76" customWidth="1"/>
    <col min="7682" max="7682" width="27.54296875" style="76" bestFit="1" customWidth="1"/>
    <col min="7683" max="7683" width="20.1796875" style="76" customWidth="1"/>
    <col min="7684" max="7684" width="21.7265625" style="76" customWidth="1"/>
    <col min="7685" max="7685" width="18.81640625" style="76" customWidth="1"/>
    <col min="7686" max="7686" width="21.453125" style="76" customWidth="1"/>
    <col min="7687" max="7687" width="26.54296875" style="76" customWidth="1"/>
    <col min="7688" max="7935" width="9.1796875" style="76"/>
    <col min="7936" max="7936" width="0" style="76" hidden="1" customWidth="1"/>
    <col min="7937" max="7937" width="3.453125" style="76" customWidth="1"/>
    <col min="7938" max="7938" width="27.54296875" style="76" bestFit="1" customWidth="1"/>
    <col min="7939" max="7939" width="20.1796875" style="76" customWidth="1"/>
    <col min="7940" max="7940" width="21.7265625" style="76" customWidth="1"/>
    <col min="7941" max="7941" width="18.81640625" style="76" customWidth="1"/>
    <col min="7942" max="7942" width="21.453125" style="76" customWidth="1"/>
    <col min="7943" max="7943" width="26.54296875" style="76" customWidth="1"/>
    <col min="7944" max="8191" width="9.1796875" style="76"/>
    <col min="8192" max="8192" width="0" style="76" hidden="1" customWidth="1"/>
    <col min="8193" max="8193" width="3.453125" style="76" customWidth="1"/>
    <col min="8194" max="8194" width="27.54296875" style="76" bestFit="1" customWidth="1"/>
    <col min="8195" max="8195" width="20.1796875" style="76" customWidth="1"/>
    <col min="8196" max="8196" width="21.7265625" style="76" customWidth="1"/>
    <col min="8197" max="8197" width="18.81640625" style="76" customWidth="1"/>
    <col min="8198" max="8198" width="21.453125" style="76" customWidth="1"/>
    <col min="8199" max="8199" width="26.54296875" style="76" customWidth="1"/>
    <col min="8200" max="8447" width="9.1796875" style="76"/>
    <col min="8448" max="8448" width="0" style="76" hidden="1" customWidth="1"/>
    <col min="8449" max="8449" width="3.453125" style="76" customWidth="1"/>
    <col min="8450" max="8450" width="27.54296875" style="76" bestFit="1" customWidth="1"/>
    <col min="8451" max="8451" width="20.1796875" style="76" customWidth="1"/>
    <col min="8452" max="8452" width="21.7265625" style="76" customWidth="1"/>
    <col min="8453" max="8453" width="18.81640625" style="76" customWidth="1"/>
    <col min="8454" max="8454" width="21.453125" style="76" customWidth="1"/>
    <col min="8455" max="8455" width="26.54296875" style="76" customWidth="1"/>
    <col min="8456" max="8703" width="9.1796875" style="76"/>
    <col min="8704" max="8704" width="0" style="76" hidden="1" customWidth="1"/>
    <col min="8705" max="8705" width="3.453125" style="76" customWidth="1"/>
    <col min="8706" max="8706" width="27.54296875" style="76" bestFit="1" customWidth="1"/>
    <col min="8707" max="8707" width="20.1796875" style="76" customWidth="1"/>
    <col min="8708" max="8708" width="21.7265625" style="76" customWidth="1"/>
    <col min="8709" max="8709" width="18.81640625" style="76" customWidth="1"/>
    <col min="8710" max="8710" width="21.453125" style="76" customWidth="1"/>
    <col min="8711" max="8711" width="26.54296875" style="76" customWidth="1"/>
    <col min="8712" max="8959" width="9.1796875" style="76"/>
    <col min="8960" max="8960" width="0" style="76" hidden="1" customWidth="1"/>
    <col min="8961" max="8961" width="3.453125" style="76" customWidth="1"/>
    <col min="8962" max="8962" width="27.54296875" style="76" bestFit="1" customWidth="1"/>
    <col min="8963" max="8963" width="20.1796875" style="76" customWidth="1"/>
    <col min="8964" max="8964" width="21.7265625" style="76" customWidth="1"/>
    <col min="8965" max="8965" width="18.81640625" style="76" customWidth="1"/>
    <col min="8966" max="8966" width="21.453125" style="76" customWidth="1"/>
    <col min="8967" max="8967" width="26.54296875" style="76" customWidth="1"/>
    <col min="8968" max="9215" width="9.1796875" style="76"/>
    <col min="9216" max="9216" width="0" style="76" hidden="1" customWidth="1"/>
    <col min="9217" max="9217" width="3.453125" style="76" customWidth="1"/>
    <col min="9218" max="9218" width="27.54296875" style="76" bestFit="1" customWidth="1"/>
    <col min="9219" max="9219" width="20.1796875" style="76" customWidth="1"/>
    <col min="9220" max="9220" width="21.7265625" style="76" customWidth="1"/>
    <col min="9221" max="9221" width="18.81640625" style="76" customWidth="1"/>
    <col min="9222" max="9222" width="21.453125" style="76" customWidth="1"/>
    <col min="9223" max="9223" width="26.54296875" style="76" customWidth="1"/>
    <col min="9224" max="9471" width="9.1796875" style="76"/>
    <col min="9472" max="9472" width="0" style="76" hidden="1" customWidth="1"/>
    <col min="9473" max="9473" width="3.453125" style="76" customWidth="1"/>
    <col min="9474" max="9474" width="27.54296875" style="76" bestFit="1" customWidth="1"/>
    <col min="9475" max="9475" width="20.1796875" style="76" customWidth="1"/>
    <col min="9476" max="9476" width="21.7265625" style="76" customWidth="1"/>
    <col min="9477" max="9477" width="18.81640625" style="76" customWidth="1"/>
    <col min="9478" max="9478" width="21.453125" style="76" customWidth="1"/>
    <col min="9479" max="9479" width="26.54296875" style="76" customWidth="1"/>
    <col min="9480" max="9727" width="9.1796875" style="76"/>
    <col min="9728" max="9728" width="0" style="76" hidden="1" customWidth="1"/>
    <col min="9729" max="9729" width="3.453125" style="76" customWidth="1"/>
    <col min="9730" max="9730" width="27.54296875" style="76" bestFit="1" customWidth="1"/>
    <col min="9731" max="9731" width="20.1796875" style="76" customWidth="1"/>
    <col min="9732" max="9732" width="21.7265625" style="76" customWidth="1"/>
    <col min="9733" max="9733" width="18.81640625" style="76" customWidth="1"/>
    <col min="9734" max="9734" width="21.453125" style="76" customWidth="1"/>
    <col min="9735" max="9735" width="26.54296875" style="76" customWidth="1"/>
    <col min="9736" max="9983" width="9.1796875" style="76"/>
    <col min="9984" max="9984" width="0" style="76" hidden="1" customWidth="1"/>
    <col min="9985" max="9985" width="3.453125" style="76" customWidth="1"/>
    <col min="9986" max="9986" width="27.54296875" style="76" bestFit="1" customWidth="1"/>
    <col min="9987" max="9987" width="20.1796875" style="76" customWidth="1"/>
    <col min="9988" max="9988" width="21.7265625" style="76" customWidth="1"/>
    <col min="9989" max="9989" width="18.81640625" style="76" customWidth="1"/>
    <col min="9990" max="9990" width="21.453125" style="76" customWidth="1"/>
    <col min="9991" max="9991" width="26.54296875" style="76" customWidth="1"/>
    <col min="9992" max="10239" width="9.1796875" style="76"/>
    <col min="10240" max="10240" width="0" style="76" hidden="1" customWidth="1"/>
    <col min="10241" max="10241" width="3.453125" style="76" customWidth="1"/>
    <col min="10242" max="10242" width="27.54296875" style="76" bestFit="1" customWidth="1"/>
    <col min="10243" max="10243" width="20.1796875" style="76" customWidth="1"/>
    <col min="10244" max="10244" width="21.7265625" style="76" customWidth="1"/>
    <col min="10245" max="10245" width="18.81640625" style="76" customWidth="1"/>
    <col min="10246" max="10246" width="21.453125" style="76" customWidth="1"/>
    <col min="10247" max="10247" width="26.54296875" style="76" customWidth="1"/>
    <col min="10248" max="10495" width="9.1796875" style="76"/>
    <col min="10496" max="10496" width="0" style="76" hidden="1" customWidth="1"/>
    <col min="10497" max="10497" width="3.453125" style="76" customWidth="1"/>
    <col min="10498" max="10498" width="27.54296875" style="76" bestFit="1" customWidth="1"/>
    <col min="10499" max="10499" width="20.1796875" style="76" customWidth="1"/>
    <col min="10500" max="10500" width="21.7265625" style="76" customWidth="1"/>
    <col min="10501" max="10501" width="18.81640625" style="76" customWidth="1"/>
    <col min="10502" max="10502" width="21.453125" style="76" customWidth="1"/>
    <col min="10503" max="10503" width="26.54296875" style="76" customWidth="1"/>
    <col min="10504" max="10751" width="9.1796875" style="76"/>
    <col min="10752" max="10752" width="0" style="76" hidden="1" customWidth="1"/>
    <col min="10753" max="10753" width="3.453125" style="76" customWidth="1"/>
    <col min="10754" max="10754" width="27.54296875" style="76" bestFit="1" customWidth="1"/>
    <col min="10755" max="10755" width="20.1796875" style="76" customWidth="1"/>
    <col min="10756" max="10756" width="21.7265625" style="76" customWidth="1"/>
    <col min="10757" max="10757" width="18.81640625" style="76" customWidth="1"/>
    <col min="10758" max="10758" width="21.453125" style="76" customWidth="1"/>
    <col min="10759" max="10759" width="26.54296875" style="76" customWidth="1"/>
    <col min="10760" max="11007" width="9.1796875" style="76"/>
    <col min="11008" max="11008" width="0" style="76" hidden="1" customWidth="1"/>
    <col min="11009" max="11009" width="3.453125" style="76" customWidth="1"/>
    <col min="11010" max="11010" width="27.54296875" style="76" bestFit="1" customWidth="1"/>
    <col min="11011" max="11011" width="20.1796875" style="76" customWidth="1"/>
    <col min="11012" max="11012" width="21.7265625" style="76" customWidth="1"/>
    <col min="11013" max="11013" width="18.81640625" style="76" customWidth="1"/>
    <col min="11014" max="11014" width="21.453125" style="76" customWidth="1"/>
    <col min="11015" max="11015" width="26.54296875" style="76" customWidth="1"/>
    <col min="11016" max="11263" width="9.1796875" style="76"/>
    <col min="11264" max="11264" width="0" style="76" hidden="1" customWidth="1"/>
    <col min="11265" max="11265" width="3.453125" style="76" customWidth="1"/>
    <col min="11266" max="11266" width="27.54296875" style="76" bestFit="1" customWidth="1"/>
    <col min="11267" max="11267" width="20.1796875" style="76" customWidth="1"/>
    <col min="11268" max="11268" width="21.7265625" style="76" customWidth="1"/>
    <col min="11269" max="11269" width="18.81640625" style="76" customWidth="1"/>
    <col min="11270" max="11270" width="21.453125" style="76" customWidth="1"/>
    <col min="11271" max="11271" width="26.54296875" style="76" customWidth="1"/>
    <col min="11272" max="11519" width="9.1796875" style="76"/>
    <col min="11520" max="11520" width="0" style="76" hidden="1" customWidth="1"/>
    <col min="11521" max="11521" width="3.453125" style="76" customWidth="1"/>
    <col min="11522" max="11522" width="27.54296875" style="76" bestFit="1" customWidth="1"/>
    <col min="11523" max="11523" width="20.1796875" style="76" customWidth="1"/>
    <col min="11524" max="11524" width="21.7265625" style="76" customWidth="1"/>
    <col min="11525" max="11525" width="18.81640625" style="76" customWidth="1"/>
    <col min="11526" max="11526" width="21.453125" style="76" customWidth="1"/>
    <col min="11527" max="11527" width="26.54296875" style="76" customWidth="1"/>
    <col min="11528" max="11775" width="9.1796875" style="76"/>
    <col min="11776" max="11776" width="0" style="76" hidden="1" customWidth="1"/>
    <col min="11777" max="11777" width="3.453125" style="76" customWidth="1"/>
    <col min="11778" max="11778" width="27.54296875" style="76" bestFit="1" customWidth="1"/>
    <col min="11779" max="11779" width="20.1796875" style="76" customWidth="1"/>
    <col min="11780" max="11780" width="21.7265625" style="76" customWidth="1"/>
    <col min="11781" max="11781" width="18.81640625" style="76" customWidth="1"/>
    <col min="11782" max="11782" width="21.453125" style="76" customWidth="1"/>
    <col min="11783" max="11783" width="26.54296875" style="76" customWidth="1"/>
    <col min="11784" max="12031" width="9.1796875" style="76"/>
    <col min="12032" max="12032" width="0" style="76" hidden="1" customWidth="1"/>
    <col min="12033" max="12033" width="3.453125" style="76" customWidth="1"/>
    <col min="12034" max="12034" width="27.54296875" style="76" bestFit="1" customWidth="1"/>
    <col min="12035" max="12035" width="20.1796875" style="76" customWidth="1"/>
    <col min="12036" max="12036" width="21.7265625" style="76" customWidth="1"/>
    <col min="12037" max="12037" width="18.81640625" style="76" customWidth="1"/>
    <col min="12038" max="12038" width="21.453125" style="76" customWidth="1"/>
    <col min="12039" max="12039" width="26.54296875" style="76" customWidth="1"/>
    <col min="12040" max="12287" width="9.1796875" style="76"/>
    <col min="12288" max="12288" width="0" style="76" hidden="1" customWidth="1"/>
    <col min="12289" max="12289" width="3.453125" style="76" customWidth="1"/>
    <col min="12290" max="12290" width="27.54296875" style="76" bestFit="1" customWidth="1"/>
    <col min="12291" max="12291" width="20.1796875" style="76" customWidth="1"/>
    <col min="12292" max="12292" width="21.7265625" style="76" customWidth="1"/>
    <col min="12293" max="12293" width="18.81640625" style="76" customWidth="1"/>
    <col min="12294" max="12294" width="21.453125" style="76" customWidth="1"/>
    <col min="12295" max="12295" width="26.54296875" style="76" customWidth="1"/>
    <col min="12296" max="12543" width="9.1796875" style="76"/>
    <col min="12544" max="12544" width="0" style="76" hidden="1" customWidth="1"/>
    <col min="12545" max="12545" width="3.453125" style="76" customWidth="1"/>
    <col min="12546" max="12546" width="27.54296875" style="76" bestFit="1" customWidth="1"/>
    <col min="12547" max="12547" width="20.1796875" style="76" customWidth="1"/>
    <col min="12548" max="12548" width="21.7265625" style="76" customWidth="1"/>
    <col min="12549" max="12549" width="18.81640625" style="76" customWidth="1"/>
    <col min="12550" max="12550" width="21.453125" style="76" customWidth="1"/>
    <col min="12551" max="12551" width="26.54296875" style="76" customWidth="1"/>
    <col min="12552" max="12799" width="9.1796875" style="76"/>
    <col min="12800" max="12800" width="0" style="76" hidden="1" customWidth="1"/>
    <col min="12801" max="12801" width="3.453125" style="76" customWidth="1"/>
    <col min="12802" max="12802" width="27.54296875" style="76" bestFit="1" customWidth="1"/>
    <col min="12803" max="12803" width="20.1796875" style="76" customWidth="1"/>
    <col min="12804" max="12804" width="21.7265625" style="76" customWidth="1"/>
    <col min="12805" max="12805" width="18.81640625" style="76" customWidth="1"/>
    <col min="12806" max="12806" width="21.453125" style="76" customWidth="1"/>
    <col min="12807" max="12807" width="26.54296875" style="76" customWidth="1"/>
    <col min="12808" max="13055" width="9.1796875" style="76"/>
    <col min="13056" max="13056" width="0" style="76" hidden="1" customWidth="1"/>
    <col min="13057" max="13057" width="3.453125" style="76" customWidth="1"/>
    <col min="13058" max="13058" width="27.54296875" style="76" bestFit="1" customWidth="1"/>
    <col min="13059" max="13059" width="20.1796875" style="76" customWidth="1"/>
    <col min="13060" max="13060" width="21.7265625" style="76" customWidth="1"/>
    <col min="13061" max="13061" width="18.81640625" style="76" customWidth="1"/>
    <col min="13062" max="13062" width="21.453125" style="76" customWidth="1"/>
    <col min="13063" max="13063" width="26.54296875" style="76" customWidth="1"/>
    <col min="13064" max="13311" width="9.1796875" style="76"/>
    <col min="13312" max="13312" width="0" style="76" hidden="1" customWidth="1"/>
    <col min="13313" max="13313" width="3.453125" style="76" customWidth="1"/>
    <col min="13314" max="13314" width="27.54296875" style="76" bestFit="1" customWidth="1"/>
    <col min="13315" max="13315" width="20.1796875" style="76" customWidth="1"/>
    <col min="13316" max="13316" width="21.7265625" style="76" customWidth="1"/>
    <col min="13317" max="13317" width="18.81640625" style="76" customWidth="1"/>
    <col min="13318" max="13318" width="21.453125" style="76" customWidth="1"/>
    <col min="13319" max="13319" width="26.54296875" style="76" customWidth="1"/>
    <col min="13320" max="13567" width="9.1796875" style="76"/>
    <col min="13568" max="13568" width="0" style="76" hidden="1" customWidth="1"/>
    <col min="13569" max="13569" width="3.453125" style="76" customWidth="1"/>
    <col min="13570" max="13570" width="27.54296875" style="76" bestFit="1" customWidth="1"/>
    <col min="13571" max="13571" width="20.1796875" style="76" customWidth="1"/>
    <col min="13572" max="13572" width="21.7265625" style="76" customWidth="1"/>
    <col min="13573" max="13573" width="18.81640625" style="76" customWidth="1"/>
    <col min="13574" max="13574" width="21.453125" style="76" customWidth="1"/>
    <col min="13575" max="13575" width="26.54296875" style="76" customWidth="1"/>
    <col min="13576" max="13823" width="9.1796875" style="76"/>
    <col min="13824" max="13824" width="0" style="76" hidden="1" customWidth="1"/>
    <col min="13825" max="13825" width="3.453125" style="76" customWidth="1"/>
    <col min="13826" max="13826" width="27.54296875" style="76" bestFit="1" customWidth="1"/>
    <col min="13827" max="13827" width="20.1796875" style="76" customWidth="1"/>
    <col min="13828" max="13828" width="21.7265625" style="76" customWidth="1"/>
    <col min="13829" max="13829" width="18.81640625" style="76" customWidth="1"/>
    <col min="13830" max="13830" width="21.453125" style="76" customWidth="1"/>
    <col min="13831" max="13831" width="26.54296875" style="76" customWidth="1"/>
    <col min="13832" max="14079" width="9.1796875" style="76"/>
    <col min="14080" max="14080" width="0" style="76" hidden="1" customWidth="1"/>
    <col min="14081" max="14081" width="3.453125" style="76" customWidth="1"/>
    <col min="14082" max="14082" width="27.54296875" style="76" bestFit="1" customWidth="1"/>
    <col min="14083" max="14083" width="20.1796875" style="76" customWidth="1"/>
    <col min="14084" max="14084" width="21.7265625" style="76" customWidth="1"/>
    <col min="14085" max="14085" width="18.81640625" style="76" customWidth="1"/>
    <col min="14086" max="14086" width="21.453125" style="76" customWidth="1"/>
    <col min="14087" max="14087" width="26.54296875" style="76" customWidth="1"/>
    <col min="14088" max="14335" width="9.1796875" style="76"/>
    <col min="14336" max="14336" width="0" style="76" hidden="1" customWidth="1"/>
    <col min="14337" max="14337" width="3.453125" style="76" customWidth="1"/>
    <col min="14338" max="14338" width="27.54296875" style="76" bestFit="1" customWidth="1"/>
    <col min="14339" max="14339" width="20.1796875" style="76" customWidth="1"/>
    <col min="14340" max="14340" width="21.7265625" style="76" customWidth="1"/>
    <col min="14341" max="14341" width="18.81640625" style="76" customWidth="1"/>
    <col min="14342" max="14342" width="21.453125" style="76" customWidth="1"/>
    <col min="14343" max="14343" width="26.54296875" style="76" customWidth="1"/>
    <col min="14344" max="14591" width="9.1796875" style="76"/>
    <col min="14592" max="14592" width="0" style="76" hidden="1" customWidth="1"/>
    <col min="14593" max="14593" width="3.453125" style="76" customWidth="1"/>
    <col min="14594" max="14594" width="27.54296875" style="76" bestFit="1" customWidth="1"/>
    <col min="14595" max="14595" width="20.1796875" style="76" customWidth="1"/>
    <col min="14596" max="14596" width="21.7265625" style="76" customWidth="1"/>
    <col min="14597" max="14597" width="18.81640625" style="76" customWidth="1"/>
    <col min="14598" max="14598" width="21.453125" style="76" customWidth="1"/>
    <col min="14599" max="14599" width="26.54296875" style="76" customWidth="1"/>
    <col min="14600" max="14847" width="9.1796875" style="76"/>
    <col min="14848" max="14848" width="0" style="76" hidden="1" customWidth="1"/>
    <col min="14849" max="14849" width="3.453125" style="76" customWidth="1"/>
    <col min="14850" max="14850" width="27.54296875" style="76" bestFit="1" customWidth="1"/>
    <col min="14851" max="14851" width="20.1796875" style="76" customWidth="1"/>
    <col min="14852" max="14852" width="21.7265625" style="76" customWidth="1"/>
    <col min="14853" max="14853" width="18.81640625" style="76" customWidth="1"/>
    <col min="14854" max="14854" width="21.453125" style="76" customWidth="1"/>
    <col min="14855" max="14855" width="26.54296875" style="76" customWidth="1"/>
    <col min="14856" max="15103" width="9.1796875" style="76"/>
    <col min="15104" max="15104" width="0" style="76" hidden="1" customWidth="1"/>
    <col min="15105" max="15105" width="3.453125" style="76" customWidth="1"/>
    <col min="15106" max="15106" width="27.54296875" style="76" bestFit="1" customWidth="1"/>
    <col min="15107" max="15107" width="20.1796875" style="76" customWidth="1"/>
    <col min="15108" max="15108" width="21.7265625" style="76" customWidth="1"/>
    <col min="15109" max="15109" width="18.81640625" style="76" customWidth="1"/>
    <col min="15110" max="15110" width="21.453125" style="76" customWidth="1"/>
    <col min="15111" max="15111" width="26.54296875" style="76" customWidth="1"/>
    <col min="15112" max="15359" width="9.1796875" style="76"/>
    <col min="15360" max="15360" width="0" style="76" hidden="1" customWidth="1"/>
    <col min="15361" max="15361" width="3.453125" style="76" customWidth="1"/>
    <col min="15362" max="15362" width="27.54296875" style="76" bestFit="1" customWidth="1"/>
    <col min="15363" max="15363" width="20.1796875" style="76" customWidth="1"/>
    <col min="15364" max="15364" width="21.7265625" style="76" customWidth="1"/>
    <col min="15365" max="15365" width="18.81640625" style="76" customWidth="1"/>
    <col min="15366" max="15366" width="21.453125" style="76" customWidth="1"/>
    <col min="15367" max="15367" width="26.54296875" style="76" customWidth="1"/>
    <col min="15368" max="15615" width="9.1796875" style="76"/>
    <col min="15616" max="15616" width="0" style="76" hidden="1" customWidth="1"/>
    <col min="15617" max="15617" width="3.453125" style="76" customWidth="1"/>
    <col min="15618" max="15618" width="27.54296875" style="76" bestFit="1" customWidth="1"/>
    <col min="15619" max="15619" width="20.1796875" style="76" customWidth="1"/>
    <col min="15620" max="15620" width="21.7265625" style="76" customWidth="1"/>
    <col min="15621" max="15621" width="18.81640625" style="76" customWidth="1"/>
    <col min="15622" max="15622" width="21.453125" style="76" customWidth="1"/>
    <col min="15623" max="15623" width="26.54296875" style="76" customWidth="1"/>
    <col min="15624" max="15871" width="9.1796875" style="76"/>
    <col min="15872" max="15872" width="0" style="76" hidden="1" customWidth="1"/>
    <col min="15873" max="15873" width="3.453125" style="76" customWidth="1"/>
    <col min="15874" max="15874" width="27.54296875" style="76" bestFit="1" customWidth="1"/>
    <col min="15875" max="15875" width="20.1796875" style="76" customWidth="1"/>
    <col min="15876" max="15876" width="21.7265625" style="76" customWidth="1"/>
    <col min="15877" max="15877" width="18.81640625" style="76" customWidth="1"/>
    <col min="15878" max="15878" width="21.453125" style="76" customWidth="1"/>
    <col min="15879" max="15879" width="26.54296875" style="76" customWidth="1"/>
    <col min="15880" max="16127" width="9.1796875" style="76"/>
    <col min="16128" max="16128" width="0" style="76" hidden="1" customWidth="1"/>
    <col min="16129" max="16129" width="3.453125" style="76" customWidth="1"/>
    <col min="16130" max="16130" width="27.54296875" style="76" bestFit="1" customWidth="1"/>
    <col min="16131" max="16131" width="20.1796875" style="76" customWidth="1"/>
    <col min="16132" max="16132" width="21.7265625" style="76" customWidth="1"/>
    <col min="16133" max="16133" width="18.81640625" style="76" customWidth="1"/>
    <col min="16134" max="16134" width="21.453125" style="76" customWidth="1"/>
    <col min="16135" max="16135" width="26.54296875" style="76" customWidth="1"/>
    <col min="16136" max="16384" width="9.1796875" style="76"/>
  </cols>
  <sheetData>
    <row r="1" spans="1:7" s="55" customFormat="1" ht="41.25" customHeight="1" x14ac:dyDescent="0.35">
      <c r="B1" s="148" t="s">
        <v>96</v>
      </c>
      <c r="C1" s="148"/>
      <c r="D1" s="148"/>
      <c r="E1" s="148"/>
      <c r="F1" s="148"/>
      <c r="G1" s="149"/>
    </row>
    <row r="2" spans="1:7" s="56" customFormat="1" ht="28.5" customHeight="1" x14ac:dyDescent="0.35">
      <c r="C2" s="57" t="s">
        <v>1</v>
      </c>
      <c r="D2" s="57" t="s">
        <v>59</v>
      </c>
      <c r="E2" s="57" t="s">
        <v>60</v>
      </c>
      <c r="F2" s="57" t="s">
        <v>61</v>
      </c>
      <c r="G2" s="84" t="s">
        <v>5</v>
      </c>
    </row>
    <row r="3" spans="1:7" s="56" customFormat="1" ht="28.5" customHeight="1" x14ac:dyDescent="0.35">
      <c r="B3" s="60" t="s">
        <v>0</v>
      </c>
      <c r="C3" s="61">
        <v>1320</v>
      </c>
      <c r="D3" s="61">
        <v>1461</v>
      </c>
      <c r="E3" s="61">
        <v>124</v>
      </c>
      <c r="F3" s="61">
        <v>1325</v>
      </c>
      <c r="G3" s="61">
        <v>4230</v>
      </c>
    </row>
    <row r="4" spans="1:7" s="60" customFormat="1" ht="25.5" customHeight="1" x14ac:dyDescent="0.35">
      <c r="A4" s="62"/>
      <c r="B4" s="60" t="s">
        <v>62</v>
      </c>
      <c r="C4" s="63">
        <v>646</v>
      </c>
      <c r="D4" s="63">
        <v>1430</v>
      </c>
      <c r="E4" s="63">
        <v>111</v>
      </c>
      <c r="F4" s="63">
        <v>817</v>
      </c>
      <c r="G4" s="61">
        <v>3004</v>
      </c>
    </row>
    <row r="5" spans="1:7" s="65" customFormat="1" ht="12.75" customHeight="1" x14ac:dyDescent="0.35">
      <c r="A5" s="64">
        <v>51</v>
      </c>
      <c r="B5" s="65" t="s">
        <v>10</v>
      </c>
      <c r="C5" s="66">
        <v>17</v>
      </c>
      <c r="D5" s="66">
        <v>18</v>
      </c>
      <c r="E5" s="66">
        <v>0</v>
      </c>
      <c r="F5" s="66">
        <v>25</v>
      </c>
      <c r="G5" s="61">
        <v>60</v>
      </c>
    </row>
    <row r="6" spans="1:7" s="65" customFormat="1" ht="12.75" customHeight="1" x14ac:dyDescent="0.35">
      <c r="A6" s="64">
        <v>52</v>
      </c>
      <c r="B6" s="65" t="s">
        <v>11</v>
      </c>
      <c r="C6" s="66">
        <v>8</v>
      </c>
      <c r="D6" s="66">
        <v>12</v>
      </c>
      <c r="E6" s="66">
        <v>0</v>
      </c>
      <c r="F6" s="66">
        <v>8</v>
      </c>
      <c r="G6" s="61">
        <v>28</v>
      </c>
    </row>
    <row r="7" spans="1:7" s="65" customFormat="1" ht="12.75" customHeight="1" x14ac:dyDescent="0.35">
      <c r="A7" s="64">
        <v>86</v>
      </c>
      <c r="B7" s="65" t="s">
        <v>12</v>
      </c>
      <c r="C7" s="66">
        <v>10</v>
      </c>
      <c r="D7" s="66">
        <v>10</v>
      </c>
      <c r="E7" s="66">
        <v>6</v>
      </c>
      <c r="F7" s="66">
        <v>6</v>
      </c>
      <c r="G7" s="61">
        <v>32</v>
      </c>
    </row>
    <row r="8" spans="1:7" s="65" customFormat="1" ht="14" x14ac:dyDescent="0.35">
      <c r="A8" s="64">
        <v>53</v>
      </c>
      <c r="B8" s="65" t="s">
        <v>13</v>
      </c>
      <c r="C8" s="66">
        <v>12</v>
      </c>
      <c r="D8" s="66">
        <v>13</v>
      </c>
      <c r="E8" s="66">
        <v>2</v>
      </c>
      <c r="F8" s="66">
        <v>9</v>
      </c>
      <c r="G8" s="61">
        <v>36</v>
      </c>
    </row>
    <row r="9" spans="1:7" s="65" customFormat="1" ht="12.75" customHeight="1" x14ac:dyDescent="0.35">
      <c r="A9" s="64">
        <v>54</v>
      </c>
      <c r="B9" s="65" t="s">
        <v>14</v>
      </c>
      <c r="C9" s="66">
        <v>9</v>
      </c>
      <c r="D9" s="66">
        <v>35</v>
      </c>
      <c r="E9" s="66">
        <v>18</v>
      </c>
      <c r="F9" s="66">
        <v>25</v>
      </c>
      <c r="G9" s="61">
        <v>87</v>
      </c>
    </row>
    <row r="10" spans="1:7" s="65" customFormat="1" ht="12.75" customHeight="1" x14ac:dyDescent="0.35">
      <c r="A10" s="64">
        <v>55</v>
      </c>
      <c r="B10" s="65" t="s">
        <v>15</v>
      </c>
      <c r="C10" s="66">
        <v>31</v>
      </c>
      <c r="D10" s="66">
        <v>22</v>
      </c>
      <c r="E10" s="66">
        <v>1</v>
      </c>
      <c r="F10" s="66">
        <v>38</v>
      </c>
      <c r="G10" s="61">
        <v>92</v>
      </c>
    </row>
    <row r="11" spans="1:7" s="65" customFormat="1" ht="13.5" customHeight="1" x14ac:dyDescent="0.35">
      <c r="A11" s="64">
        <v>56</v>
      </c>
      <c r="B11" s="65" t="s">
        <v>16</v>
      </c>
      <c r="C11" s="66">
        <v>25</v>
      </c>
      <c r="D11" s="66">
        <v>12</v>
      </c>
      <c r="E11" s="66">
        <v>4</v>
      </c>
      <c r="F11" s="66">
        <v>17</v>
      </c>
      <c r="G11" s="61">
        <v>58</v>
      </c>
    </row>
    <row r="12" spans="1:7" s="65" customFormat="1" ht="13.5" customHeight="1" x14ac:dyDescent="0.35">
      <c r="A12" s="64">
        <v>57</v>
      </c>
      <c r="B12" s="65" t="s">
        <v>17</v>
      </c>
      <c r="C12" s="66">
        <v>4</v>
      </c>
      <c r="D12" s="66">
        <v>20</v>
      </c>
      <c r="E12" s="66">
        <v>0</v>
      </c>
      <c r="F12" s="66">
        <v>4</v>
      </c>
      <c r="G12" s="61">
        <v>28</v>
      </c>
    </row>
    <row r="13" spans="1:7" s="65" customFormat="1" ht="12.75" customHeight="1" x14ac:dyDescent="0.35">
      <c r="A13" s="64">
        <v>59</v>
      </c>
      <c r="B13" s="65" t="s">
        <v>18</v>
      </c>
      <c r="C13" s="66">
        <v>19</v>
      </c>
      <c r="D13" s="66">
        <v>37</v>
      </c>
      <c r="E13" s="66">
        <v>3</v>
      </c>
      <c r="F13" s="66">
        <v>17</v>
      </c>
      <c r="G13" s="61">
        <v>76</v>
      </c>
    </row>
    <row r="14" spans="1:7" s="65" customFormat="1" ht="12.75" customHeight="1" x14ac:dyDescent="0.35">
      <c r="A14" s="64">
        <v>60</v>
      </c>
      <c r="B14" s="65" t="s">
        <v>19</v>
      </c>
      <c r="C14" s="66">
        <v>27</v>
      </c>
      <c r="D14" s="66">
        <v>42</v>
      </c>
      <c r="E14" s="66">
        <v>7</v>
      </c>
      <c r="F14" s="66">
        <v>57</v>
      </c>
      <c r="G14" s="61">
        <v>133</v>
      </c>
    </row>
    <row r="15" spans="1:7" s="65" customFormat="1" ht="12.75" customHeight="1" x14ac:dyDescent="0.35">
      <c r="A15" s="64">
        <v>61</v>
      </c>
      <c r="B15" s="67" t="s">
        <v>63</v>
      </c>
      <c r="C15" s="66">
        <v>24</v>
      </c>
      <c r="D15" s="66">
        <v>96</v>
      </c>
      <c r="E15" s="66">
        <v>14</v>
      </c>
      <c r="F15" s="66">
        <v>33</v>
      </c>
      <c r="G15" s="61">
        <v>167</v>
      </c>
    </row>
    <row r="16" spans="1:7" s="65" customFormat="1" ht="12.75" customHeight="1" x14ac:dyDescent="0.35">
      <c r="A16" s="64">
        <v>62</v>
      </c>
      <c r="B16" s="65" t="s">
        <v>106</v>
      </c>
      <c r="C16" s="66">
        <f>C62+C63</f>
        <v>13</v>
      </c>
      <c r="D16" s="66">
        <f t="shared" ref="D16:G16" si="0">D62+D63</f>
        <v>61</v>
      </c>
      <c r="E16" s="66">
        <f t="shared" si="0"/>
        <v>0</v>
      </c>
      <c r="F16" s="66">
        <f t="shared" si="0"/>
        <v>31</v>
      </c>
      <c r="G16" s="66">
        <f t="shared" si="0"/>
        <v>105</v>
      </c>
    </row>
    <row r="17" spans="1:7" s="65" customFormat="1" ht="12.75" customHeight="1" x14ac:dyDescent="0.35">
      <c r="A17" s="64">
        <v>58</v>
      </c>
      <c r="B17" s="65" t="s">
        <v>22</v>
      </c>
      <c r="C17" s="66">
        <v>17</v>
      </c>
      <c r="D17" s="66">
        <v>12</v>
      </c>
      <c r="E17" s="66">
        <v>2</v>
      </c>
      <c r="F17" s="66">
        <v>14</v>
      </c>
      <c r="G17" s="61">
        <v>45</v>
      </c>
    </row>
    <row r="18" spans="1:7" s="65" customFormat="1" ht="12.75" customHeight="1" x14ac:dyDescent="0.35">
      <c r="A18" s="64">
        <v>63</v>
      </c>
      <c r="B18" s="65" t="s">
        <v>23</v>
      </c>
      <c r="C18" s="66">
        <v>18</v>
      </c>
      <c r="D18" s="66">
        <v>35</v>
      </c>
      <c r="E18" s="66">
        <v>1</v>
      </c>
      <c r="F18" s="66">
        <v>9</v>
      </c>
      <c r="G18" s="61">
        <v>63</v>
      </c>
    </row>
    <row r="19" spans="1:7" s="65" customFormat="1" ht="12.75" customHeight="1" x14ac:dyDescent="0.35">
      <c r="A19" s="64">
        <v>64</v>
      </c>
      <c r="B19" s="65" t="s">
        <v>24</v>
      </c>
      <c r="C19" s="66">
        <v>37</v>
      </c>
      <c r="D19" s="66">
        <v>53</v>
      </c>
      <c r="E19" s="66">
        <v>4</v>
      </c>
      <c r="F19" s="66">
        <v>37</v>
      </c>
      <c r="G19" s="61">
        <v>131</v>
      </c>
    </row>
    <row r="20" spans="1:7" s="65" customFormat="1" ht="12.75" customHeight="1" x14ac:dyDescent="0.35">
      <c r="A20" s="64">
        <v>65</v>
      </c>
      <c r="B20" s="65" t="s">
        <v>25</v>
      </c>
      <c r="C20" s="66">
        <v>7</v>
      </c>
      <c r="D20" s="66">
        <v>25</v>
      </c>
      <c r="E20" s="66">
        <v>1</v>
      </c>
      <c r="F20" s="66">
        <v>5</v>
      </c>
      <c r="G20" s="61">
        <v>38</v>
      </c>
    </row>
    <row r="21" spans="1:7" s="65" customFormat="1" ht="12.75" customHeight="1" x14ac:dyDescent="0.35">
      <c r="A21" s="64">
        <v>67</v>
      </c>
      <c r="B21" s="65" t="s">
        <v>97</v>
      </c>
      <c r="C21" s="66">
        <v>23</v>
      </c>
      <c r="D21" s="66">
        <v>79</v>
      </c>
      <c r="E21" s="66">
        <v>4</v>
      </c>
      <c r="F21" s="66">
        <v>60</v>
      </c>
      <c r="G21" s="61">
        <v>166</v>
      </c>
    </row>
    <row r="22" spans="1:7" s="65" customFormat="1" ht="12.75" customHeight="1" x14ac:dyDescent="0.35">
      <c r="A22" s="64">
        <v>68</v>
      </c>
      <c r="B22" s="65" t="s">
        <v>64</v>
      </c>
      <c r="C22" s="66">
        <v>11</v>
      </c>
      <c r="D22" s="66">
        <v>34</v>
      </c>
      <c r="E22" s="66">
        <v>0</v>
      </c>
      <c r="F22" s="66">
        <v>20</v>
      </c>
      <c r="G22" s="61">
        <v>65</v>
      </c>
    </row>
    <row r="23" spans="1:7" s="65" customFormat="1" ht="12.75" customHeight="1" x14ac:dyDescent="0.35">
      <c r="A23" s="64">
        <v>69</v>
      </c>
      <c r="B23" s="65" t="s">
        <v>30</v>
      </c>
      <c r="C23" s="66">
        <v>23</v>
      </c>
      <c r="D23" s="66">
        <v>22</v>
      </c>
      <c r="E23" s="66">
        <v>1</v>
      </c>
      <c r="F23" s="66">
        <v>13</v>
      </c>
      <c r="G23" s="61">
        <v>59</v>
      </c>
    </row>
    <row r="24" spans="1:7" s="65" customFormat="1" ht="12.75" customHeight="1" x14ac:dyDescent="0.35">
      <c r="A24" s="64">
        <v>70</v>
      </c>
      <c r="B24" s="65" t="s">
        <v>31</v>
      </c>
      <c r="C24" s="66">
        <v>36</v>
      </c>
      <c r="D24" s="66">
        <v>21</v>
      </c>
      <c r="E24" s="66">
        <v>0</v>
      </c>
      <c r="F24" s="66">
        <v>22</v>
      </c>
      <c r="G24" s="61">
        <v>79</v>
      </c>
    </row>
    <row r="25" spans="1:7" s="65" customFormat="1" ht="12.75" customHeight="1" x14ac:dyDescent="0.35">
      <c r="A25" s="64">
        <v>71</v>
      </c>
      <c r="B25" s="65" t="s">
        <v>65</v>
      </c>
      <c r="C25" s="66">
        <v>4</v>
      </c>
      <c r="D25" s="66">
        <v>21</v>
      </c>
      <c r="E25" s="66">
        <v>12</v>
      </c>
      <c r="F25" s="66">
        <v>4</v>
      </c>
      <c r="G25" s="61">
        <v>41</v>
      </c>
    </row>
    <row r="26" spans="1:7" s="65" customFormat="1" ht="12.75" customHeight="1" x14ac:dyDescent="0.35">
      <c r="A26" s="64">
        <v>73</v>
      </c>
      <c r="B26" s="65" t="s">
        <v>34</v>
      </c>
      <c r="C26" s="66">
        <v>23</v>
      </c>
      <c r="D26" s="66">
        <v>162</v>
      </c>
      <c r="E26" s="66">
        <v>2</v>
      </c>
      <c r="F26" s="66">
        <v>29</v>
      </c>
      <c r="G26" s="61">
        <v>216</v>
      </c>
    </row>
    <row r="27" spans="1:7" s="65" customFormat="1" ht="12.75" customHeight="1" x14ac:dyDescent="0.35">
      <c r="A27" s="64">
        <v>74</v>
      </c>
      <c r="B27" s="65" t="s">
        <v>35</v>
      </c>
      <c r="C27" s="66">
        <v>31</v>
      </c>
      <c r="D27" s="66">
        <v>72</v>
      </c>
      <c r="E27" s="66">
        <v>3</v>
      </c>
      <c r="F27" s="66">
        <v>47</v>
      </c>
      <c r="G27" s="61">
        <v>153</v>
      </c>
    </row>
    <row r="28" spans="1:7" s="65" customFormat="1" ht="12.75" customHeight="1" x14ac:dyDescent="0.35">
      <c r="A28" s="64">
        <v>75</v>
      </c>
      <c r="B28" s="65" t="s">
        <v>36</v>
      </c>
      <c r="C28" s="66">
        <v>26</v>
      </c>
      <c r="D28" s="66">
        <v>29</v>
      </c>
      <c r="E28" s="66">
        <v>9</v>
      </c>
      <c r="F28" s="66">
        <v>16</v>
      </c>
      <c r="G28" s="61">
        <v>80</v>
      </c>
    </row>
    <row r="29" spans="1:7" s="65" customFormat="1" ht="12.75" customHeight="1" x14ac:dyDescent="0.35">
      <c r="A29" s="64">
        <v>76</v>
      </c>
      <c r="B29" s="65" t="s">
        <v>37</v>
      </c>
      <c r="C29" s="66">
        <v>9</v>
      </c>
      <c r="D29" s="66">
        <v>65</v>
      </c>
      <c r="E29" s="66">
        <v>2</v>
      </c>
      <c r="F29" s="66">
        <v>36</v>
      </c>
      <c r="G29" s="61">
        <v>112</v>
      </c>
    </row>
    <row r="30" spans="1:7" s="65" customFormat="1" ht="12.75" customHeight="1" x14ac:dyDescent="0.35">
      <c r="A30" s="64">
        <v>79</v>
      </c>
      <c r="B30" s="65" t="s">
        <v>39</v>
      </c>
      <c r="C30" s="66">
        <v>12</v>
      </c>
      <c r="D30" s="66">
        <v>41</v>
      </c>
      <c r="E30" s="66">
        <v>3</v>
      </c>
      <c r="F30" s="66">
        <v>31</v>
      </c>
      <c r="G30" s="61">
        <v>87</v>
      </c>
    </row>
    <row r="31" spans="1:7" s="65" customFormat="1" ht="12.75" customHeight="1" x14ac:dyDescent="0.35">
      <c r="A31" s="64"/>
      <c r="B31" s="96" t="s">
        <v>40</v>
      </c>
      <c r="C31" s="97" t="s">
        <v>75</v>
      </c>
      <c r="D31" s="97" t="s">
        <v>75</v>
      </c>
      <c r="E31" s="97" t="s">
        <v>75</v>
      </c>
      <c r="F31" s="97" t="s">
        <v>75</v>
      </c>
      <c r="G31" s="98" t="s">
        <v>75</v>
      </c>
    </row>
    <row r="32" spans="1:7" s="65" customFormat="1" ht="12.75" customHeight="1" x14ac:dyDescent="0.35">
      <c r="A32" s="64">
        <v>80</v>
      </c>
      <c r="B32" s="65" t="s">
        <v>41</v>
      </c>
      <c r="C32" s="66">
        <v>13</v>
      </c>
      <c r="D32" s="66">
        <v>41</v>
      </c>
      <c r="E32" s="66">
        <v>0</v>
      </c>
      <c r="F32" s="66">
        <v>16</v>
      </c>
      <c r="G32" s="61">
        <v>70</v>
      </c>
    </row>
    <row r="33" spans="1:9" s="65" customFormat="1" ht="13.5" customHeight="1" x14ac:dyDescent="0.35">
      <c r="A33" s="64">
        <v>81</v>
      </c>
      <c r="B33" s="65" t="s">
        <v>42</v>
      </c>
      <c r="C33" s="66">
        <v>9</v>
      </c>
      <c r="D33" s="66">
        <v>32</v>
      </c>
      <c r="E33" s="66">
        <v>2</v>
      </c>
      <c r="F33" s="66">
        <v>33</v>
      </c>
      <c r="G33" s="61">
        <v>76</v>
      </c>
    </row>
    <row r="34" spans="1:9" s="65" customFormat="1" ht="13.5" customHeight="1" x14ac:dyDescent="0.35">
      <c r="A34" s="64">
        <v>83</v>
      </c>
      <c r="B34" s="65" t="s">
        <v>43</v>
      </c>
      <c r="C34" s="66">
        <v>5</v>
      </c>
      <c r="D34" s="66">
        <v>23</v>
      </c>
      <c r="E34" s="66">
        <v>0</v>
      </c>
      <c r="F34" s="66">
        <v>4</v>
      </c>
      <c r="G34" s="61">
        <v>32</v>
      </c>
    </row>
    <row r="35" spans="1:9" s="65" customFormat="1" ht="14.25" customHeight="1" x14ac:dyDescent="0.35">
      <c r="A35" s="64">
        <v>84</v>
      </c>
      <c r="B35" s="65" t="s">
        <v>44</v>
      </c>
      <c r="C35" s="66">
        <v>32</v>
      </c>
      <c r="D35" s="66">
        <v>23</v>
      </c>
      <c r="E35" s="66">
        <v>6</v>
      </c>
      <c r="F35" s="66">
        <v>22</v>
      </c>
      <c r="G35" s="61">
        <v>83</v>
      </c>
    </row>
    <row r="36" spans="1:9" s="65" customFormat="1" ht="12.75" customHeight="1" x14ac:dyDescent="0.35">
      <c r="A36" s="64">
        <v>85</v>
      </c>
      <c r="B36" s="65" t="s">
        <v>45</v>
      </c>
      <c r="C36" s="66">
        <v>10</v>
      </c>
      <c r="D36" s="66">
        <v>49</v>
      </c>
      <c r="E36" s="66">
        <v>0</v>
      </c>
      <c r="F36" s="66">
        <v>5</v>
      </c>
      <c r="G36" s="61">
        <v>64</v>
      </c>
    </row>
    <row r="37" spans="1:9" s="65" customFormat="1" ht="12.75" customHeight="1" x14ac:dyDescent="0.35">
      <c r="A37" s="64">
        <v>87</v>
      </c>
      <c r="B37" s="65" t="s">
        <v>46</v>
      </c>
      <c r="C37" s="66">
        <v>7</v>
      </c>
      <c r="D37" s="66">
        <v>21</v>
      </c>
      <c r="E37" s="66">
        <v>1</v>
      </c>
      <c r="F37" s="66">
        <v>12</v>
      </c>
      <c r="G37" s="61">
        <v>41</v>
      </c>
      <c r="I37" s="68"/>
    </row>
    <row r="38" spans="1:9" s="65" customFormat="1" ht="12.75" customHeight="1" x14ac:dyDescent="0.35">
      <c r="A38" s="64">
        <v>90</v>
      </c>
      <c r="B38" s="65" t="s">
        <v>48</v>
      </c>
      <c r="C38" s="66">
        <v>31</v>
      </c>
      <c r="D38" s="66">
        <v>58</v>
      </c>
      <c r="E38" s="66">
        <v>0</v>
      </c>
      <c r="F38" s="66">
        <v>25</v>
      </c>
      <c r="G38" s="61">
        <v>114</v>
      </c>
    </row>
    <row r="39" spans="1:9" s="65" customFormat="1" ht="12.75" customHeight="1" x14ac:dyDescent="0.35">
      <c r="A39" s="64">
        <v>91</v>
      </c>
      <c r="B39" s="65" t="s">
        <v>49</v>
      </c>
      <c r="C39" s="66">
        <v>8</v>
      </c>
      <c r="D39" s="66">
        <v>34</v>
      </c>
      <c r="E39" s="66">
        <v>0</v>
      </c>
      <c r="F39" s="66">
        <v>33</v>
      </c>
      <c r="G39" s="61">
        <v>75</v>
      </c>
    </row>
    <row r="40" spans="1:9" s="65" customFormat="1" ht="12.75" customHeight="1" x14ac:dyDescent="0.35">
      <c r="A40" s="64">
        <v>92</v>
      </c>
      <c r="B40" s="65" t="s">
        <v>50</v>
      </c>
      <c r="C40" s="66">
        <v>24</v>
      </c>
      <c r="D40" s="66">
        <v>7</v>
      </c>
      <c r="E40" s="66">
        <v>0</v>
      </c>
      <c r="F40" s="66">
        <v>12</v>
      </c>
      <c r="G40" s="61">
        <v>43</v>
      </c>
    </row>
    <row r="41" spans="1:9" s="65" customFormat="1" ht="12.75" customHeight="1" x14ac:dyDescent="0.35">
      <c r="A41" s="64">
        <v>94</v>
      </c>
      <c r="B41" s="65" t="s">
        <v>52</v>
      </c>
      <c r="C41" s="66">
        <v>16</v>
      </c>
      <c r="D41" s="66">
        <v>32</v>
      </c>
      <c r="E41" s="66">
        <v>0</v>
      </c>
      <c r="F41" s="66">
        <v>21</v>
      </c>
      <c r="G41" s="61">
        <v>69</v>
      </c>
    </row>
    <row r="42" spans="1:9" s="65" customFormat="1" ht="12.75" customHeight="1" x14ac:dyDescent="0.35">
      <c r="A42" s="64">
        <v>96</v>
      </c>
      <c r="B42" s="65" t="s">
        <v>54</v>
      </c>
      <c r="C42" s="66">
        <v>14</v>
      </c>
      <c r="D42" s="66">
        <v>61</v>
      </c>
      <c r="E42" s="66">
        <v>3</v>
      </c>
      <c r="F42" s="66">
        <v>21</v>
      </c>
      <c r="G42" s="61">
        <v>99</v>
      </c>
      <c r="H42" s="68"/>
    </row>
    <row r="43" spans="1:9" s="65" customFormat="1" ht="12.75" customHeight="1" x14ac:dyDescent="0.35">
      <c r="A43" s="64">
        <v>72</v>
      </c>
      <c r="B43" s="65" t="s">
        <v>33</v>
      </c>
      <c r="C43" s="66">
        <v>1</v>
      </c>
      <c r="D43" s="66">
        <v>0</v>
      </c>
      <c r="E43" s="66">
        <v>0</v>
      </c>
      <c r="F43" s="66">
        <v>0</v>
      </c>
      <c r="G43" s="61">
        <v>1</v>
      </c>
    </row>
    <row r="44" spans="1:9" s="60" customFormat="1" ht="25.5" customHeight="1" x14ac:dyDescent="0.35">
      <c r="B44" s="60" t="s">
        <v>66</v>
      </c>
      <c r="C44" s="63">
        <v>674</v>
      </c>
      <c r="D44" s="63">
        <v>31</v>
      </c>
      <c r="E44" s="63">
        <v>13</v>
      </c>
      <c r="F44" s="63">
        <v>508</v>
      </c>
      <c r="G44" s="61">
        <v>1226</v>
      </c>
    </row>
    <row r="45" spans="1:9" s="65" customFormat="1" ht="12.75" customHeight="1" x14ac:dyDescent="0.35">
      <c r="A45" s="64">
        <v>66</v>
      </c>
      <c r="B45" s="65" t="s">
        <v>27</v>
      </c>
      <c r="C45" s="66">
        <v>118</v>
      </c>
      <c r="D45" s="69">
        <v>3</v>
      </c>
      <c r="E45" s="69">
        <v>0</v>
      </c>
      <c r="F45" s="69">
        <v>148</v>
      </c>
      <c r="G45" s="61">
        <v>269</v>
      </c>
    </row>
    <row r="46" spans="1:9" s="65" customFormat="1" ht="14.25" customHeight="1" x14ac:dyDescent="0.35">
      <c r="A46" s="64">
        <v>78</v>
      </c>
      <c r="B46" s="65" t="s">
        <v>38</v>
      </c>
      <c r="C46" s="66">
        <v>66</v>
      </c>
      <c r="D46" s="69">
        <v>7</v>
      </c>
      <c r="E46" s="69">
        <v>3</v>
      </c>
      <c r="F46" s="69">
        <v>73</v>
      </c>
      <c r="G46" s="61">
        <v>149</v>
      </c>
    </row>
    <row r="47" spans="1:9" s="65" customFormat="1" ht="12.75" customHeight="1" x14ac:dyDescent="0.35">
      <c r="A47" s="64">
        <v>89</v>
      </c>
      <c r="B47" s="65" t="s">
        <v>47</v>
      </c>
      <c r="C47" s="66">
        <v>26</v>
      </c>
      <c r="D47" s="69">
        <v>12</v>
      </c>
      <c r="E47" s="69">
        <v>1</v>
      </c>
      <c r="F47" s="69">
        <v>36</v>
      </c>
      <c r="G47" s="61">
        <v>75</v>
      </c>
    </row>
    <row r="48" spans="1:9" s="65" customFormat="1" ht="12.75" customHeight="1" x14ac:dyDescent="0.35">
      <c r="A48" s="64">
        <v>93</v>
      </c>
      <c r="B48" s="65" t="s">
        <v>67</v>
      </c>
      <c r="C48" s="66">
        <v>35</v>
      </c>
      <c r="D48" s="69">
        <v>4</v>
      </c>
      <c r="E48" s="69">
        <v>1</v>
      </c>
      <c r="F48" s="69">
        <v>20</v>
      </c>
      <c r="G48" s="61">
        <v>60</v>
      </c>
    </row>
    <row r="49" spans="1:9" s="65" customFormat="1" ht="12.75" customHeight="1" x14ac:dyDescent="0.35">
      <c r="A49" s="64">
        <v>95</v>
      </c>
      <c r="B49" s="65" t="s">
        <v>53</v>
      </c>
      <c r="C49" s="66">
        <v>82</v>
      </c>
      <c r="D49" s="69">
        <v>0</v>
      </c>
      <c r="E49" s="69">
        <v>1</v>
      </c>
      <c r="F49" s="69">
        <v>70</v>
      </c>
      <c r="G49" s="61">
        <v>153</v>
      </c>
    </row>
    <row r="50" spans="1:9" s="65" customFormat="1" ht="12.75" customHeight="1" x14ac:dyDescent="0.35">
      <c r="A50" s="64">
        <v>97</v>
      </c>
      <c r="B50" s="65" t="s">
        <v>55</v>
      </c>
      <c r="C50" s="66">
        <v>60</v>
      </c>
      <c r="D50" s="69">
        <v>5</v>
      </c>
      <c r="E50" s="69">
        <v>3</v>
      </c>
      <c r="F50" s="69">
        <v>19</v>
      </c>
      <c r="G50" s="61">
        <v>87</v>
      </c>
    </row>
    <row r="51" spans="1:9" s="74" customFormat="1" ht="12.75" customHeight="1" x14ac:dyDescent="0.35">
      <c r="A51" s="64">
        <v>77</v>
      </c>
      <c r="B51" s="70" t="s">
        <v>26</v>
      </c>
      <c r="C51" s="71">
        <v>287</v>
      </c>
      <c r="D51" s="71">
        <v>0</v>
      </c>
      <c r="E51" s="72">
        <v>4</v>
      </c>
      <c r="F51" s="72">
        <v>142</v>
      </c>
      <c r="G51" s="73">
        <v>433</v>
      </c>
    </row>
    <row r="52" spans="1:9" s="65" customFormat="1" ht="10.5" customHeight="1" x14ac:dyDescent="0.35">
      <c r="A52" s="64"/>
      <c r="C52" s="75"/>
      <c r="D52" s="75"/>
      <c r="E52" s="75"/>
      <c r="F52" s="75"/>
      <c r="G52" s="75"/>
      <c r="I52" s="76"/>
    </row>
    <row r="53" spans="1:9" s="65" customFormat="1" ht="13.5" customHeight="1" x14ac:dyDescent="0.35">
      <c r="A53" s="64"/>
      <c r="B53" s="65" t="s">
        <v>68</v>
      </c>
      <c r="H53" s="76"/>
      <c r="I53" s="76"/>
    </row>
    <row r="54" spans="1:9" s="65" customFormat="1" ht="13.5" customHeight="1" x14ac:dyDescent="0.35">
      <c r="A54" s="64"/>
      <c r="B54" s="65" t="s">
        <v>98</v>
      </c>
      <c r="H54" s="76"/>
      <c r="I54" s="76"/>
    </row>
    <row r="55" spans="1:9" s="65" customFormat="1" ht="13.5" customHeight="1" x14ac:dyDescent="0.35">
      <c r="A55" s="64"/>
      <c r="H55" s="76"/>
      <c r="I55" s="76"/>
    </row>
    <row r="56" spans="1:9" s="65" customFormat="1" x14ac:dyDescent="0.35">
      <c r="A56" s="64"/>
      <c r="B56" s="46" t="s">
        <v>69</v>
      </c>
      <c r="H56" s="76"/>
      <c r="I56" s="76"/>
    </row>
    <row r="57" spans="1:9" x14ac:dyDescent="0.35">
      <c r="A57" s="64"/>
      <c r="F57" s="78"/>
      <c r="G57" s="78"/>
    </row>
    <row r="58" spans="1:9" x14ac:dyDescent="0.35">
      <c r="A58" s="64"/>
    </row>
    <row r="59" spans="1:9" x14ac:dyDescent="0.35">
      <c r="A59" s="64"/>
    </row>
    <row r="60" spans="1:9" x14ac:dyDescent="0.35">
      <c r="A60" s="64"/>
      <c r="E60" s="79"/>
    </row>
    <row r="62" spans="1:9" ht="14" x14ac:dyDescent="0.35">
      <c r="A62" s="64">
        <v>62</v>
      </c>
      <c r="B62" s="65" t="s">
        <v>21</v>
      </c>
      <c r="C62" s="66">
        <v>7</v>
      </c>
      <c r="D62" s="66">
        <v>19</v>
      </c>
      <c r="E62" s="66">
        <v>0</v>
      </c>
      <c r="F62" s="66">
        <v>17</v>
      </c>
      <c r="G62" s="61">
        <v>43</v>
      </c>
    </row>
    <row r="63" spans="1:9" ht="14" x14ac:dyDescent="0.35">
      <c r="A63" s="64">
        <v>98</v>
      </c>
      <c r="B63" s="65" t="s">
        <v>56</v>
      </c>
      <c r="C63" s="66">
        <v>6</v>
      </c>
      <c r="D63" s="66">
        <v>42</v>
      </c>
      <c r="E63" s="66">
        <v>0</v>
      </c>
      <c r="F63" s="66">
        <v>14</v>
      </c>
      <c r="G63" s="61">
        <v>62</v>
      </c>
    </row>
  </sheetData>
  <mergeCells count="1">
    <mergeCell ref="B1:G1"/>
  </mergeCells>
  <printOptions horizontalCentered="1" verticalCentered="1"/>
  <pageMargins left="0.2" right="0.34" top="0.32" bottom="0.25" header="0.51181102362204722" footer="0.51181102362204722"/>
  <pageSetup paperSize="9" scale="65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2"/>
  </sheetPr>
  <dimension ref="A1:M64"/>
  <sheetViews>
    <sheetView workbookViewId="0">
      <selection activeCell="A57" sqref="A57:F57"/>
    </sheetView>
  </sheetViews>
  <sheetFormatPr defaultColWidth="0" defaultRowHeight="13" x14ac:dyDescent="0.35"/>
  <cols>
    <col min="1" max="1" width="3.54296875" style="76" customWidth="1"/>
    <col min="2" max="2" width="27.54296875" style="76" bestFit="1" customWidth="1"/>
    <col min="3" max="3" width="20.1796875" style="76" customWidth="1"/>
    <col min="4" max="4" width="21.7265625" style="76" customWidth="1"/>
    <col min="5" max="5" width="18.81640625" style="76" customWidth="1"/>
    <col min="6" max="6" width="21.453125" style="76" customWidth="1"/>
    <col min="7" max="7" width="26.54296875" style="76" customWidth="1"/>
    <col min="8" max="8" width="9.1796875" style="76" customWidth="1"/>
    <col min="9" max="256" width="0" style="76" hidden="1"/>
    <col min="257" max="257" width="0" style="76" hidden="1" customWidth="1"/>
    <col min="258" max="258" width="27.54296875" style="76" bestFit="1" customWidth="1"/>
    <col min="259" max="259" width="20.1796875" style="76" customWidth="1"/>
    <col min="260" max="260" width="21.7265625" style="76" customWidth="1"/>
    <col min="261" max="261" width="18.81640625" style="76" customWidth="1"/>
    <col min="262" max="262" width="21.453125" style="76" customWidth="1"/>
    <col min="263" max="263" width="26.54296875" style="76" customWidth="1"/>
    <col min="264" max="264" width="9.1796875" style="76" customWidth="1"/>
    <col min="265" max="512" width="0" style="76" hidden="1"/>
    <col min="513" max="513" width="0" style="76" hidden="1" customWidth="1"/>
    <col min="514" max="514" width="27.54296875" style="76" bestFit="1" customWidth="1"/>
    <col min="515" max="515" width="20.1796875" style="76" customWidth="1"/>
    <col min="516" max="516" width="21.7265625" style="76" customWidth="1"/>
    <col min="517" max="517" width="18.81640625" style="76" customWidth="1"/>
    <col min="518" max="518" width="21.453125" style="76" customWidth="1"/>
    <col min="519" max="519" width="26.54296875" style="76" customWidth="1"/>
    <col min="520" max="520" width="9.1796875" style="76" customWidth="1"/>
    <col min="521" max="768" width="0" style="76" hidden="1"/>
    <col min="769" max="769" width="0" style="76" hidden="1" customWidth="1"/>
    <col min="770" max="770" width="27.54296875" style="76" bestFit="1" customWidth="1"/>
    <col min="771" max="771" width="20.1796875" style="76" customWidth="1"/>
    <col min="772" max="772" width="21.7265625" style="76" customWidth="1"/>
    <col min="773" max="773" width="18.81640625" style="76" customWidth="1"/>
    <col min="774" max="774" width="21.453125" style="76" customWidth="1"/>
    <col min="775" max="775" width="26.54296875" style="76" customWidth="1"/>
    <col min="776" max="776" width="9.1796875" style="76" customWidth="1"/>
    <col min="777" max="1024" width="0" style="76" hidden="1"/>
    <col min="1025" max="1025" width="0" style="76" hidden="1" customWidth="1"/>
    <col min="1026" max="1026" width="27.54296875" style="76" bestFit="1" customWidth="1"/>
    <col min="1027" max="1027" width="20.1796875" style="76" customWidth="1"/>
    <col min="1028" max="1028" width="21.7265625" style="76" customWidth="1"/>
    <col min="1029" max="1029" width="18.81640625" style="76" customWidth="1"/>
    <col min="1030" max="1030" width="21.453125" style="76" customWidth="1"/>
    <col min="1031" max="1031" width="26.54296875" style="76" customWidth="1"/>
    <col min="1032" max="1032" width="9.1796875" style="76" customWidth="1"/>
    <col min="1033" max="1280" width="0" style="76" hidden="1"/>
    <col min="1281" max="1281" width="0" style="76" hidden="1" customWidth="1"/>
    <col min="1282" max="1282" width="27.54296875" style="76" bestFit="1" customWidth="1"/>
    <col min="1283" max="1283" width="20.1796875" style="76" customWidth="1"/>
    <col min="1284" max="1284" width="21.7265625" style="76" customWidth="1"/>
    <col min="1285" max="1285" width="18.81640625" style="76" customWidth="1"/>
    <col min="1286" max="1286" width="21.453125" style="76" customWidth="1"/>
    <col min="1287" max="1287" width="26.54296875" style="76" customWidth="1"/>
    <col min="1288" max="1288" width="9.1796875" style="76" customWidth="1"/>
    <col min="1289" max="1536" width="0" style="76" hidden="1"/>
    <col min="1537" max="1537" width="0" style="76" hidden="1" customWidth="1"/>
    <col min="1538" max="1538" width="27.54296875" style="76" bestFit="1" customWidth="1"/>
    <col min="1539" max="1539" width="20.1796875" style="76" customWidth="1"/>
    <col min="1540" max="1540" width="21.7265625" style="76" customWidth="1"/>
    <col min="1541" max="1541" width="18.81640625" style="76" customWidth="1"/>
    <col min="1542" max="1542" width="21.453125" style="76" customWidth="1"/>
    <col min="1543" max="1543" width="26.54296875" style="76" customWidth="1"/>
    <col min="1544" max="1544" width="9.1796875" style="76" customWidth="1"/>
    <col min="1545" max="1792" width="0" style="76" hidden="1"/>
    <col min="1793" max="1793" width="0" style="76" hidden="1" customWidth="1"/>
    <col min="1794" max="1794" width="27.54296875" style="76" bestFit="1" customWidth="1"/>
    <col min="1795" max="1795" width="20.1796875" style="76" customWidth="1"/>
    <col min="1796" max="1796" width="21.7265625" style="76" customWidth="1"/>
    <col min="1797" max="1797" width="18.81640625" style="76" customWidth="1"/>
    <col min="1798" max="1798" width="21.453125" style="76" customWidth="1"/>
    <col min="1799" max="1799" width="26.54296875" style="76" customWidth="1"/>
    <col min="1800" max="1800" width="9.1796875" style="76" customWidth="1"/>
    <col min="1801" max="2048" width="0" style="76" hidden="1"/>
    <col min="2049" max="2049" width="0" style="76" hidden="1" customWidth="1"/>
    <col min="2050" max="2050" width="27.54296875" style="76" bestFit="1" customWidth="1"/>
    <col min="2051" max="2051" width="20.1796875" style="76" customWidth="1"/>
    <col min="2052" max="2052" width="21.7265625" style="76" customWidth="1"/>
    <col min="2053" max="2053" width="18.81640625" style="76" customWidth="1"/>
    <col min="2054" max="2054" width="21.453125" style="76" customWidth="1"/>
    <col min="2055" max="2055" width="26.54296875" style="76" customWidth="1"/>
    <col min="2056" max="2056" width="9.1796875" style="76" customWidth="1"/>
    <col min="2057" max="2304" width="0" style="76" hidden="1"/>
    <col min="2305" max="2305" width="0" style="76" hidden="1" customWidth="1"/>
    <col min="2306" max="2306" width="27.54296875" style="76" bestFit="1" customWidth="1"/>
    <col min="2307" max="2307" width="20.1796875" style="76" customWidth="1"/>
    <col min="2308" max="2308" width="21.7265625" style="76" customWidth="1"/>
    <col min="2309" max="2309" width="18.81640625" style="76" customWidth="1"/>
    <col min="2310" max="2310" width="21.453125" style="76" customWidth="1"/>
    <col min="2311" max="2311" width="26.54296875" style="76" customWidth="1"/>
    <col min="2312" max="2312" width="9.1796875" style="76" customWidth="1"/>
    <col min="2313" max="2560" width="0" style="76" hidden="1"/>
    <col min="2561" max="2561" width="0" style="76" hidden="1" customWidth="1"/>
    <col min="2562" max="2562" width="27.54296875" style="76" bestFit="1" customWidth="1"/>
    <col min="2563" max="2563" width="20.1796875" style="76" customWidth="1"/>
    <col min="2564" max="2564" width="21.7265625" style="76" customWidth="1"/>
    <col min="2565" max="2565" width="18.81640625" style="76" customWidth="1"/>
    <col min="2566" max="2566" width="21.453125" style="76" customWidth="1"/>
    <col min="2567" max="2567" width="26.54296875" style="76" customWidth="1"/>
    <col min="2568" max="2568" width="9.1796875" style="76" customWidth="1"/>
    <col min="2569" max="2816" width="0" style="76" hidden="1"/>
    <col min="2817" max="2817" width="0" style="76" hidden="1" customWidth="1"/>
    <col min="2818" max="2818" width="27.54296875" style="76" bestFit="1" customWidth="1"/>
    <col min="2819" max="2819" width="20.1796875" style="76" customWidth="1"/>
    <col min="2820" max="2820" width="21.7265625" style="76" customWidth="1"/>
    <col min="2821" max="2821" width="18.81640625" style="76" customWidth="1"/>
    <col min="2822" max="2822" width="21.453125" style="76" customWidth="1"/>
    <col min="2823" max="2823" width="26.54296875" style="76" customWidth="1"/>
    <col min="2824" max="2824" width="9.1796875" style="76" customWidth="1"/>
    <col min="2825" max="3072" width="0" style="76" hidden="1"/>
    <col min="3073" max="3073" width="0" style="76" hidden="1" customWidth="1"/>
    <col min="3074" max="3074" width="27.54296875" style="76" bestFit="1" customWidth="1"/>
    <col min="3075" max="3075" width="20.1796875" style="76" customWidth="1"/>
    <col min="3076" max="3076" width="21.7265625" style="76" customWidth="1"/>
    <col min="3077" max="3077" width="18.81640625" style="76" customWidth="1"/>
    <col min="3078" max="3078" width="21.453125" style="76" customWidth="1"/>
    <col min="3079" max="3079" width="26.54296875" style="76" customWidth="1"/>
    <col min="3080" max="3080" width="9.1796875" style="76" customWidth="1"/>
    <col min="3081" max="3328" width="0" style="76" hidden="1"/>
    <col min="3329" max="3329" width="0" style="76" hidden="1" customWidth="1"/>
    <col min="3330" max="3330" width="27.54296875" style="76" bestFit="1" customWidth="1"/>
    <col min="3331" max="3331" width="20.1796875" style="76" customWidth="1"/>
    <col min="3332" max="3332" width="21.7265625" style="76" customWidth="1"/>
    <col min="3333" max="3333" width="18.81640625" style="76" customWidth="1"/>
    <col min="3334" max="3334" width="21.453125" style="76" customWidth="1"/>
    <col min="3335" max="3335" width="26.54296875" style="76" customWidth="1"/>
    <col min="3336" max="3336" width="9.1796875" style="76" customWidth="1"/>
    <col min="3337" max="3584" width="0" style="76" hidden="1"/>
    <col min="3585" max="3585" width="0" style="76" hidden="1" customWidth="1"/>
    <col min="3586" max="3586" width="27.54296875" style="76" bestFit="1" customWidth="1"/>
    <col min="3587" max="3587" width="20.1796875" style="76" customWidth="1"/>
    <col min="3588" max="3588" width="21.7265625" style="76" customWidth="1"/>
    <col min="3589" max="3589" width="18.81640625" style="76" customWidth="1"/>
    <col min="3590" max="3590" width="21.453125" style="76" customWidth="1"/>
    <col min="3591" max="3591" width="26.54296875" style="76" customWidth="1"/>
    <col min="3592" max="3592" width="9.1796875" style="76" customWidth="1"/>
    <col min="3593" max="3840" width="0" style="76" hidden="1"/>
    <col min="3841" max="3841" width="0" style="76" hidden="1" customWidth="1"/>
    <col min="3842" max="3842" width="27.54296875" style="76" bestFit="1" customWidth="1"/>
    <col min="3843" max="3843" width="20.1796875" style="76" customWidth="1"/>
    <col min="3844" max="3844" width="21.7265625" style="76" customWidth="1"/>
    <col min="3845" max="3845" width="18.81640625" style="76" customWidth="1"/>
    <col min="3846" max="3846" width="21.453125" style="76" customWidth="1"/>
    <col min="3847" max="3847" width="26.54296875" style="76" customWidth="1"/>
    <col min="3848" max="3848" width="9.1796875" style="76" customWidth="1"/>
    <col min="3849" max="4096" width="0" style="76" hidden="1"/>
    <col min="4097" max="4097" width="0" style="76" hidden="1" customWidth="1"/>
    <col min="4098" max="4098" width="27.54296875" style="76" bestFit="1" customWidth="1"/>
    <col min="4099" max="4099" width="20.1796875" style="76" customWidth="1"/>
    <col min="4100" max="4100" width="21.7265625" style="76" customWidth="1"/>
    <col min="4101" max="4101" width="18.81640625" style="76" customWidth="1"/>
    <col min="4102" max="4102" width="21.453125" style="76" customWidth="1"/>
    <col min="4103" max="4103" width="26.54296875" style="76" customWidth="1"/>
    <col min="4104" max="4104" width="9.1796875" style="76" customWidth="1"/>
    <col min="4105" max="4352" width="0" style="76" hidden="1"/>
    <col min="4353" max="4353" width="0" style="76" hidden="1" customWidth="1"/>
    <col min="4354" max="4354" width="27.54296875" style="76" bestFit="1" customWidth="1"/>
    <col min="4355" max="4355" width="20.1796875" style="76" customWidth="1"/>
    <col min="4356" max="4356" width="21.7265625" style="76" customWidth="1"/>
    <col min="4357" max="4357" width="18.81640625" style="76" customWidth="1"/>
    <col min="4358" max="4358" width="21.453125" style="76" customWidth="1"/>
    <col min="4359" max="4359" width="26.54296875" style="76" customWidth="1"/>
    <col min="4360" max="4360" width="9.1796875" style="76" customWidth="1"/>
    <col min="4361" max="4608" width="0" style="76" hidden="1"/>
    <col min="4609" max="4609" width="0" style="76" hidden="1" customWidth="1"/>
    <col min="4610" max="4610" width="27.54296875" style="76" bestFit="1" customWidth="1"/>
    <col min="4611" max="4611" width="20.1796875" style="76" customWidth="1"/>
    <col min="4612" max="4612" width="21.7265625" style="76" customWidth="1"/>
    <col min="4613" max="4613" width="18.81640625" style="76" customWidth="1"/>
    <col min="4614" max="4614" width="21.453125" style="76" customWidth="1"/>
    <col min="4615" max="4615" width="26.54296875" style="76" customWidth="1"/>
    <col min="4616" max="4616" width="9.1796875" style="76" customWidth="1"/>
    <col min="4617" max="4864" width="0" style="76" hidden="1"/>
    <col min="4865" max="4865" width="0" style="76" hidden="1" customWidth="1"/>
    <col min="4866" max="4866" width="27.54296875" style="76" bestFit="1" customWidth="1"/>
    <col min="4867" max="4867" width="20.1796875" style="76" customWidth="1"/>
    <col min="4868" max="4868" width="21.7265625" style="76" customWidth="1"/>
    <col min="4869" max="4869" width="18.81640625" style="76" customWidth="1"/>
    <col min="4870" max="4870" width="21.453125" style="76" customWidth="1"/>
    <col min="4871" max="4871" width="26.54296875" style="76" customWidth="1"/>
    <col min="4872" max="4872" width="9.1796875" style="76" customWidth="1"/>
    <col min="4873" max="5120" width="0" style="76" hidden="1"/>
    <col min="5121" max="5121" width="0" style="76" hidden="1" customWidth="1"/>
    <col min="5122" max="5122" width="27.54296875" style="76" bestFit="1" customWidth="1"/>
    <col min="5123" max="5123" width="20.1796875" style="76" customWidth="1"/>
    <col min="5124" max="5124" width="21.7265625" style="76" customWidth="1"/>
    <col min="5125" max="5125" width="18.81640625" style="76" customWidth="1"/>
    <col min="5126" max="5126" width="21.453125" style="76" customWidth="1"/>
    <col min="5127" max="5127" width="26.54296875" style="76" customWidth="1"/>
    <col min="5128" max="5128" width="9.1796875" style="76" customWidth="1"/>
    <col min="5129" max="5376" width="0" style="76" hidden="1"/>
    <col min="5377" max="5377" width="0" style="76" hidden="1" customWidth="1"/>
    <col min="5378" max="5378" width="27.54296875" style="76" bestFit="1" customWidth="1"/>
    <col min="5379" max="5379" width="20.1796875" style="76" customWidth="1"/>
    <col min="5380" max="5380" width="21.7265625" style="76" customWidth="1"/>
    <col min="5381" max="5381" width="18.81640625" style="76" customWidth="1"/>
    <col min="5382" max="5382" width="21.453125" style="76" customWidth="1"/>
    <col min="5383" max="5383" width="26.54296875" style="76" customWidth="1"/>
    <col min="5384" max="5384" width="9.1796875" style="76" customWidth="1"/>
    <col min="5385" max="5632" width="0" style="76" hidden="1"/>
    <col min="5633" max="5633" width="0" style="76" hidden="1" customWidth="1"/>
    <col min="5634" max="5634" width="27.54296875" style="76" bestFit="1" customWidth="1"/>
    <col min="5635" max="5635" width="20.1796875" style="76" customWidth="1"/>
    <col min="5636" max="5636" width="21.7265625" style="76" customWidth="1"/>
    <col min="5637" max="5637" width="18.81640625" style="76" customWidth="1"/>
    <col min="5638" max="5638" width="21.453125" style="76" customWidth="1"/>
    <col min="5639" max="5639" width="26.54296875" style="76" customWidth="1"/>
    <col min="5640" max="5640" width="9.1796875" style="76" customWidth="1"/>
    <col min="5641" max="5888" width="0" style="76" hidden="1"/>
    <col min="5889" max="5889" width="0" style="76" hidden="1" customWidth="1"/>
    <col min="5890" max="5890" width="27.54296875" style="76" bestFit="1" customWidth="1"/>
    <col min="5891" max="5891" width="20.1796875" style="76" customWidth="1"/>
    <col min="5892" max="5892" width="21.7265625" style="76" customWidth="1"/>
    <col min="5893" max="5893" width="18.81640625" style="76" customWidth="1"/>
    <col min="5894" max="5894" width="21.453125" style="76" customWidth="1"/>
    <col min="5895" max="5895" width="26.54296875" style="76" customWidth="1"/>
    <col min="5896" max="5896" width="9.1796875" style="76" customWidth="1"/>
    <col min="5897" max="6144" width="0" style="76" hidden="1"/>
    <col min="6145" max="6145" width="0" style="76" hidden="1" customWidth="1"/>
    <col min="6146" max="6146" width="27.54296875" style="76" bestFit="1" customWidth="1"/>
    <col min="6147" max="6147" width="20.1796875" style="76" customWidth="1"/>
    <col min="6148" max="6148" width="21.7265625" style="76" customWidth="1"/>
    <col min="6149" max="6149" width="18.81640625" style="76" customWidth="1"/>
    <col min="6150" max="6150" width="21.453125" style="76" customWidth="1"/>
    <col min="6151" max="6151" width="26.54296875" style="76" customWidth="1"/>
    <col min="6152" max="6152" width="9.1796875" style="76" customWidth="1"/>
    <col min="6153" max="6400" width="0" style="76" hidden="1"/>
    <col min="6401" max="6401" width="0" style="76" hidden="1" customWidth="1"/>
    <col min="6402" max="6402" width="27.54296875" style="76" bestFit="1" customWidth="1"/>
    <col min="6403" max="6403" width="20.1796875" style="76" customWidth="1"/>
    <col min="6404" max="6404" width="21.7265625" style="76" customWidth="1"/>
    <col min="6405" max="6405" width="18.81640625" style="76" customWidth="1"/>
    <col min="6406" max="6406" width="21.453125" style="76" customWidth="1"/>
    <col min="6407" max="6407" width="26.54296875" style="76" customWidth="1"/>
    <col min="6408" max="6408" width="9.1796875" style="76" customWidth="1"/>
    <col min="6409" max="6656" width="0" style="76" hidden="1"/>
    <col min="6657" max="6657" width="0" style="76" hidden="1" customWidth="1"/>
    <col min="6658" max="6658" width="27.54296875" style="76" bestFit="1" customWidth="1"/>
    <col min="6659" max="6659" width="20.1796875" style="76" customWidth="1"/>
    <col min="6660" max="6660" width="21.7265625" style="76" customWidth="1"/>
    <col min="6661" max="6661" width="18.81640625" style="76" customWidth="1"/>
    <col min="6662" max="6662" width="21.453125" style="76" customWidth="1"/>
    <col min="6663" max="6663" width="26.54296875" style="76" customWidth="1"/>
    <col min="6664" max="6664" width="9.1796875" style="76" customWidth="1"/>
    <col min="6665" max="6912" width="0" style="76" hidden="1"/>
    <col min="6913" max="6913" width="0" style="76" hidden="1" customWidth="1"/>
    <col min="6914" max="6914" width="27.54296875" style="76" bestFit="1" customWidth="1"/>
    <col min="6915" max="6915" width="20.1796875" style="76" customWidth="1"/>
    <col min="6916" max="6916" width="21.7265625" style="76" customWidth="1"/>
    <col min="6917" max="6917" width="18.81640625" style="76" customWidth="1"/>
    <col min="6918" max="6918" width="21.453125" style="76" customWidth="1"/>
    <col min="6919" max="6919" width="26.54296875" style="76" customWidth="1"/>
    <col min="6920" max="6920" width="9.1796875" style="76" customWidth="1"/>
    <col min="6921" max="7168" width="0" style="76" hidden="1"/>
    <col min="7169" max="7169" width="0" style="76" hidden="1" customWidth="1"/>
    <col min="7170" max="7170" width="27.54296875" style="76" bestFit="1" customWidth="1"/>
    <col min="7171" max="7171" width="20.1796875" style="76" customWidth="1"/>
    <col min="7172" max="7172" width="21.7265625" style="76" customWidth="1"/>
    <col min="7173" max="7173" width="18.81640625" style="76" customWidth="1"/>
    <col min="7174" max="7174" width="21.453125" style="76" customWidth="1"/>
    <col min="7175" max="7175" width="26.54296875" style="76" customWidth="1"/>
    <col min="7176" max="7176" width="9.1796875" style="76" customWidth="1"/>
    <col min="7177" max="7424" width="0" style="76" hidden="1"/>
    <col min="7425" max="7425" width="0" style="76" hidden="1" customWidth="1"/>
    <col min="7426" max="7426" width="27.54296875" style="76" bestFit="1" customWidth="1"/>
    <col min="7427" max="7427" width="20.1796875" style="76" customWidth="1"/>
    <col min="7428" max="7428" width="21.7265625" style="76" customWidth="1"/>
    <col min="7429" max="7429" width="18.81640625" style="76" customWidth="1"/>
    <col min="7430" max="7430" width="21.453125" style="76" customWidth="1"/>
    <col min="7431" max="7431" width="26.54296875" style="76" customWidth="1"/>
    <col min="7432" max="7432" width="9.1796875" style="76" customWidth="1"/>
    <col min="7433" max="7680" width="0" style="76" hidden="1"/>
    <col min="7681" max="7681" width="0" style="76" hidden="1" customWidth="1"/>
    <col min="7682" max="7682" width="27.54296875" style="76" bestFit="1" customWidth="1"/>
    <col min="7683" max="7683" width="20.1796875" style="76" customWidth="1"/>
    <col min="7684" max="7684" width="21.7265625" style="76" customWidth="1"/>
    <col min="7685" max="7685" width="18.81640625" style="76" customWidth="1"/>
    <col min="7686" max="7686" width="21.453125" style="76" customWidth="1"/>
    <col min="7687" max="7687" width="26.54296875" style="76" customWidth="1"/>
    <col min="7688" max="7688" width="9.1796875" style="76" customWidth="1"/>
    <col min="7689" max="7936" width="0" style="76" hidden="1"/>
    <col min="7937" max="7937" width="0" style="76" hidden="1" customWidth="1"/>
    <col min="7938" max="7938" width="27.54296875" style="76" bestFit="1" customWidth="1"/>
    <col min="7939" max="7939" width="20.1796875" style="76" customWidth="1"/>
    <col min="7940" max="7940" width="21.7265625" style="76" customWidth="1"/>
    <col min="7941" max="7941" width="18.81640625" style="76" customWidth="1"/>
    <col min="7942" max="7942" width="21.453125" style="76" customWidth="1"/>
    <col min="7943" max="7943" width="26.54296875" style="76" customWidth="1"/>
    <col min="7944" max="7944" width="9.1796875" style="76" customWidth="1"/>
    <col min="7945" max="8192" width="0" style="76" hidden="1"/>
    <col min="8193" max="8193" width="0" style="76" hidden="1" customWidth="1"/>
    <col min="8194" max="8194" width="27.54296875" style="76" bestFit="1" customWidth="1"/>
    <col min="8195" max="8195" width="20.1796875" style="76" customWidth="1"/>
    <col min="8196" max="8196" width="21.7265625" style="76" customWidth="1"/>
    <col min="8197" max="8197" width="18.81640625" style="76" customWidth="1"/>
    <col min="8198" max="8198" width="21.453125" style="76" customWidth="1"/>
    <col min="8199" max="8199" width="26.54296875" style="76" customWidth="1"/>
    <col min="8200" max="8200" width="9.1796875" style="76" customWidth="1"/>
    <col min="8201" max="8448" width="0" style="76" hidden="1"/>
    <col min="8449" max="8449" width="0" style="76" hidden="1" customWidth="1"/>
    <col min="8450" max="8450" width="27.54296875" style="76" bestFit="1" customWidth="1"/>
    <col min="8451" max="8451" width="20.1796875" style="76" customWidth="1"/>
    <col min="8452" max="8452" width="21.7265625" style="76" customWidth="1"/>
    <col min="8453" max="8453" width="18.81640625" style="76" customWidth="1"/>
    <col min="8454" max="8454" width="21.453125" style="76" customWidth="1"/>
    <col min="8455" max="8455" width="26.54296875" style="76" customWidth="1"/>
    <col min="8456" max="8456" width="9.1796875" style="76" customWidth="1"/>
    <col min="8457" max="8704" width="0" style="76" hidden="1"/>
    <col min="8705" max="8705" width="0" style="76" hidden="1" customWidth="1"/>
    <col min="8706" max="8706" width="27.54296875" style="76" bestFit="1" customWidth="1"/>
    <col min="8707" max="8707" width="20.1796875" style="76" customWidth="1"/>
    <col min="8708" max="8708" width="21.7265625" style="76" customWidth="1"/>
    <col min="8709" max="8709" width="18.81640625" style="76" customWidth="1"/>
    <col min="8710" max="8710" width="21.453125" style="76" customWidth="1"/>
    <col min="8711" max="8711" width="26.54296875" style="76" customWidth="1"/>
    <col min="8712" max="8712" width="9.1796875" style="76" customWidth="1"/>
    <col min="8713" max="8960" width="0" style="76" hidden="1"/>
    <col min="8961" max="8961" width="0" style="76" hidden="1" customWidth="1"/>
    <col min="8962" max="8962" width="27.54296875" style="76" bestFit="1" customWidth="1"/>
    <col min="8963" max="8963" width="20.1796875" style="76" customWidth="1"/>
    <col min="8964" max="8964" width="21.7265625" style="76" customWidth="1"/>
    <col min="8965" max="8965" width="18.81640625" style="76" customWidth="1"/>
    <col min="8966" max="8966" width="21.453125" style="76" customWidth="1"/>
    <col min="8967" max="8967" width="26.54296875" style="76" customWidth="1"/>
    <col min="8968" max="8968" width="9.1796875" style="76" customWidth="1"/>
    <col min="8969" max="9216" width="0" style="76" hidden="1"/>
    <col min="9217" max="9217" width="0" style="76" hidden="1" customWidth="1"/>
    <col min="9218" max="9218" width="27.54296875" style="76" bestFit="1" customWidth="1"/>
    <col min="9219" max="9219" width="20.1796875" style="76" customWidth="1"/>
    <col min="9220" max="9220" width="21.7265625" style="76" customWidth="1"/>
    <col min="9221" max="9221" width="18.81640625" style="76" customWidth="1"/>
    <col min="9222" max="9222" width="21.453125" style="76" customWidth="1"/>
    <col min="9223" max="9223" width="26.54296875" style="76" customWidth="1"/>
    <col min="9224" max="9224" width="9.1796875" style="76" customWidth="1"/>
    <col min="9225" max="9472" width="0" style="76" hidden="1"/>
    <col min="9473" max="9473" width="0" style="76" hidden="1" customWidth="1"/>
    <col min="9474" max="9474" width="27.54296875" style="76" bestFit="1" customWidth="1"/>
    <col min="9475" max="9475" width="20.1796875" style="76" customWidth="1"/>
    <col min="9476" max="9476" width="21.7265625" style="76" customWidth="1"/>
    <col min="9477" max="9477" width="18.81640625" style="76" customWidth="1"/>
    <col min="9478" max="9478" width="21.453125" style="76" customWidth="1"/>
    <col min="9479" max="9479" width="26.54296875" style="76" customWidth="1"/>
    <col min="9480" max="9480" width="9.1796875" style="76" customWidth="1"/>
    <col min="9481" max="9728" width="0" style="76" hidden="1"/>
    <col min="9729" max="9729" width="0" style="76" hidden="1" customWidth="1"/>
    <col min="9730" max="9730" width="27.54296875" style="76" bestFit="1" customWidth="1"/>
    <col min="9731" max="9731" width="20.1796875" style="76" customWidth="1"/>
    <col min="9732" max="9732" width="21.7265625" style="76" customWidth="1"/>
    <col min="9733" max="9733" width="18.81640625" style="76" customWidth="1"/>
    <col min="9734" max="9734" width="21.453125" style="76" customWidth="1"/>
    <col min="9735" max="9735" width="26.54296875" style="76" customWidth="1"/>
    <col min="9736" max="9736" width="9.1796875" style="76" customWidth="1"/>
    <col min="9737" max="9984" width="0" style="76" hidden="1"/>
    <col min="9985" max="9985" width="0" style="76" hidden="1" customWidth="1"/>
    <col min="9986" max="9986" width="27.54296875" style="76" bestFit="1" customWidth="1"/>
    <col min="9987" max="9987" width="20.1796875" style="76" customWidth="1"/>
    <col min="9988" max="9988" width="21.7265625" style="76" customWidth="1"/>
    <col min="9989" max="9989" width="18.81640625" style="76" customWidth="1"/>
    <col min="9990" max="9990" width="21.453125" style="76" customWidth="1"/>
    <col min="9991" max="9991" width="26.54296875" style="76" customWidth="1"/>
    <col min="9992" max="9992" width="9.1796875" style="76" customWidth="1"/>
    <col min="9993" max="10240" width="0" style="76" hidden="1"/>
    <col min="10241" max="10241" width="0" style="76" hidden="1" customWidth="1"/>
    <col min="10242" max="10242" width="27.54296875" style="76" bestFit="1" customWidth="1"/>
    <col min="10243" max="10243" width="20.1796875" style="76" customWidth="1"/>
    <col min="10244" max="10244" width="21.7265625" style="76" customWidth="1"/>
    <col min="10245" max="10245" width="18.81640625" style="76" customWidth="1"/>
    <col min="10246" max="10246" width="21.453125" style="76" customWidth="1"/>
    <col min="10247" max="10247" width="26.54296875" style="76" customWidth="1"/>
    <col min="10248" max="10248" width="9.1796875" style="76" customWidth="1"/>
    <col min="10249" max="10496" width="0" style="76" hidden="1"/>
    <col min="10497" max="10497" width="0" style="76" hidden="1" customWidth="1"/>
    <col min="10498" max="10498" width="27.54296875" style="76" bestFit="1" customWidth="1"/>
    <col min="10499" max="10499" width="20.1796875" style="76" customWidth="1"/>
    <col min="10500" max="10500" width="21.7265625" style="76" customWidth="1"/>
    <col min="10501" max="10501" width="18.81640625" style="76" customWidth="1"/>
    <col min="10502" max="10502" width="21.453125" style="76" customWidth="1"/>
    <col min="10503" max="10503" width="26.54296875" style="76" customWidth="1"/>
    <col min="10504" max="10504" width="9.1796875" style="76" customWidth="1"/>
    <col min="10505" max="10752" width="0" style="76" hidden="1"/>
    <col min="10753" max="10753" width="0" style="76" hidden="1" customWidth="1"/>
    <col min="10754" max="10754" width="27.54296875" style="76" bestFit="1" customWidth="1"/>
    <col min="10755" max="10755" width="20.1796875" style="76" customWidth="1"/>
    <col min="10756" max="10756" width="21.7265625" style="76" customWidth="1"/>
    <col min="10757" max="10757" width="18.81640625" style="76" customWidth="1"/>
    <col min="10758" max="10758" width="21.453125" style="76" customWidth="1"/>
    <col min="10759" max="10759" width="26.54296875" style="76" customWidth="1"/>
    <col min="10760" max="10760" width="9.1796875" style="76" customWidth="1"/>
    <col min="10761" max="11008" width="0" style="76" hidden="1"/>
    <col min="11009" max="11009" width="0" style="76" hidden="1" customWidth="1"/>
    <col min="11010" max="11010" width="27.54296875" style="76" bestFit="1" customWidth="1"/>
    <col min="11011" max="11011" width="20.1796875" style="76" customWidth="1"/>
    <col min="11012" max="11012" width="21.7265625" style="76" customWidth="1"/>
    <col min="11013" max="11013" width="18.81640625" style="76" customWidth="1"/>
    <col min="11014" max="11014" width="21.453125" style="76" customWidth="1"/>
    <col min="11015" max="11015" width="26.54296875" style="76" customWidth="1"/>
    <col min="11016" max="11016" width="9.1796875" style="76" customWidth="1"/>
    <col min="11017" max="11264" width="0" style="76" hidden="1"/>
    <col min="11265" max="11265" width="0" style="76" hidden="1" customWidth="1"/>
    <col min="11266" max="11266" width="27.54296875" style="76" bestFit="1" customWidth="1"/>
    <col min="11267" max="11267" width="20.1796875" style="76" customWidth="1"/>
    <col min="11268" max="11268" width="21.7265625" style="76" customWidth="1"/>
    <col min="11269" max="11269" width="18.81640625" style="76" customWidth="1"/>
    <col min="11270" max="11270" width="21.453125" style="76" customWidth="1"/>
    <col min="11271" max="11271" width="26.54296875" style="76" customWidth="1"/>
    <col min="11272" max="11272" width="9.1796875" style="76" customWidth="1"/>
    <col min="11273" max="11520" width="0" style="76" hidden="1"/>
    <col min="11521" max="11521" width="0" style="76" hidden="1" customWidth="1"/>
    <col min="11522" max="11522" width="27.54296875" style="76" bestFit="1" customWidth="1"/>
    <col min="11523" max="11523" width="20.1796875" style="76" customWidth="1"/>
    <col min="11524" max="11524" width="21.7265625" style="76" customWidth="1"/>
    <col min="11525" max="11525" width="18.81640625" style="76" customWidth="1"/>
    <col min="11526" max="11526" width="21.453125" style="76" customWidth="1"/>
    <col min="11527" max="11527" width="26.54296875" style="76" customWidth="1"/>
    <col min="11528" max="11528" width="9.1796875" style="76" customWidth="1"/>
    <col min="11529" max="11776" width="0" style="76" hidden="1"/>
    <col min="11777" max="11777" width="0" style="76" hidden="1" customWidth="1"/>
    <col min="11778" max="11778" width="27.54296875" style="76" bestFit="1" customWidth="1"/>
    <col min="11779" max="11779" width="20.1796875" style="76" customWidth="1"/>
    <col min="11780" max="11780" width="21.7265625" style="76" customWidth="1"/>
    <col min="11781" max="11781" width="18.81640625" style="76" customWidth="1"/>
    <col min="11782" max="11782" width="21.453125" style="76" customWidth="1"/>
    <col min="11783" max="11783" width="26.54296875" style="76" customWidth="1"/>
    <col min="11784" max="11784" width="9.1796875" style="76" customWidth="1"/>
    <col min="11785" max="12032" width="0" style="76" hidden="1"/>
    <col min="12033" max="12033" width="0" style="76" hidden="1" customWidth="1"/>
    <col min="12034" max="12034" width="27.54296875" style="76" bestFit="1" customWidth="1"/>
    <col min="12035" max="12035" width="20.1796875" style="76" customWidth="1"/>
    <col min="12036" max="12036" width="21.7265625" style="76" customWidth="1"/>
    <col min="12037" max="12037" width="18.81640625" style="76" customWidth="1"/>
    <col min="12038" max="12038" width="21.453125" style="76" customWidth="1"/>
    <col min="12039" max="12039" width="26.54296875" style="76" customWidth="1"/>
    <col min="12040" max="12040" width="9.1796875" style="76" customWidth="1"/>
    <col min="12041" max="12288" width="0" style="76" hidden="1"/>
    <col min="12289" max="12289" width="0" style="76" hidden="1" customWidth="1"/>
    <col min="12290" max="12290" width="27.54296875" style="76" bestFit="1" customWidth="1"/>
    <col min="12291" max="12291" width="20.1796875" style="76" customWidth="1"/>
    <col min="12292" max="12292" width="21.7265625" style="76" customWidth="1"/>
    <col min="12293" max="12293" width="18.81640625" style="76" customWidth="1"/>
    <col min="12294" max="12294" width="21.453125" style="76" customWidth="1"/>
    <col min="12295" max="12295" width="26.54296875" style="76" customWidth="1"/>
    <col min="12296" max="12296" width="9.1796875" style="76" customWidth="1"/>
    <col min="12297" max="12544" width="0" style="76" hidden="1"/>
    <col min="12545" max="12545" width="0" style="76" hidden="1" customWidth="1"/>
    <col min="12546" max="12546" width="27.54296875" style="76" bestFit="1" customWidth="1"/>
    <col min="12547" max="12547" width="20.1796875" style="76" customWidth="1"/>
    <col min="12548" max="12548" width="21.7265625" style="76" customWidth="1"/>
    <col min="12549" max="12549" width="18.81640625" style="76" customWidth="1"/>
    <col min="12550" max="12550" width="21.453125" style="76" customWidth="1"/>
    <col min="12551" max="12551" width="26.54296875" style="76" customWidth="1"/>
    <col min="12552" max="12552" width="9.1796875" style="76" customWidth="1"/>
    <col min="12553" max="12800" width="0" style="76" hidden="1"/>
    <col min="12801" max="12801" width="0" style="76" hidden="1" customWidth="1"/>
    <col min="12802" max="12802" width="27.54296875" style="76" bestFit="1" customWidth="1"/>
    <col min="12803" max="12803" width="20.1796875" style="76" customWidth="1"/>
    <col min="12804" max="12804" width="21.7265625" style="76" customWidth="1"/>
    <col min="12805" max="12805" width="18.81640625" style="76" customWidth="1"/>
    <col min="12806" max="12806" width="21.453125" style="76" customWidth="1"/>
    <col min="12807" max="12807" width="26.54296875" style="76" customWidth="1"/>
    <col min="12808" max="12808" width="9.1796875" style="76" customWidth="1"/>
    <col min="12809" max="13056" width="0" style="76" hidden="1"/>
    <col min="13057" max="13057" width="0" style="76" hidden="1" customWidth="1"/>
    <col min="13058" max="13058" width="27.54296875" style="76" bestFit="1" customWidth="1"/>
    <col min="13059" max="13059" width="20.1796875" style="76" customWidth="1"/>
    <col min="13060" max="13060" width="21.7265625" style="76" customWidth="1"/>
    <col min="13061" max="13061" width="18.81640625" style="76" customWidth="1"/>
    <col min="13062" max="13062" width="21.453125" style="76" customWidth="1"/>
    <col min="13063" max="13063" width="26.54296875" style="76" customWidth="1"/>
    <col min="13064" max="13064" width="9.1796875" style="76" customWidth="1"/>
    <col min="13065" max="13312" width="0" style="76" hidden="1"/>
    <col min="13313" max="13313" width="0" style="76" hidden="1" customWidth="1"/>
    <col min="13314" max="13314" width="27.54296875" style="76" bestFit="1" customWidth="1"/>
    <col min="13315" max="13315" width="20.1796875" style="76" customWidth="1"/>
    <col min="13316" max="13316" width="21.7265625" style="76" customWidth="1"/>
    <col min="13317" max="13317" width="18.81640625" style="76" customWidth="1"/>
    <col min="13318" max="13318" width="21.453125" style="76" customWidth="1"/>
    <col min="13319" max="13319" width="26.54296875" style="76" customWidth="1"/>
    <col min="13320" max="13320" width="9.1796875" style="76" customWidth="1"/>
    <col min="13321" max="13568" width="0" style="76" hidden="1"/>
    <col min="13569" max="13569" width="0" style="76" hidden="1" customWidth="1"/>
    <col min="13570" max="13570" width="27.54296875" style="76" bestFit="1" customWidth="1"/>
    <col min="13571" max="13571" width="20.1796875" style="76" customWidth="1"/>
    <col min="13572" max="13572" width="21.7265625" style="76" customWidth="1"/>
    <col min="13573" max="13573" width="18.81640625" style="76" customWidth="1"/>
    <col min="13574" max="13574" width="21.453125" style="76" customWidth="1"/>
    <col min="13575" max="13575" width="26.54296875" style="76" customWidth="1"/>
    <col min="13576" max="13576" width="9.1796875" style="76" customWidth="1"/>
    <col min="13577" max="13824" width="0" style="76" hidden="1"/>
    <col min="13825" max="13825" width="0" style="76" hidden="1" customWidth="1"/>
    <col min="13826" max="13826" width="27.54296875" style="76" bestFit="1" customWidth="1"/>
    <col min="13827" max="13827" width="20.1796875" style="76" customWidth="1"/>
    <col min="13828" max="13828" width="21.7265625" style="76" customWidth="1"/>
    <col min="13829" max="13829" width="18.81640625" style="76" customWidth="1"/>
    <col min="13830" max="13830" width="21.453125" style="76" customWidth="1"/>
    <col min="13831" max="13831" width="26.54296875" style="76" customWidth="1"/>
    <col min="13832" max="13832" width="9.1796875" style="76" customWidth="1"/>
    <col min="13833" max="14080" width="0" style="76" hidden="1"/>
    <col min="14081" max="14081" width="0" style="76" hidden="1" customWidth="1"/>
    <col min="14082" max="14082" width="27.54296875" style="76" bestFit="1" customWidth="1"/>
    <col min="14083" max="14083" width="20.1796875" style="76" customWidth="1"/>
    <col min="14084" max="14084" width="21.7265625" style="76" customWidth="1"/>
    <col min="14085" max="14085" width="18.81640625" style="76" customWidth="1"/>
    <col min="14086" max="14086" width="21.453125" style="76" customWidth="1"/>
    <col min="14087" max="14087" width="26.54296875" style="76" customWidth="1"/>
    <col min="14088" max="14088" width="9.1796875" style="76" customWidth="1"/>
    <col min="14089" max="14336" width="0" style="76" hidden="1"/>
    <col min="14337" max="14337" width="0" style="76" hidden="1" customWidth="1"/>
    <col min="14338" max="14338" width="27.54296875" style="76" bestFit="1" customWidth="1"/>
    <col min="14339" max="14339" width="20.1796875" style="76" customWidth="1"/>
    <col min="14340" max="14340" width="21.7265625" style="76" customWidth="1"/>
    <col min="14341" max="14341" width="18.81640625" style="76" customWidth="1"/>
    <col min="14342" max="14342" width="21.453125" style="76" customWidth="1"/>
    <col min="14343" max="14343" width="26.54296875" style="76" customWidth="1"/>
    <col min="14344" max="14344" width="9.1796875" style="76" customWidth="1"/>
    <col min="14345" max="14592" width="0" style="76" hidden="1"/>
    <col min="14593" max="14593" width="0" style="76" hidden="1" customWidth="1"/>
    <col min="14594" max="14594" width="27.54296875" style="76" bestFit="1" customWidth="1"/>
    <col min="14595" max="14595" width="20.1796875" style="76" customWidth="1"/>
    <col min="14596" max="14596" width="21.7265625" style="76" customWidth="1"/>
    <col min="14597" max="14597" width="18.81640625" style="76" customWidth="1"/>
    <col min="14598" max="14598" width="21.453125" style="76" customWidth="1"/>
    <col min="14599" max="14599" width="26.54296875" style="76" customWidth="1"/>
    <col min="14600" max="14600" width="9.1796875" style="76" customWidth="1"/>
    <col min="14601" max="14848" width="0" style="76" hidden="1"/>
    <col min="14849" max="14849" width="0" style="76" hidden="1" customWidth="1"/>
    <col min="14850" max="14850" width="27.54296875" style="76" bestFit="1" customWidth="1"/>
    <col min="14851" max="14851" width="20.1796875" style="76" customWidth="1"/>
    <col min="14852" max="14852" width="21.7265625" style="76" customWidth="1"/>
    <col min="14853" max="14853" width="18.81640625" style="76" customWidth="1"/>
    <col min="14854" max="14854" width="21.453125" style="76" customWidth="1"/>
    <col min="14855" max="14855" width="26.54296875" style="76" customWidth="1"/>
    <col min="14856" max="14856" width="9.1796875" style="76" customWidth="1"/>
    <col min="14857" max="15104" width="0" style="76" hidden="1"/>
    <col min="15105" max="15105" width="0" style="76" hidden="1" customWidth="1"/>
    <col min="15106" max="15106" width="27.54296875" style="76" bestFit="1" customWidth="1"/>
    <col min="15107" max="15107" width="20.1796875" style="76" customWidth="1"/>
    <col min="15108" max="15108" width="21.7265625" style="76" customWidth="1"/>
    <col min="15109" max="15109" width="18.81640625" style="76" customWidth="1"/>
    <col min="15110" max="15110" width="21.453125" style="76" customWidth="1"/>
    <col min="15111" max="15111" width="26.54296875" style="76" customWidth="1"/>
    <col min="15112" max="15112" width="9.1796875" style="76" customWidth="1"/>
    <col min="15113" max="15360" width="0" style="76" hidden="1"/>
    <col min="15361" max="15361" width="0" style="76" hidden="1" customWidth="1"/>
    <col min="15362" max="15362" width="27.54296875" style="76" bestFit="1" customWidth="1"/>
    <col min="15363" max="15363" width="20.1796875" style="76" customWidth="1"/>
    <col min="15364" max="15364" width="21.7265625" style="76" customWidth="1"/>
    <col min="15365" max="15365" width="18.81640625" style="76" customWidth="1"/>
    <col min="15366" max="15366" width="21.453125" style="76" customWidth="1"/>
    <col min="15367" max="15367" width="26.54296875" style="76" customWidth="1"/>
    <col min="15368" max="15368" width="9.1796875" style="76" customWidth="1"/>
    <col min="15369" max="15616" width="0" style="76" hidden="1"/>
    <col min="15617" max="15617" width="0" style="76" hidden="1" customWidth="1"/>
    <col min="15618" max="15618" width="27.54296875" style="76" bestFit="1" customWidth="1"/>
    <col min="15619" max="15619" width="20.1796875" style="76" customWidth="1"/>
    <col min="15620" max="15620" width="21.7265625" style="76" customWidth="1"/>
    <col min="15621" max="15621" width="18.81640625" style="76" customWidth="1"/>
    <col min="15622" max="15622" width="21.453125" style="76" customWidth="1"/>
    <col min="15623" max="15623" width="26.54296875" style="76" customWidth="1"/>
    <col min="15624" max="15624" width="9.1796875" style="76" customWidth="1"/>
    <col min="15625" max="15872" width="0" style="76" hidden="1"/>
    <col min="15873" max="15873" width="0" style="76" hidden="1" customWidth="1"/>
    <col min="15874" max="15874" width="27.54296875" style="76" bestFit="1" customWidth="1"/>
    <col min="15875" max="15875" width="20.1796875" style="76" customWidth="1"/>
    <col min="15876" max="15876" width="21.7265625" style="76" customWidth="1"/>
    <col min="15877" max="15877" width="18.81640625" style="76" customWidth="1"/>
    <col min="15878" max="15878" width="21.453125" style="76" customWidth="1"/>
    <col min="15879" max="15879" width="26.54296875" style="76" customWidth="1"/>
    <col min="15880" max="15880" width="9.1796875" style="76" customWidth="1"/>
    <col min="15881" max="16128" width="0" style="76" hidden="1"/>
    <col min="16129" max="16129" width="0" style="76" hidden="1" customWidth="1"/>
    <col min="16130" max="16130" width="27.54296875" style="76" bestFit="1" customWidth="1"/>
    <col min="16131" max="16131" width="20.1796875" style="76" customWidth="1"/>
    <col min="16132" max="16132" width="21.7265625" style="76" customWidth="1"/>
    <col min="16133" max="16133" width="18.81640625" style="76" customWidth="1"/>
    <col min="16134" max="16134" width="21.453125" style="76" customWidth="1"/>
    <col min="16135" max="16135" width="26.54296875" style="76" customWidth="1"/>
    <col min="16136" max="16136" width="9.1796875" style="76" customWidth="1"/>
    <col min="16137" max="16384" width="0" style="76" hidden="1"/>
  </cols>
  <sheetData>
    <row r="1" spans="1:13" s="55" customFormat="1" ht="41.25" customHeight="1" x14ac:dyDescent="0.35">
      <c r="B1" s="150" t="s">
        <v>99</v>
      </c>
      <c r="C1" s="148"/>
      <c r="D1" s="148"/>
      <c r="E1" s="148"/>
      <c r="F1" s="148"/>
      <c r="G1" s="151"/>
    </row>
    <row r="2" spans="1:13" s="56" customFormat="1" ht="28.5" customHeight="1" x14ac:dyDescent="0.35">
      <c r="C2" s="57" t="s">
        <v>1</v>
      </c>
      <c r="D2" s="57" t="s">
        <v>59</v>
      </c>
      <c r="E2" s="57" t="s">
        <v>60</v>
      </c>
      <c r="F2" s="57" t="s">
        <v>61</v>
      </c>
      <c r="G2" s="84" t="s">
        <v>5</v>
      </c>
      <c r="I2" s="57"/>
      <c r="J2" s="57"/>
      <c r="K2" s="57"/>
      <c r="L2" s="58"/>
      <c r="M2" s="59"/>
    </row>
    <row r="3" spans="1:13" s="56" customFormat="1" ht="28.5" customHeight="1" x14ac:dyDescent="0.35">
      <c r="B3" s="60" t="s">
        <v>0</v>
      </c>
      <c r="C3" s="61">
        <v>1190</v>
      </c>
      <c r="D3" s="61">
        <v>1500</v>
      </c>
      <c r="E3" s="61">
        <v>113</v>
      </c>
      <c r="F3" s="61">
        <v>1044</v>
      </c>
      <c r="G3" s="61">
        <v>3847</v>
      </c>
      <c r="I3" s="99"/>
      <c r="J3" s="99"/>
      <c r="K3" s="99"/>
      <c r="L3" s="99"/>
      <c r="M3" s="99"/>
    </row>
    <row r="4" spans="1:13" s="60" customFormat="1" ht="25.5" customHeight="1" x14ac:dyDescent="0.35">
      <c r="A4" s="62"/>
      <c r="B4" s="60" t="s">
        <v>62</v>
      </c>
      <c r="C4" s="63">
        <v>622</v>
      </c>
      <c r="D4" s="63">
        <v>1464</v>
      </c>
      <c r="E4" s="63">
        <v>71</v>
      </c>
      <c r="F4" s="63">
        <v>579</v>
      </c>
      <c r="G4" s="61">
        <v>2736</v>
      </c>
      <c r="I4" s="99"/>
      <c r="J4" s="99"/>
      <c r="K4" s="99"/>
      <c r="L4" s="99"/>
      <c r="M4" s="99"/>
    </row>
    <row r="5" spans="1:13" s="65" customFormat="1" ht="12.75" customHeight="1" x14ac:dyDescent="0.35">
      <c r="A5" s="64">
        <v>51</v>
      </c>
      <c r="B5" s="65" t="s">
        <v>10</v>
      </c>
      <c r="C5" s="66">
        <v>30</v>
      </c>
      <c r="D5" s="66">
        <v>21</v>
      </c>
      <c r="E5" s="66">
        <v>1</v>
      </c>
      <c r="F5" s="66">
        <v>17</v>
      </c>
      <c r="G5" s="61">
        <v>69</v>
      </c>
      <c r="I5" s="99"/>
      <c r="J5" s="99"/>
      <c r="K5" s="99"/>
      <c r="L5" s="99"/>
      <c r="M5" s="99"/>
    </row>
    <row r="6" spans="1:13" s="65" customFormat="1" ht="12.75" customHeight="1" x14ac:dyDescent="0.35">
      <c r="A6" s="64">
        <v>52</v>
      </c>
      <c r="B6" s="65" t="s">
        <v>11</v>
      </c>
      <c r="C6" s="66">
        <v>19</v>
      </c>
      <c r="D6" s="66">
        <v>30</v>
      </c>
      <c r="E6" s="66">
        <v>1</v>
      </c>
      <c r="F6" s="66">
        <v>18</v>
      </c>
      <c r="G6" s="61">
        <v>68</v>
      </c>
      <c r="I6" s="99"/>
      <c r="J6" s="99"/>
      <c r="K6" s="99"/>
      <c r="L6" s="99"/>
      <c r="M6" s="99"/>
    </row>
    <row r="7" spans="1:13" s="65" customFormat="1" ht="12.75" customHeight="1" x14ac:dyDescent="0.35">
      <c r="A7" s="64">
        <v>86</v>
      </c>
      <c r="B7" s="65" t="s">
        <v>12</v>
      </c>
      <c r="C7" s="66">
        <v>12</v>
      </c>
      <c r="D7" s="66">
        <v>16</v>
      </c>
      <c r="E7" s="66">
        <v>2</v>
      </c>
      <c r="F7" s="66">
        <v>8</v>
      </c>
      <c r="G7" s="61">
        <v>38</v>
      </c>
      <c r="I7" s="99"/>
      <c r="J7" s="99"/>
      <c r="K7" s="99"/>
      <c r="L7" s="99"/>
      <c r="M7" s="99"/>
    </row>
    <row r="8" spans="1:13" s="65" customFormat="1" ht="14" x14ac:dyDescent="0.35">
      <c r="A8" s="64">
        <v>53</v>
      </c>
      <c r="B8" s="65" t="s">
        <v>13</v>
      </c>
      <c r="C8" s="66">
        <v>11</v>
      </c>
      <c r="D8" s="66">
        <v>36</v>
      </c>
      <c r="E8" s="66">
        <v>1</v>
      </c>
      <c r="F8" s="66">
        <v>22</v>
      </c>
      <c r="G8" s="61">
        <v>70</v>
      </c>
      <c r="I8" s="99"/>
      <c r="J8" s="99"/>
      <c r="K8" s="99"/>
      <c r="L8" s="99"/>
      <c r="M8" s="99"/>
    </row>
    <row r="9" spans="1:13" s="65" customFormat="1" ht="12.75" customHeight="1" x14ac:dyDescent="0.35">
      <c r="A9" s="64">
        <v>54</v>
      </c>
      <c r="B9" s="65" t="s">
        <v>14</v>
      </c>
      <c r="C9" s="66">
        <v>8</v>
      </c>
      <c r="D9" s="66">
        <v>46</v>
      </c>
      <c r="E9" s="66">
        <v>5</v>
      </c>
      <c r="F9" s="66">
        <v>41</v>
      </c>
      <c r="G9" s="61">
        <v>100</v>
      </c>
      <c r="I9" s="99"/>
      <c r="J9" s="99"/>
      <c r="K9" s="99"/>
      <c r="L9" s="99"/>
      <c r="M9" s="99"/>
    </row>
    <row r="10" spans="1:13" s="65" customFormat="1" ht="12.75" customHeight="1" x14ac:dyDescent="0.35">
      <c r="A10" s="64">
        <v>55</v>
      </c>
      <c r="B10" s="65" t="s">
        <v>15</v>
      </c>
      <c r="C10" s="66">
        <v>24</v>
      </c>
      <c r="D10" s="66">
        <v>25</v>
      </c>
      <c r="E10" s="66">
        <v>2</v>
      </c>
      <c r="F10" s="66">
        <v>37</v>
      </c>
      <c r="G10" s="61">
        <v>88</v>
      </c>
      <c r="I10" s="99"/>
      <c r="J10" s="99"/>
      <c r="K10" s="99"/>
      <c r="L10" s="99"/>
      <c r="M10" s="99"/>
    </row>
    <row r="11" spans="1:13" s="65" customFormat="1" ht="13.5" customHeight="1" x14ac:dyDescent="0.35">
      <c r="A11" s="64">
        <v>56</v>
      </c>
      <c r="B11" s="65" t="s">
        <v>16</v>
      </c>
      <c r="C11" s="66">
        <v>23</v>
      </c>
      <c r="D11" s="66">
        <v>6</v>
      </c>
      <c r="E11" s="66">
        <v>0</v>
      </c>
      <c r="F11" s="66">
        <v>16</v>
      </c>
      <c r="G11" s="61">
        <v>45</v>
      </c>
      <c r="I11" s="99"/>
      <c r="J11" s="99"/>
      <c r="K11" s="99"/>
      <c r="L11" s="99"/>
      <c r="M11" s="99"/>
    </row>
    <row r="12" spans="1:13" s="65" customFormat="1" ht="13.5" customHeight="1" x14ac:dyDescent="0.35">
      <c r="A12" s="64">
        <v>57</v>
      </c>
      <c r="B12" s="65" t="s">
        <v>17</v>
      </c>
      <c r="C12" s="66">
        <v>8</v>
      </c>
      <c r="D12" s="66">
        <v>21</v>
      </c>
      <c r="E12" s="66">
        <v>1</v>
      </c>
      <c r="F12" s="66">
        <v>7</v>
      </c>
      <c r="G12" s="61">
        <v>37</v>
      </c>
      <c r="I12" s="99"/>
      <c r="J12" s="99"/>
      <c r="K12" s="99"/>
      <c r="L12" s="99"/>
      <c r="M12" s="99"/>
    </row>
    <row r="13" spans="1:13" s="65" customFormat="1" ht="12.75" customHeight="1" x14ac:dyDescent="0.35">
      <c r="A13" s="64">
        <v>59</v>
      </c>
      <c r="B13" s="65" t="s">
        <v>18</v>
      </c>
      <c r="C13" s="66">
        <v>5</v>
      </c>
      <c r="D13" s="66">
        <v>19</v>
      </c>
      <c r="E13" s="66">
        <v>11</v>
      </c>
      <c r="F13" s="66">
        <v>10</v>
      </c>
      <c r="G13" s="61">
        <v>45</v>
      </c>
      <c r="I13" s="99"/>
      <c r="J13" s="99"/>
      <c r="K13" s="99"/>
      <c r="L13" s="99"/>
      <c r="M13" s="99"/>
    </row>
    <row r="14" spans="1:13" s="65" customFormat="1" ht="12.75" customHeight="1" x14ac:dyDescent="0.35">
      <c r="A14" s="64">
        <v>60</v>
      </c>
      <c r="B14" s="65" t="s">
        <v>19</v>
      </c>
      <c r="C14" s="66">
        <v>17</v>
      </c>
      <c r="D14" s="66">
        <v>22</v>
      </c>
      <c r="E14" s="66">
        <v>1</v>
      </c>
      <c r="F14" s="66">
        <v>12</v>
      </c>
      <c r="G14" s="61">
        <v>52</v>
      </c>
      <c r="I14" s="99"/>
      <c r="J14" s="99"/>
      <c r="K14" s="99"/>
      <c r="L14" s="99"/>
      <c r="M14" s="99"/>
    </row>
    <row r="15" spans="1:13" s="65" customFormat="1" ht="12.75" customHeight="1" x14ac:dyDescent="0.35">
      <c r="A15" s="64">
        <v>61</v>
      </c>
      <c r="B15" s="67" t="s">
        <v>63</v>
      </c>
      <c r="C15" s="66">
        <v>19</v>
      </c>
      <c r="D15" s="66">
        <v>97</v>
      </c>
      <c r="E15" s="66">
        <v>7</v>
      </c>
      <c r="F15" s="66">
        <v>33</v>
      </c>
      <c r="G15" s="61">
        <v>156</v>
      </c>
      <c r="I15" s="99"/>
      <c r="J15" s="99"/>
      <c r="K15" s="99"/>
      <c r="L15" s="99"/>
      <c r="M15" s="99"/>
    </row>
    <row r="16" spans="1:13" s="65" customFormat="1" ht="12.75" customHeight="1" x14ac:dyDescent="0.35">
      <c r="A16" s="64">
        <v>62</v>
      </c>
      <c r="B16" s="65" t="s">
        <v>106</v>
      </c>
      <c r="C16" s="66">
        <f>C62+C63</f>
        <v>17</v>
      </c>
      <c r="D16" s="66">
        <f t="shared" ref="D16:G16" si="0">D62+D63</f>
        <v>71</v>
      </c>
      <c r="E16" s="66">
        <f t="shared" si="0"/>
        <v>2</v>
      </c>
      <c r="F16" s="66">
        <f t="shared" si="0"/>
        <v>18</v>
      </c>
      <c r="G16" s="66">
        <f t="shared" si="0"/>
        <v>108</v>
      </c>
      <c r="I16" s="99"/>
      <c r="J16" s="99"/>
      <c r="K16" s="99"/>
      <c r="L16" s="99"/>
      <c r="M16" s="99"/>
    </row>
    <row r="17" spans="1:13" s="65" customFormat="1" ht="12.75" customHeight="1" x14ac:dyDescent="0.35">
      <c r="A17" s="64">
        <v>58</v>
      </c>
      <c r="B17" s="65" t="s">
        <v>22</v>
      </c>
      <c r="C17" s="66">
        <v>15</v>
      </c>
      <c r="D17" s="66">
        <v>15</v>
      </c>
      <c r="E17" s="66">
        <v>1</v>
      </c>
      <c r="F17" s="66">
        <v>7</v>
      </c>
      <c r="G17" s="61">
        <v>38</v>
      </c>
      <c r="I17" s="99"/>
      <c r="J17" s="99"/>
      <c r="K17" s="99"/>
      <c r="L17" s="99"/>
      <c r="M17" s="99"/>
    </row>
    <row r="18" spans="1:13" s="65" customFormat="1" ht="12.75" customHeight="1" x14ac:dyDescent="0.35">
      <c r="A18" s="64">
        <v>63</v>
      </c>
      <c r="B18" s="65" t="s">
        <v>23</v>
      </c>
      <c r="C18" s="66">
        <v>21</v>
      </c>
      <c r="D18" s="66">
        <v>36</v>
      </c>
      <c r="E18" s="66">
        <v>1</v>
      </c>
      <c r="F18" s="66">
        <v>19</v>
      </c>
      <c r="G18" s="61">
        <v>77</v>
      </c>
      <c r="I18" s="99"/>
      <c r="J18" s="99"/>
      <c r="K18" s="99"/>
      <c r="L18" s="99"/>
      <c r="M18" s="99"/>
    </row>
    <row r="19" spans="1:13" s="65" customFormat="1" ht="12.75" customHeight="1" x14ac:dyDescent="0.35">
      <c r="A19" s="64">
        <v>64</v>
      </c>
      <c r="B19" s="65" t="s">
        <v>24</v>
      </c>
      <c r="C19" s="66">
        <v>30</v>
      </c>
      <c r="D19" s="66">
        <v>42</v>
      </c>
      <c r="E19" s="66">
        <v>3</v>
      </c>
      <c r="F19" s="66">
        <v>22</v>
      </c>
      <c r="G19" s="61">
        <v>97</v>
      </c>
      <c r="I19" s="99"/>
      <c r="J19" s="99"/>
      <c r="K19" s="99"/>
      <c r="L19" s="99"/>
      <c r="M19" s="99"/>
    </row>
    <row r="20" spans="1:13" s="65" customFormat="1" ht="12.75" customHeight="1" x14ac:dyDescent="0.35">
      <c r="A20" s="64">
        <v>65</v>
      </c>
      <c r="B20" s="65" t="s">
        <v>25</v>
      </c>
      <c r="C20" s="66">
        <v>6</v>
      </c>
      <c r="D20" s="66">
        <v>39</v>
      </c>
      <c r="E20" s="66">
        <v>2</v>
      </c>
      <c r="F20" s="66">
        <v>12</v>
      </c>
      <c r="G20" s="61">
        <v>59</v>
      </c>
      <c r="I20" s="99"/>
      <c r="J20" s="99"/>
      <c r="K20" s="99"/>
      <c r="L20" s="99"/>
      <c r="M20" s="99"/>
    </row>
    <row r="21" spans="1:13" s="65" customFormat="1" ht="12.75" customHeight="1" x14ac:dyDescent="0.35">
      <c r="A21" s="64">
        <v>67</v>
      </c>
      <c r="B21" s="65" t="s">
        <v>28</v>
      </c>
      <c r="C21" s="66">
        <v>38</v>
      </c>
      <c r="D21" s="66">
        <v>111</v>
      </c>
      <c r="E21" s="66">
        <v>2</v>
      </c>
      <c r="F21" s="66">
        <v>22</v>
      </c>
      <c r="G21" s="61">
        <v>173</v>
      </c>
      <c r="I21" s="99"/>
      <c r="J21" s="99"/>
      <c r="K21" s="99"/>
      <c r="L21" s="99"/>
      <c r="M21" s="99"/>
    </row>
    <row r="22" spans="1:13" s="65" customFormat="1" ht="12.75" customHeight="1" x14ac:dyDescent="0.35">
      <c r="A22" s="64">
        <v>68</v>
      </c>
      <c r="B22" s="65" t="s">
        <v>64</v>
      </c>
      <c r="C22" s="66">
        <v>9</v>
      </c>
      <c r="D22" s="66">
        <v>52</v>
      </c>
      <c r="E22" s="66">
        <v>1</v>
      </c>
      <c r="F22" s="66">
        <v>12</v>
      </c>
      <c r="G22" s="61">
        <v>74</v>
      </c>
      <c r="I22" s="99"/>
      <c r="J22" s="99"/>
      <c r="K22" s="99"/>
      <c r="L22" s="99"/>
      <c r="M22" s="99"/>
    </row>
    <row r="23" spans="1:13" s="65" customFormat="1" ht="12.75" customHeight="1" x14ac:dyDescent="0.35">
      <c r="A23" s="64">
        <v>69</v>
      </c>
      <c r="B23" s="65" t="s">
        <v>30</v>
      </c>
      <c r="C23" s="66">
        <v>17</v>
      </c>
      <c r="D23" s="66">
        <v>33</v>
      </c>
      <c r="E23" s="66">
        <v>0</v>
      </c>
      <c r="F23" s="66">
        <v>26</v>
      </c>
      <c r="G23" s="61">
        <v>76</v>
      </c>
      <c r="I23" s="99"/>
      <c r="J23" s="99"/>
      <c r="K23" s="99"/>
      <c r="L23" s="99"/>
      <c r="M23" s="99"/>
    </row>
    <row r="24" spans="1:13" s="65" customFormat="1" ht="12.75" customHeight="1" x14ac:dyDescent="0.35">
      <c r="A24" s="64">
        <v>70</v>
      </c>
      <c r="B24" s="65" t="s">
        <v>31</v>
      </c>
      <c r="C24" s="66">
        <v>18</v>
      </c>
      <c r="D24" s="66">
        <v>26</v>
      </c>
      <c r="E24" s="66">
        <v>4</v>
      </c>
      <c r="F24" s="66">
        <v>24</v>
      </c>
      <c r="G24" s="61">
        <v>72</v>
      </c>
      <c r="I24" s="99"/>
      <c r="J24" s="99"/>
      <c r="K24" s="99"/>
      <c r="L24" s="99"/>
      <c r="M24" s="99"/>
    </row>
    <row r="25" spans="1:13" s="65" customFormat="1" ht="12.75" customHeight="1" x14ac:dyDescent="0.35">
      <c r="A25" s="64">
        <v>71</v>
      </c>
      <c r="B25" s="65" t="s">
        <v>65</v>
      </c>
      <c r="C25" s="66">
        <v>1</v>
      </c>
      <c r="D25" s="66">
        <v>6</v>
      </c>
      <c r="E25" s="66">
        <v>1</v>
      </c>
      <c r="F25" s="66">
        <v>2</v>
      </c>
      <c r="G25" s="61">
        <v>10</v>
      </c>
      <c r="I25" s="99"/>
      <c r="J25" s="99"/>
      <c r="K25" s="99"/>
      <c r="L25" s="99"/>
      <c r="M25" s="99"/>
    </row>
    <row r="26" spans="1:13" s="65" customFormat="1" ht="12.75" customHeight="1" x14ac:dyDescent="0.35">
      <c r="A26" s="64">
        <v>73</v>
      </c>
      <c r="B26" s="65" t="s">
        <v>34</v>
      </c>
      <c r="C26" s="66">
        <v>28</v>
      </c>
      <c r="D26" s="66">
        <v>75</v>
      </c>
      <c r="E26" s="66">
        <v>9</v>
      </c>
      <c r="F26" s="66">
        <v>17</v>
      </c>
      <c r="G26" s="61">
        <v>129</v>
      </c>
      <c r="I26" s="99"/>
      <c r="J26" s="99"/>
      <c r="K26" s="99"/>
      <c r="L26" s="99"/>
      <c r="M26" s="99"/>
    </row>
    <row r="27" spans="1:13" s="65" customFormat="1" ht="12.75" customHeight="1" x14ac:dyDescent="0.35">
      <c r="A27" s="64">
        <v>74</v>
      </c>
      <c r="B27" s="65" t="s">
        <v>35</v>
      </c>
      <c r="C27" s="66">
        <v>38</v>
      </c>
      <c r="D27" s="66">
        <v>54</v>
      </c>
      <c r="E27" s="66">
        <v>2</v>
      </c>
      <c r="F27" s="66">
        <v>32</v>
      </c>
      <c r="G27" s="61">
        <v>126</v>
      </c>
      <c r="I27" s="99"/>
      <c r="J27" s="99"/>
      <c r="K27" s="99"/>
      <c r="L27" s="99"/>
      <c r="M27" s="99"/>
    </row>
    <row r="28" spans="1:13" s="65" customFormat="1" ht="12.75" customHeight="1" x14ac:dyDescent="0.35">
      <c r="A28" s="64">
        <v>75</v>
      </c>
      <c r="B28" s="65" t="s">
        <v>36</v>
      </c>
      <c r="C28" s="66">
        <v>16</v>
      </c>
      <c r="D28" s="66">
        <v>31</v>
      </c>
      <c r="E28" s="66">
        <v>0</v>
      </c>
      <c r="F28" s="66">
        <v>12</v>
      </c>
      <c r="G28" s="61">
        <v>59</v>
      </c>
      <c r="I28" s="99"/>
      <c r="J28" s="99"/>
      <c r="K28" s="99"/>
      <c r="L28" s="99"/>
      <c r="M28" s="99"/>
    </row>
    <row r="29" spans="1:13" s="65" customFormat="1" ht="12.75" customHeight="1" x14ac:dyDescent="0.35">
      <c r="A29" s="64">
        <v>76</v>
      </c>
      <c r="B29" s="65" t="s">
        <v>37</v>
      </c>
      <c r="C29" s="66">
        <v>10</v>
      </c>
      <c r="D29" s="66">
        <v>62</v>
      </c>
      <c r="E29" s="66">
        <v>1</v>
      </c>
      <c r="F29" s="66">
        <v>7</v>
      </c>
      <c r="G29" s="61">
        <v>80</v>
      </c>
      <c r="I29" s="99"/>
      <c r="J29" s="99"/>
      <c r="K29" s="99"/>
      <c r="L29" s="99"/>
      <c r="M29" s="99"/>
    </row>
    <row r="30" spans="1:13" s="65" customFormat="1" ht="12.75" customHeight="1" x14ac:dyDescent="0.35">
      <c r="A30" s="64">
        <v>79</v>
      </c>
      <c r="B30" s="65" t="s">
        <v>39</v>
      </c>
      <c r="C30" s="66">
        <v>16</v>
      </c>
      <c r="D30" s="66">
        <v>51</v>
      </c>
      <c r="E30" s="66">
        <v>0</v>
      </c>
      <c r="F30" s="66">
        <v>9</v>
      </c>
      <c r="G30" s="61">
        <v>76</v>
      </c>
      <c r="I30" s="99"/>
      <c r="J30" s="99"/>
      <c r="K30" s="99"/>
      <c r="L30" s="99"/>
      <c r="M30" s="99"/>
    </row>
    <row r="31" spans="1:13" s="65" customFormat="1" ht="12.75" customHeight="1" x14ac:dyDescent="0.35">
      <c r="A31" s="64"/>
      <c r="B31" s="96" t="s">
        <v>40</v>
      </c>
      <c r="C31" s="97" t="s">
        <v>75</v>
      </c>
      <c r="D31" s="97" t="s">
        <v>75</v>
      </c>
      <c r="E31" s="97" t="s">
        <v>75</v>
      </c>
      <c r="F31" s="97" t="s">
        <v>75</v>
      </c>
      <c r="G31" s="98" t="s">
        <v>75</v>
      </c>
      <c r="I31" s="99"/>
      <c r="J31" s="99"/>
      <c r="K31" s="99"/>
      <c r="L31" s="99"/>
      <c r="M31" s="99"/>
    </row>
    <row r="32" spans="1:13" s="65" customFormat="1" ht="12.75" customHeight="1" x14ac:dyDescent="0.35">
      <c r="A32" s="64">
        <v>80</v>
      </c>
      <c r="B32" s="65" t="s">
        <v>41</v>
      </c>
      <c r="C32" s="66">
        <v>10</v>
      </c>
      <c r="D32" s="66">
        <v>41</v>
      </c>
      <c r="E32" s="66">
        <v>1</v>
      </c>
      <c r="F32" s="66">
        <v>14</v>
      </c>
      <c r="G32" s="61">
        <v>66</v>
      </c>
      <c r="I32" s="99"/>
      <c r="J32" s="99"/>
      <c r="K32" s="99"/>
      <c r="L32" s="99"/>
      <c r="M32" s="99"/>
    </row>
    <row r="33" spans="1:13" s="65" customFormat="1" ht="13.5" customHeight="1" x14ac:dyDescent="0.35">
      <c r="A33" s="64">
        <v>81</v>
      </c>
      <c r="B33" s="65" t="s">
        <v>42</v>
      </c>
      <c r="C33" s="66">
        <v>9</v>
      </c>
      <c r="D33" s="66">
        <v>33</v>
      </c>
      <c r="E33" s="66">
        <v>2</v>
      </c>
      <c r="F33" s="66">
        <v>7</v>
      </c>
      <c r="G33" s="61">
        <v>51</v>
      </c>
      <c r="I33" s="99"/>
      <c r="J33" s="99"/>
      <c r="K33" s="99"/>
      <c r="L33" s="99"/>
      <c r="M33" s="99"/>
    </row>
    <row r="34" spans="1:13" s="65" customFormat="1" ht="13.5" customHeight="1" x14ac:dyDescent="0.35">
      <c r="A34" s="64">
        <v>83</v>
      </c>
      <c r="B34" s="65" t="s">
        <v>43</v>
      </c>
      <c r="C34" s="66">
        <v>8</v>
      </c>
      <c r="D34" s="66">
        <v>20</v>
      </c>
      <c r="E34" s="66">
        <v>0</v>
      </c>
      <c r="F34" s="66">
        <v>2</v>
      </c>
      <c r="G34" s="61">
        <v>30</v>
      </c>
      <c r="I34" s="99"/>
      <c r="J34" s="99"/>
      <c r="K34" s="99"/>
      <c r="L34" s="99"/>
      <c r="M34" s="99"/>
    </row>
    <row r="35" spans="1:13" s="65" customFormat="1" ht="14.25" customHeight="1" x14ac:dyDescent="0.35">
      <c r="A35" s="64">
        <v>84</v>
      </c>
      <c r="B35" s="65" t="s">
        <v>44</v>
      </c>
      <c r="C35" s="66">
        <v>25</v>
      </c>
      <c r="D35" s="66">
        <v>81</v>
      </c>
      <c r="E35" s="66">
        <v>2</v>
      </c>
      <c r="F35" s="66">
        <v>20</v>
      </c>
      <c r="G35" s="61">
        <v>128</v>
      </c>
      <c r="I35" s="99"/>
      <c r="J35" s="99"/>
      <c r="K35" s="99"/>
      <c r="L35" s="99"/>
      <c r="M35" s="99"/>
    </row>
    <row r="36" spans="1:13" s="65" customFormat="1" ht="12.75" customHeight="1" x14ac:dyDescent="0.35">
      <c r="A36" s="64">
        <v>85</v>
      </c>
      <c r="B36" s="65" t="s">
        <v>45</v>
      </c>
      <c r="C36" s="66">
        <v>11</v>
      </c>
      <c r="D36" s="66">
        <v>47</v>
      </c>
      <c r="E36" s="66">
        <v>0</v>
      </c>
      <c r="F36" s="66">
        <v>8</v>
      </c>
      <c r="G36" s="61">
        <v>66</v>
      </c>
      <c r="I36" s="99"/>
      <c r="J36" s="99"/>
      <c r="K36" s="99"/>
      <c r="L36" s="99"/>
      <c r="M36" s="99"/>
    </row>
    <row r="37" spans="1:13" s="65" customFormat="1" ht="12.75" customHeight="1" x14ac:dyDescent="0.35">
      <c r="A37" s="64">
        <v>87</v>
      </c>
      <c r="B37" s="65" t="s">
        <v>46</v>
      </c>
      <c r="C37" s="66">
        <v>8</v>
      </c>
      <c r="D37" s="66">
        <v>31</v>
      </c>
      <c r="E37" s="66">
        <v>1</v>
      </c>
      <c r="F37" s="66">
        <v>4</v>
      </c>
      <c r="G37" s="61">
        <v>44</v>
      </c>
      <c r="I37" s="99"/>
      <c r="J37" s="99"/>
      <c r="K37" s="99"/>
      <c r="L37" s="99"/>
      <c r="M37" s="99"/>
    </row>
    <row r="38" spans="1:13" s="65" customFormat="1" ht="12.75" customHeight="1" x14ac:dyDescent="0.35">
      <c r="A38" s="64">
        <v>90</v>
      </c>
      <c r="B38" s="65" t="s">
        <v>48</v>
      </c>
      <c r="C38" s="66">
        <v>20</v>
      </c>
      <c r="D38" s="66">
        <v>49</v>
      </c>
      <c r="E38" s="66">
        <v>2</v>
      </c>
      <c r="F38" s="66">
        <v>17</v>
      </c>
      <c r="G38" s="61">
        <v>88</v>
      </c>
      <c r="I38" s="99"/>
      <c r="J38" s="99"/>
      <c r="K38" s="99"/>
      <c r="L38" s="99"/>
      <c r="M38" s="99"/>
    </row>
    <row r="39" spans="1:13" s="65" customFormat="1" ht="12.75" customHeight="1" x14ac:dyDescent="0.35">
      <c r="A39" s="64">
        <v>91</v>
      </c>
      <c r="B39" s="65" t="s">
        <v>49</v>
      </c>
      <c r="C39" s="66">
        <v>8</v>
      </c>
      <c r="D39" s="66">
        <v>36</v>
      </c>
      <c r="E39" s="66">
        <v>0</v>
      </c>
      <c r="F39" s="66">
        <v>11</v>
      </c>
      <c r="G39" s="61">
        <v>55</v>
      </c>
      <c r="I39" s="99"/>
      <c r="J39" s="99"/>
      <c r="K39" s="99"/>
      <c r="L39" s="99"/>
      <c r="M39" s="99"/>
    </row>
    <row r="40" spans="1:13" s="65" customFormat="1" ht="12.75" customHeight="1" x14ac:dyDescent="0.35">
      <c r="A40" s="64">
        <v>92</v>
      </c>
      <c r="B40" s="65" t="s">
        <v>50</v>
      </c>
      <c r="C40" s="66">
        <v>26</v>
      </c>
      <c r="D40" s="66">
        <v>5</v>
      </c>
      <c r="E40" s="66">
        <v>2</v>
      </c>
      <c r="F40" s="66">
        <v>8</v>
      </c>
      <c r="G40" s="61">
        <v>41</v>
      </c>
      <c r="I40" s="99"/>
      <c r="J40" s="99"/>
      <c r="K40" s="99"/>
      <c r="L40" s="99"/>
      <c r="M40" s="99"/>
    </row>
    <row r="41" spans="1:13" s="65" customFormat="1" ht="12.75" customHeight="1" x14ac:dyDescent="0.35">
      <c r="A41" s="64">
        <v>94</v>
      </c>
      <c r="B41" s="65" t="s">
        <v>52</v>
      </c>
      <c r="C41" s="66">
        <v>8</v>
      </c>
      <c r="D41" s="66">
        <v>30</v>
      </c>
      <c r="E41" s="66">
        <v>0</v>
      </c>
      <c r="F41" s="66">
        <v>10</v>
      </c>
      <c r="G41" s="61">
        <v>48</v>
      </c>
      <c r="I41" s="99"/>
      <c r="J41" s="99"/>
      <c r="K41" s="99"/>
      <c r="L41" s="99"/>
      <c r="M41" s="99"/>
    </row>
    <row r="42" spans="1:13" s="65" customFormat="1" ht="12.75" customHeight="1" x14ac:dyDescent="0.35">
      <c r="A42" s="64">
        <v>96</v>
      </c>
      <c r="B42" s="65" t="s">
        <v>54</v>
      </c>
      <c r="C42" s="66">
        <v>33</v>
      </c>
      <c r="D42" s="66">
        <v>46</v>
      </c>
      <c r="E42" s="66">
        <v>0</v>
      </c>
      <c r="F42" s="66">
        <v>15</v>
      </c>
      <c r="G42" s="61">
        <v>94</v>
      </c>
      <c r="H42" s="68"/>
      <c r="I42" s="99"/>
      <c r="J42" s="99"/>
      <c r="K42" s="99"/>
      <c r="L42" s="99"/>
      <c r="M42" s="99"/>
    </row>
    <row r="43" spans="1:13" s="65" customFormat="1" ht="12.75" customHeight="1" x14ac:dyDescent="0.35">
      <c r="A43" s="64">
        <v>72</v>
      </c>
      <c r="B43" s="65" t="s">
        <v>33</v>
      </c>
      <c r="C43" s="66">
        <v>0</v>
      </c>
      <c r="D43" s="66">
        <v>2</v>
      </c>
      <c r="E43" s="66">
        <v>0</v>
      </c>
      <c r="F43" s="66">
        <v>1</v>
      </c>
      <c r="G43" s="61">
        <v>3</v>
      </c>
      <c r="I43" s="99"/>
      <c r="J43" s="99"/>
      <c r="K43" s="99"/>
      <c r="L43" s="99"/>
      <c r="M43" s="99"/>
    </row>
    <row r="44" spans="1:13" s="60" customFormat="1" ht="25.5" customHeight="1" x14ac:dyDescent="0.35">
      <c r="B44" s="60" t="s">
        <v>66</v>
      </c>
      <c r="C44" s="63">
        <v>568</v>
      </c>
      <c r="D44" s="63">
        <v>36</v>
      </c>
      <c r="E44" s="63">
        <v>42</v>
      </c>
      <c r="F44" s="63">
        <v>465</v>
      </c>
      <c r="G44" s="61">
        <v>1111</v>
      </c>
      <c r="I44" s="99"/>
      <c r="J44" s="99"/>
      <c r="K44" s="99"/>
      <c r="L44" s="99"/>
      <c r="M44" s="99"/>
    </row>
    <row r="45" spans="1:13" s="65" customFormat="1" ht="12.75" customHeight="1" x14ac:dyDescent="0.35">
      <c r="A45" s="64">
        <v>66</v>
      </c>
      <c r="B45" s="65" t="s">
        <v>27</v>
      </c>
      <c r="C45" s="66">
        <v>83</v>
      </c>
      <c r="D45" s="69">
        <v>4</v>
      </c>
      <c r="E45" s="69">
        <v>18</v>
      </c>
      <c r="F45" s="69">
        <v>64</v>
      </c>
      <c r="G45" s="61">
        <v>169</v>
      </c>
      <c r="I45" s="99"/>
      <c r="J45" s="99"/>
      <c r="K45" s="99"/>
      <c r="L45" s="99"/>
      <c r="M45" s="99"/>
    </row>
    <row r="46" spans="1:13" s="65" customFormat="1" ht="14.25" customHeight="1" x14ac:dyDescent="0.35">
      <c r="A46" s="64">
        <v>78</v>
      </c>
      <c r="B46" s="65" t="s">
        <v>38</v>
      </c>
      <c r="C46" s="66">
        <v>23</v>
      </c>
      <c r="D46" s="69">
        <v>4</v>
      </c>
      <c r="E46" s="69">
        <v>9</v>
      </c>
      <c r="F46" s="69">
        <v>65</v>
      </c>
      <c r="G46" s="61">
        <v>101</v>
      </c>
      <c r="I46" s="99"/>
      <c r="J46" s="99"/>
      <c r="K46" s="99"/>
      <c r="L46" s="99"/>
      <c r="M46" s="99"/>
    </row>
    <row r="47" spans="1:13" s="65" customFormat="1" ht="12.75" customHeight="1" x14ac:dyDescent="0.35">
      <c r="A47" s="64">
        <v>89</v>
      </c>
      <c r="B47" s="65" t="s">
        <v>47</v>
      </c>
      <c r="C47" s="66">
        <v>40</v>
      </c>
      <c r="D47" s="69">
        <v>16</v>
      </c>
      <c r="E47" s="69">
        <v>2</v>
      </c>
      <c r="F47" s="69">
        <v>17</v>
      </c>
      <c r="G47" s="61">
        <v>75</v>
      </c>
      <c r="I47" s="99"/>
      <c r="J47" s="99"/>
      <c r="K47" s="99"/>
      <c r="L47" s="99"/>
      <c r="M47" s="99"/>
    </row>
    <row r="48" spans="1:13" s="65" customFormat="1" ht="12.75" customHeight="1" x14ac:dyDescent="0.35">
      <c r="A48" s="64">
        <v>93</v>
      </c>
      <c r="B48" s="65" t="s">
        <v>67</v>
      </c>
      <c r="C48" s="66">
        <v>37</v>
      </c>
      <c r="D48" s="69">
        <v>0</v>
      </c>
      <c r="E48" s="69">
        <v>4</v>
      </c>
      <c r="F48" s="69">
        <v>25</v>
      </c>
      <c r="G48" s="61">
        <v>66</v>
      </c>
      <c r="I48" s="99"/>
      <c r="J48" s="99"/>
      <c r="K48" s="99"/>
      <c r="L48" s="99"/>
      <c r="M48" s="99"/>
    </row>
    <row r="49" spans="1:13" s="65" customFormat="1" ht="12.75" customHeight="1" x14ac:dyDescent="0.35">
      <c r="A49" s="64">
        <v>95</v>
      </c>
      <c r="B49" s="65" t="s">
        <v>53</v>
      </c>
      <c r="C49" s="66">
        <v>80</v>
      </c>
      <c r="D49" s="69">
        <v>0</v>
      </c>
      <c r="E49" s="69">
        <v>3</v>
      </c>
      <c r="F49" s="69">
        <v>93</v>
      </c>
      <c r="G49" s="61">
        <v>176</v>
      </c>
      <c r="I49" s="99"/>
      <c r="J49" s="99"/>
      <c r="K49" s="99"/>
      <c r="L49" s="99"/>
      <c r="M49" s="99"/>
    </row>
    <row r="50" spans="1:13" s="65" customFormat="1" ht="12.75" customHeight="1" x14ac:dyDescent="0.35">
      <c r="A50" s="64">
        <v>97</v>
      </c>
      <c r="B50" s="65" t="s">
        <v>55</v>
      </c>
      <c r="C50" s="66">
        <v>86</v>
      </c>
      <c r="D50" s="69">
        <v>12</v>
      </c>
      <c r="E50" s="69">
        <v>2</v>
      </c>
      <c r="F50" s="69">
        <v>88</v>
      </c>
      <c r="G50" s="61">
        <v>188</v>
      </c>
      <c r="I50" s="99"/>
      <c r="J50" s="99"/>
      <c r="K50" s="99"/>
      <c r="L50" s="99"/>
      <c r="M50" s="99"/>
    </row>
    <row r="51" spans="1:13" s="74" customFormat="1" ht="12.75" customHeight="1" x14ac:dyDescent="0.35">
      <c r="A51" s="64">
        <v>77</v>
      </c>
      <c r="B51" s="70" t="s">
        <v>26</v>
      </c>
      <c r="C51" s="71">
        <v>219</v>
      </c>
      <c r="D51" s="71">
        <v>0</v>
      </c>
      <c r="E51" s="72">
        <v>4</v>
      </c>
      <c r="F51" s="72">
        <v>113</v>
      </c>
      <c r="G51" s="73">
        <v>336</v>
      </c>
      <c r="I51" s="99"/>
      <c r="J51" s="99"/>
      <c r="K51" s="99"/>
      <c r="L51" s="99"/>
      <c r="M51" s="99"/>
    </row>
    <row r="52" spans="1:13" s="65" customFormat="1" ht="10.5" customHeight="1" x14ac:dyDescent="0.35">
      <c r="A52" s="64"/>
      <c r="C52" s="75"/>
      <c r="D52" s="75"/>
      <c r="E52" s="75"/>
      <c r="F52" s="75"/>
      <c r="G52" s="75"/>
    </row>
    <row r="53" spans="1:13" s="65" customFormat="1" ht="13.5" customHeight="1" x14ac:dyDescent="0.35">
      <c r="A53" s="64"/>
      <c r="B53" s="65" t="s">
        <v>68</v>
      </c>
      <c r="H53" s="76"/>
      <c r="I53" s="56"/>
      <c r="J53" s="56"/>
      <c r="K53" s="56"/>
      <c r="L53" s="56"/>
      <c r="M53" s="56"/>
    </row>
    <row r="54" spans="1:13" s="65" customFormat="1" ht="13.5" customHeight="1" x14ac:dyDescent="0.35">
      <c r="A54" s="64"/>
      <c r="H54" s="76"/>
      <c r="I54" s="76"/>
    </row>
    <row r="55" spans="1:13" s="65" customFormat="1" x14ac:dyDescent="0.35">
      <c r="A55" s="64"/>
      <c r="B55" s="46" t="s">
        <v>69</v>
      </c>
      <c r="H55" s="76"/>
      <c r="I55" s="76"/>
    </row>
    <row r="56" spans="1:13" x14ac:dyDescent="0.35">
      <c r="A56" s="64"/>
      <c r="F56" s="78"/>
      <c r="G56" s="78"/>
    </row>
    <row r="57" spans="1:13" x14ac:dyDescent="0.35">
      <c r="A57" s="64"/>
    </row>
    <row r="58" spans="1:13" x14ac:dyDescent="0.35">
      <c r="A58" s="64"/>
    </row>
    <row r="59" spans="1:13" x14ac:dyDescent="0.35">
      <c r="A59" s="64"/>
      <c r="E59" s="79"/>
    </row>
    <row r="62" spans="1:13" ht="14" x14ac:dyDescent="0.35">
      <c r="A62" s="64">
        <v>62</v>
      </c>
      <c r="B62" s="65" t="s">
        <v>21</v>
      </c>
      <c r="C62" s="66">
        <v>12</v>
      </c>
      <c r="D62" s="66">
        <v>39</v>
      </c>
      <c r="E62" s="66">
        <v>1</v>
      </c>
      <c r="F62" s="66">
        <v>8</v>
      </c>
      <c r="G62" s="61">
        <v>60</v>
      </c>
    </row>
    <row r="63" spans="1:13" ht="14" x14ac:dyDescent="0.35">
      <c r="A63" s="64">
        <v>98</v>
      </c>
      <c r="B63" s="65" t="s">
        <v>56</v>
      </c>
      <c r="C63" s="66">
        <v>5</v>
      </c>
      <c r="D63" s="66">
        <v>32</v>
      </c>
      <c r="E63" s="66">
        <v>1</v>
      </c>
      <c r="F63" s="66">
        <v>10</v>
      </c>
      <c r="G63" s="61">
        <v>48</v>
      </c>
    </row>
    <row r="64" spans="1:13" ht="15.5" x14ac:dyDescent="0.35">
      <c r="C64" s="100"/>
      <c r="D64" s="101"/>
      <c r="E64" s="101"/>
    </row>
  </sheetData>
  <mergeCells count="1">
    <mergeCell ref="B1:G1"/>
  </mergeCells>
  <conditionalFormatting sqref="I3:M51">
    <cfRule type="cellIs" dxfId="9" priority="1" stopIfTrue="1" operator="greaterThan">
      <formula>0.5</formula>
    </cfRule>
    <cfRule type="cellIs" dxfId="8" priority="2" stopIfTrue="1" operator="lessThan">
      <formula>-0.5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2"/>
  </sheetPr>
  <dimension ref="A1:M63"/>
  <sheetViews>
    <sheetView showGridLines="0" zoomScale="85" zoomScaleNormal="100" workbookViewId="0">
      <pane xSplit="2" ySplit="2" topLeftCell="C3" activePane="bottomRight" state="frozen"/>
      <selection activeCell="A57" sqref="A57:F57"/>
      <selection pane="topRight" activeCell="A57" sqref="A57:F57"/>
      <selection pane="bottomLeft" activeCell="A57" sqref="A57:F57"/>
      <selection pane="bottomRight" activeCell="A57" sqref="A57:F57"/>
    </sheetView>
  </sheetViews>
  <sheetFormatPr defaultRowHeight="13" x14ac:dyDescent="0.35"/>
  <cols>
    <col min="1" max="1" width="3.54296875" style="76" hidden="1" customWidth="1"/>
    <col min="2" max="2" width="27.54296875" style="76" bestFit="1" customWidth="1"/>
    <col min="3" max="3" width="20.1796875" style="76" customWidth="1"/>
    <col min="4" max="4" width="21.7265625" style="76" customWidth="1"/>
    <col min="5" max="5" width="18.81640625" style="76" customWidth="1"/>
    <col min="6" max="6" width="21.453125" style="76" customWidth="1"/>
    <col min="7" max="7" width="26.54296875" style="76" customWidth="1"/>
    <col min="8" max="256" width="9.1796875" style="76"/>
    <col min="257" max="257" width="0" style="76" hidden="1" customWidth="1"/>
    <col min="258" max="258" width="27.54296875" style="76" bestFit="1" customWidth="1"/>
    <col min="259" max="259" width="20.1796875" style="76" customWidth="1"/>
    <col min="260" max="260" width="21.7265625" style="76" customWidth="1"/>
    <col min="261" max="261" width="18.81640625" style="76" customWidth="1"/>
    <col min="262" max="262" width="21.453125" style="76" customWidth="1"/>
    <col min="263" max="263" width="26.54296875" style="76" customWidth="1"/>
    <col min="264" max="512" width="9.1796875" style="76"/>
    <col min="513" max="513" width="0" style="76" hidden="1" customWidth="1"/>
    <col min="514" max="514" width="27.54296875" style="76" bestFit="1" customWidth="1"/>
    <col min="515" max="515" width="20.1796875" style="76" customWidth="1"/>
    <col min="516" max="516" width="21.7265625" style="76" customWidth="1"/>
    <col min="517" max="517" width="18.81640625" style="76" customWidth="1"/>
    <col min="518" max="518" width="21.453125" style="76" customWidth="1"/>
    <col min="519" max="519" width="26.54296875" style="76" customWidth="1"/>
    <col min="520" max="768" width="9.1796875" style="76"/>
    <col min="769" max="769" width="0" style="76" hidden="1" customWidth="1"/>
    <col min="770" max="770" width="27.54296875" style="76" bestFit="1" customWidth="1"/>
    <col min="771" max="771" width="20.1796875" style="76" customWidth="1"/>
    <col min="772" max="772" width="21.7265625" style="76" customWidth="1"/>
    <col min="773" max="773" width="18.81640625" style="76" customWidth="1"/>
    <col min="774" max="774" width="21.453125" style="76" customWidth="1"/>
    <col min="775" max="775" width="26.54296875" style="76" customWidth="1"/>
    <col min="776" max="1024" width="9.1796875" style="76"/>
    <col min="1025" max="1025" width="0" style="76" hidden="1" customWidth="1"/>
    <col min="1026" max="1026" width="27.54296875" style="76" bestFit="1" customWidth="1"/>
    <col min="1027" max="1027" width="20.1796875" style="76" customWidth="1"/>
    <col min="1028" max="1028" width="21.7265625" style="76" customWidth="1"/>
    <col min="1029" max="1029" width="18.81640625" style="76" customWidth="1"/>
    <col min="1030" max="1030" width="21.453125" style="76" customWidth="1"/>
    <col min="1031" max="1031" width="26.54296875" style="76" customWidth="1"/>
    <col min="1032" max="1280" width="9.1796875" style="76"/>
    <col min="1281" max="1281" width="0" style="76" hidden="1" customWidth="1"/>
    <col min="1282" max="1282" width="27.54296875" style="76" bestFit="1" customWidth="1"/>
    <col min="1283" max="1283" width="20.1796875" style="76" customWidth="1"/>
    <col min="1284" max="1284" width="21.7265625" style="76" customWidth="1"/>
    <col min="1285" max="1285" width="18.81640625" style="76" customWidth="1"/>
    <col min="1286" max="1286" width="21.453125" style="76" customWidth="1"/>
    <col min="1287" max="1287" width="26.54296875" style="76" customWidth="1"/>
    <col min="1288" max="1536" width="9.1796875" style="76"/>
    <col min="1537" max="1537" width="0" style="76" hidden="1" customWidth="1"/>
    <col min="1538" max="1538" width="27.54296875" style="76" bestFit="1" customWidth="1"/>
    <col min="1539" max="1539" width="20.1796875" style="76" customWidth="1"/>
    <col min="1540" max="1540" width="21.7265625" style="76" customWidth="1"/>
    <col min="1541" max="1541" width="18.81640625" style="76" customWidth="1"/>
    <col min="1542" max="1542" width="21.453125" style="76" customWidth="1"/>
    <col min="1543" max="1543" width="26.54296875" style="76" customWidth="1"/>
    <col min="1544" max="1792" width="9.1796875" style="76"/>
    <col min="1793" max="1793" width="0" style="76" hidden="1" customWidth="1"/>
    <col min="1794" max="1794" width="27.54296875" style="76" bestFit="1" customWidth="1"/>
    <col min="1795" max="1795" width="20.1796875" style="76" customWidth="1"/>
    <col min="1796" max="1796" width="21.7265625" style="76" customWidth="1"/>
    <col min="1797" max="1797" width="18.81640625" style="76" customWidth="1"/>
    <col min="1798" max="1798" width="21.453125" style="76" customWidth="1"/>
    <col min="1799" max="1799" width="26.54296875" style="76" customWidth="1"/>
    <col min="1800" max="2048" width="9.1796875" style="76"/>
    <col min="2049" max="2049" width="0" style="76" hidden="1" customWidth="1"/>
    <col min="2050" max="2050" width="27.54296875" style="76" bestFit="1" customWidth="1"/>
    <col min="2051" max="2051" width="20.1796875" style="76" customWidth="1"/>
    <col min="2052" max="2052" width="21.7265625" style="76" customWidth="1"/>
    <col min="2053" max="2053" width="18.81640625" style="76" customWidth="1"/>
    <col min="2054" max="2054" width="21.453125" style="76" customWidth="1"/>
    <col min="2055" max="2055" width="26.54296875" style="76" customWidth="1"/>
    <col min="2056" max="2304" width="9.1796875" style="76"/>
    <col min="2305" max="2305" width="0" style="76" hidden="1" customWidth="1"/>
    <col min="2306" max="2306" width="27.54296875" style="76" bestFit="1" customWidth="1"/>
    <col min="2307" max="2307" width="20.1796875" style="76" customWidth="1"/>
    <col min="2308" max="2308" width="21.7265625" style="76" customWidth="1"/>
    <col min="2309" max="2309" width="18.81640625" style="76" customWidth="1"/>
    <col min="2310" max="2310" width="21.453125" style="76" customWidth="1"/>
    <col min="2311" max="2311" width="26.54296875" style="76" customWidth="1"/>
    <col min="2312" max="2560" width="9.1796875" style="76"/>
    <col min="2561" max="2561" width="0" style="76" hidden="1" customWidth="1"/>
    <col min="2562" max="2562" width="27.54296875" style="76" bestFit="1" customWidth="1"/>
    <col min="2563" max="2563" width="20.1796875" style="76" customWidth="1"/>
    <col min="2564" max="2564" width="21.7265625" style="76" customWidth="1"/>
    <col min="2565" max="2565" width="18.81640625" style="76" customWidth="1"/>
    <col min="2566" max="2566" width="21.453125" style="76" customWidth="1"/>
    <col min="2567" max="2567" width="26.54296875" style="76" customWidth="1"/>
    <col min="2568" max="2816" width="9.1796875" style="76"/>
    <col min="2817" max="2817" width="0" style="76" hidden="1" customWidth="1"/>
    <col min="2818" max="2818" width="27.54296875" style="76" bestFit="1" customWidth="1"/>
    <col min="2819" max="2819" width="20.1796875" style="76" customWidth="1"/>
    <col min="2820" max="2820" width="21.7265625" style="76" customWidth="1"/>
    <col min="2821" max="2821" width="18.81640625" style="76" customWidth="1"/>
    <col min="2822" max="2822" width="21.453125" style="76" customWidth="1"/>
    <col min="2823" max="2823" width="26.54296875" style="76" customWidth="1"/>
    <col min="2824" max="3072" width="9.1796875" style="76"/>
    <col min="3073" max="3073" width="0" style="76" hidden="1" customWidth="1"/>
    <col min="3074" max="3074" width="27.54296875" style="76" bestFit="1" customWidth="1"/>
    <col min="3075" max="3075" width="20.1796875" style="76" customWidth="1"/>
    <col min="3076" max="3076" width="21.7265625" style="76" customWidth="1"/>
    <col min="3077" max="3077" width="18.81640625" style="76" customWidth="1"/>
    <col min="3078" max="3078" width="21.453125" style="76" customWidth="1"/>
    <col min="3079" max="3079" width="26.54296875" style="76" customWidth="1"/>
    <col min="3080" max="3328" width="9.1796875" style="76"/>
    <col min="3329" max="3329" width="0" style="76" hidden="1" customWidth="1"/>
    <col min="3330" max="3330" width="27.54296875" style="76" bestFit="1" customWidth="1"/>
    <col min="3331" max="3331" width="20.1796875" style="76" customWidth="1"/>
    <col min="3332" max="3332" width="21.7265625" style="76" customWidth="1"/>
    <col min="3333" max="3333" width="18.81640625" style="76" customWidth="1"/>
    <col min="3334" max="3334" width="21.453125" style="76" customWidth="1"/>
    <col min="3335" max="3335" width="26.54296875" style="76" customWidth="1"/>
    <col min="3336" max="3584" width="9.1796875" style="76"/>
    <col min="3585" max="3585" width="0" style="76" hidden="1" customWidth="1"/>
    <col min="3586" max="3586" width="27.54296875" style="76" bestFit="1" customWidth="1"/>
    <col min="3587" max="3587" width="20.1796875" style="76" customWidth="1"/>
    <col min="3588" max="3588" width="21.7265625" style="76" customWidth="1"/>
    <col min="3589" max="3589" width="18.81640625" style="76" customWidth="1"/>
    <col min="3590" max="3590" width="21.453125" style="76" customWidth="1"/>
    <col min="3591" max="3591" width="26.54296875" style="76" customWidth="1"/>
    <col min="3592" max="3840" width="9.1796875" style="76"/>
    <col min="3841" max="3841" width="0" style="76" hidden="1" customWidth="1"/>
    <col min="3842" max="3842" width="27.54296875" style="76" bestFit="1" customWidth="1"/>
    <col min="3843" max="3843" width="20.1796875" style="76" customWidth="1"/>
    <col min="3844" max="3844" width="21.7265625" style="76" customWidth="1"/>
    <col min="3845" max="3845" width="18.81640625" style="76" customWidth="1"/>
    <col min="3846" max="3846" width="21.453125" style="76" customWidth="1"/>
    <col min="3847" max="3847" width="26.54296875" style="76" customWidth="1"/>
    <col min="3848" max="4096" width="9.1796875" style="76"/>
    <col min="4097" max="4097" width="0" style="76" hidden="1" customWidth="1"/>
    <col min="4098" max="4098" width="27.54296875" style="76" bestFit="1" customWidth="1"/>
    <col min="4099" max="4099" width="20.1796875" style="76" customWidth="1"/>
    <col min="4100" max="4100" width="21.7265625" style="76" customWidth="1"/>
    <col min="4101" max="4101" width="18.81640625" style="76" customWidth="1"/>
    <col min="4102" max="4102" width="21.453125" style="76" customWidth="1"/>
    <col min="4103" max="4103" width="26.54296875" style="76" customWidth="1"/>
    <col min="4104" max="4352" width="9.1796875" style="76"/>
    <col min="4353" max="4353" width="0" style="76" hidden="1" customWidth="1"/>
    <col min="4354" max="4354" width="27.54296875" style="76" bestFit="1" customWidth="1"/>
    <col min="4355" max="4355" width="20.1796875" style="76" customWidth="1"/>
    <col min="4356" max="4356" width="21.7265625" style="76" customWidth="1"/>
    <col min="4357" max="4357" width="18.81640625" style="76" customWidth="1"/>
    <col min="4358" max="4358" width="21.453125" style="76" customWidth="1"/>
    <col min="4359" max="4359" width="26.54296875" style="76" customWidth="1"/>
    <col min="4360" max="4608" width="9.1796875" style="76"/>
    <col min="4609" max="4609" width="0" style="76" hidden="1" customWidth="1"/>
    <col min="4610" max="4610" width="27.54296875" style="76" bestFit="1" customWidth="1"/>
    <col min="4611" max="4611" width="20.1796875" style="76" customWidth="1"/>
    <col min="4612" max="4612" width="21.7265625" style="76" customWidth="1"/>
    <col min="4613" max="4613" width="18.81640625" style="76" customWidth="1"/>
    <col min="4614" max="4614" width="21.453125" style="76" customWidth="1"/>
    <col min="4615" max="4615" width="26.54296875" style="76" customWidth="1"/>
    <col min="4616" max="4864" width="9.1796875" style="76"/>
    <col min="4865" max="4865" width="0" style="76" hidden="1" customWidth="1"/>
    <col min="4866" max="4866" width="27.54296875" style="76" bestFit="1" customWidth="1"/>
    <col min="4867" max="4867" width="20.1796875" style="76" customWidth="1"/>
    <col min="4868" max="4868" width="21.7265625" style="76" customWidth="1"/>
    <col min="4869" max="4869" width="18.81640625" style="76" customWidth="1"/>
    <col min="4870" max="4870" width="21.453125" style="76" customWidth="1"/>
    <col min="4871" max="4871" width="26.54296875" style="76" customWidth="1"/>
    <col min="4872" max="5120" width="9.1796875" style="76"/>
    <col min="5121" max="5121" width="0" style="76" hidden="1" customWidth="1"/>
    <col min="5122" max="5122" width="27.54296875" style="76" bestFit="1" customWidth="1"/>
    <col min="5123" max="5123" width="20.1796875" style="76" customWidth="1"/>
    <col min="5124" max="5124" width="21.7265625" style="76" customWidth="1"/>
    <col min="5125" max="5125" width="18.81640625" style="76" customWidth="1"/>
    <col min="5126" max="5126" width="21.453125" style="76" customWidth="1"/>
    <col min="5127" max="5127" width="26.54296875" style="76" customWidth="1"/>
    <col min="5128" max="5376" width="9.1796875" style="76"/>
    <col min="5377" max="5377" width="0" style="76" hidden="1" customWidth="1"/>
    <col min="5378" max="5378" width="27.54296875" style="76" bestFit="1" customWidth="1"/>
    <col min="5379" max="5379" width="20.1796875" style="76" customWidth="1"/>
    <col min="5380" max="5380" width="21.7265625" style="76" customWidth="1"/>
    <col min="5381" max="5381" width="18.81640625" style="76" customWidth="1"/>
    <col min="5382" max="5382" width="21.453125" style="76" customWidth="1"/>
    <col min="5383" max="5383" width="26.54296875" style="76" customWidth="1"/>
    <col min="5384" max="5632" width="9.1796875" style="76"/>
    <col min="5633" max="5633" width="0" style="76" hidden="1" customWidth="1"/>
    <col min="5634" max="5634" width="27.54296875" style="76" bestFit="1" customWidth="1"/>
    <col min="5635" max="5635" width="20.1796875" style="76" customWidth="1"/>
    <col min="5636" max="5636" width="21.7265625" style="76" customWidth="1"/>
    <col min="5637" max="5637" width="18.81640625" style="76" customWidth="1"/>
    <col min="5638" max="5638" width="21.453125" style="76" customWidth="1"/>
    <col min="5639" max="5639" width="26.54296875" style="76" customWidth="1"/>
    <col min="5640" max="5888" width="9.1796875" style="76"/>
    <col min="5889" max="5889" width="0" style="76" hidden="1" customWidth="1"/>
    <col min="5890" max="5890" width="27.54296875" style="76" bestFit="1" customWidth="1"/>
    <col min="5891" max="5891" width="20.1796875" style="76" customWidth="1"/>
    <col min="5892" max="5892" width="21.7265625" style="76" customWidth="1"/>
    <col min="5893" max="5893" width="18.81640625" style="76" customWidth="1"/>
    <col min="5894" max="5894" width="21.453125" style="76" customWidth="1"/>
    <col min="5895" max="5895" width="26.54296875" style="76" customWidth="1"/>
    <col min="5896" max="6144" width="9.1796875" style="76"/>
    <col min="6145" max="6145" width="0" style="76" hidden="1" customWidth="1"/>
    <col min="6146" max="6146" width="27.54296875" style="76" bestFit="1" customWidth="1"/>
    <col min="6147" max="6147" width="20.1796875" style="76" customWidth="1"/>
    <col min="6148" max="6148" width="21.7265625" style="76" customWidth="1"/>
    <col min="6149" max="6149" width="18.81640625" style="76" customWidth="1"/>
    <col min="6150" max="6150" width="21.453125" style="76" customWidth="1"/>
    <col min="6151" max="6151" width="26.54296875" style="76" customWidth="1"/>
    <col min="6152" max="6400" width="9.1796875" style="76"/>
    <col min="6401" max="6401" width="0" style="76" hidden="1" customWidth="1"/>
    <col min="6402" max="6402" width="27.54296875" style="76" bestFit="1" customWidth="1"/>
    <col min="6403" max="6403" width="20.1796875" style="76" customWidth="1"/>
    <col min="6404" max="6404" width="21.7265625" style="76" customWidth="1"/>
    <col min="6405" max="6405" width="18.81640625" style="76" customWidth="1"/>
    <col min="6406" max="6406" width="21.453125" style="76" customWidth="1"/>
    <col min="6407" max="6407" width="26.54296875" style="76" customWidth="1"/>
    <col min="6408" max="6656" width="9.1796875" style="76"/>
    <col min="6657" max="6657" width="0" style="76" hidden="1" customWidth="1"/>
    <col min="6658" max="6658" width="27.54296875" style="76" bestFit="1" customWidth="1"/>
    <col min="6659" max="6659" width="20.1796875" style="76" customWidth="1"/>
    <col min="6660" max="6660" width="21.7265625" style="76" customWidth="1"/>
    <col min="6661" max="6661" width="18.81640625" style="76" customWidth="1"/>
    <col min="6662" max="6662" width="21.453125" style="76" customWidth="1"/>
    <col min="6663" max="6663" width="26.54296875" style="76" customWidth="1"/>
    <col min="6664" max="6912" width="9.1796875" style="76"/>
    <col min="6913" max="6913" width="0" style="76" hidden="1" customWidth="1"/>
    <col min="6914" max="6914" width="27.54296875" style="76" bestFit="1" customWidth="1"/>
    <col min="6915" max="6915" width="20.1796875" style="76" customWidth="1"/>
    <col min="6916" max="6916" width="21.7265625" style="76" customWidth="1"/>
    <col min="6917" max="6917" width="18.81640625" style="76" customWidth="1"/>
    <col min="6918" max="6918" width="21.453125" style="76" customWidth="1"/>
    <col min="6919" max="6919" width="26.54296875" style="76" customWidth="1"/>
    <col min="6920" max="7168" width="9.1796875" style="76"/>
    <col min="7169" max="7169" width="0" style="76" hidden="1" customWidth="1"/>
    <col min="7170" max="7170" width="27.54296875" style="76" bestFit="1" customWidth="1"/>
    <col min="7171" max="7171" width="20.1796875" style="76" customWidth="1"/>
    <col min="7172" max="7172" width="21.7265625" style="76" customWidth="1"/>
    <col min="7173" max="7173" width="18.81640625" style="76" customWidth="1"/>
    <col min="7174" max="7174" width="21.453125" style="76" customWidth="1"/>
    <col min="7175" max="7175" width="26.54296875" style="76" customWidth="1"/>
    <col min="7176" max="7424" width="9.1796875" style="76"/>
    <col min="7425" max="7425" width="0" style="76" hidden="1" customWidth="1"/>
    <col min="7426" max="7426" width="27.54296875" style="76" bestFit="1" customWidth="1"/>
    <col min="7427" max="7427" width="20.1796875" style="76" customWidth="1"/>
    <col min="7428" max="7428" width="21.7265625" style="76" customWidth="1"/>
    <col min="7429" max="7429" width="18.81640625" style="76" customWidth="1"/>
    <col min="7430" max="7430" width="21.453125" style="76" customWidth="1"/>
    <col min="7431" max="7431" width="26.54296875" style="76" customWidth="1"/>
    <col min="7432" max="7680" width="9.1796875" style="76"/>
    <col min="7681" max="7681" width="0" style="76" hidden="1" customWidth="1"/>
    <col min="7682" max="7682" width="27.54296875" style="76" bestFit="1" customWidth="1"/>
    <col min="7683" max="7683" width="20.1796875" style="76" customWidth="1"/>
    <col min="7684" max="7684" width="21.7265625" style="76" customWidth="1"/>
    <col min="7685" max="7685" width="18.81640625" style="76" customWidth="1"/>
    <col min="7686" max="7686" width="21.453125" style="76" customWidth="1"/>
    <col min="7687" max="7687" width="26.54296875" style="76" customWidth="1"/>
    <col min="7688" max="7936" width="9.1796875" style="76"/>
    <col min="7937" max="7937" width="0" style="76" hidden="1" customWidth="1"/>
    <col min="7938" max="7938" width="27.54296875" style="76" bestFit="1" customWidth="1"/>
    <col min="7939" max="7939" width="20.1796875" style="76" customWidth="1"/>
    <col min="7940" max="7940" width="21.7265625" style="76" customWidth="1"/>
    <col min="7941" max="7941" width="18.81640625" style="76" customWidth="1"/>
    <col min="7942" max="7942" width="21.453125" style="76" customWidth="1"/>
    <col min="7943" max="7943" width="26.54296875" style="76" customWidth="1"/>
    <col min="7944" max="8192" width="9.1796875" style="76"/>
    <col min="8193" max="8193" width="0" style="76" hidden="1" customWidth="1"/>
    <col min="8194" max="8194" width="27.54296875" style="76" bestFit="1" customWidth="1"/>
    <col min="8195" max="8195" width="20.1796875" style="76" customWidth="1"/>
    <col min="8196" max="8196" width="21.7265625" style="76" customWidth="1"/>
    <col min="8197" max="8197" width="18.81640625" style="76" customWidth="1"/>
    <col min="8198" max="8198" width="21.453125" style="76" customWidth="1"/>
    <col min="8199" max="8199" width="26.54296875" style="76" customWidth="1"/>
    <col min="8200" max="8448" width="9.1796875" style="76"/>
    <col min="8449" max="8449" width="0" style="76" hidden="1" customWidth="1"/>
    <col min="8450" max="8450" width="27.54296875" style="76" bestFit="1" customWidth="1"/>
    <col min="8451" max="8451" width="20.1796875" style="76" customWidth="1"/>
    <col min="8452" max="8452" width="21.7265625" style="76" customWidth="1"/>
    <col min="8453" max="8453" width="18.81640625" style="76" customWidth="1"/>
    <col min="8454" max="8454" width="21.453125" style="76" customWidth="1"/>
    <col min="8455" max="8455" width="26.54296875" style="76" customWidth="1"/>
    <col min="8456" max="8704" width="9.1796875" style="76"/>
    <col min="8705" max="8705" width="0" style="76" hidden="1" customWidth="1"/>
    <col min="8706" max="8706" width="27.54296875" style="76" bestFit="1" customWidth="1"/>
    <col min="8707" max="8707" width="20.1796875" style="76" customWidth="1"/>
    <col min="8708" max="8708" width="21.7265625" style="76" customWidth="1"/>
    <col min="8709" max="8709" width="18.81640625" style="76" customWidth="1"/>
    <col min="8710" max="8710" width="21.453125" style="76" customWidth="1"/>
    <col min="8711" max="8711" width="26.54296875" style="76" customWidth="1"/>
    <col min="8712" max="8960" width="9.1796875" style="76"/>
    <col min="8961" max="8961" width="0" style="76" hidden="1" customWidth="1"/>
    <col min="8962" max="8962" width="27.54296875" style="76" bestFit="1" customWidth="1"/>
    <col min="8963" max="8963" width="20.1796875" style="76" customWidth="1"/>
    <col min="8964" max="8964" width="21.7265625" style="76" customWidth="1"/>
    <col min="8965" max="8965" width="18.81640625" style="76" customWidth="1"/>
    <col min="8966" max="8966" width="21.453125" style="76" customWidth="1"/>
    <col min="8967" max="8967" width="26.54296875" style="76" customWidth="1"/>
    <col min="8968" max="9216" width="9.1796875" style="76"/>
    <col min="9217" max="9217" width="0" style="76" hidden="1" customWidth="1"/>
    <col min="9218" max="9218" width="27.54296875" style="76" bestFit="1" customWidth="1"/>
    <col min="9219" max="9219" width="20.1796875" style="76" customWidth="1"/>
    <col min="9220" max="9220" width="21.7265625" style="76" customWidth="1"/>
    <col min="9221" max="9221" width="18.81640625" style="76" customWidth="1"/>
    <col min="9222" max="9222" width="21.453125" style="76" customWidth="1"/>
    <col min="9223" max="9223" width="26.54296875" style="76" customWidth="1"/>
    <col min="9224" max="9472" width="9.1796875" style="76"/>
    <col min="9473" max="9473" width="0" style="76" hidden="1" customWidth="1"/>
    <col min="9474" max="9474" width="27.54296875" style="76" bestFit="1" customWidth="1"/>
    <col min="9475" max="9475" width="20.1796875" style="76" customWidth="1"/>
    <col min="9476" max="9476" width="21.7265625" style="76" customWidth="1"/>
    <col min="9477" max="9477" width="18.81640625" style="76" customWidth="1"/>
    <col min="9478" max="9478" width="21.453125" style="76" customWidth="1"/>
    <col min="9479" max="9479" width="26.54296875" style="76" customWidth="1"/>
    <col min="9480" max="9728" width="9.1796875" style="76"/>
    <col min="9729" max="9729" width="0" style="76" hidden="1" customWidth="1"/>
    <col min="9730" max="9730" width="27.54296875" style="76" bestFit="1" customWidth="1"/>
    <col min="9731" max="9731" width="20.1796875" style="76" customWidth="1"/>
    <col min="9732" max="9732" width="21.7265625" style="76" customWidth="1"/>
    <col min="9733" max="9733" width="18.81640625" style="76" customWidth="1"/>
    <col min="9734" max="9734" width="21.453125" style="76" customWidth="1"/>
    <col min="9735" max="9735" width="26.54296875" style="76" customWidth="1"/>
    <col min="9736" max="9984" width="9.1796875" style="76"/>
    <col min="9985" max="9985" width="0" style="76" hidden="1" customWidth="1"/>
    <col min="9986" max="9986" width="27.54296875" style="76" bestFit="1" customWidth="1"/>
    <col min="9987" max="9987" width="20.1796875" style="76" customWidth="1"/>
    <col min="9988" max="9988" width="21.7265625" style="76" customWidth="1"/>
    <col min="9989" max="9989" width="18.81640625" style="76" customWidth="1"/>
    <col min="9990" max="9990" width="21.453125" style="76" customWidth="1"/>
    <col min="9991" max="9991" width="26.54296875" style="76" customWidth="1"/>
    <col min="9992" max="10240" width="9.1796875" style="76"/>
    <col min="10241" max="10241" width="0" style="76" hidden="1" customWidth="1"/>
    <col min="10242" max="10242" width="27.54296875" style="76" bestFit="1" customWidth="1"/>
    <col min="10243" max="10243" width="20.1796875" style="76" customWidth="1"/>
    <col min="10244" max="10244" width="21.7265625" style="76" customWidth="1"/>
    <col min="10245" max="10245" width="18.81640625" style="76" customWidth="1"/>
    <col min="10246" max="10246" width="21.453125" style="76" customWidth="1"/>
    <col min="10247" max="10247" width="26.54296875" style="76" customWidth="1"/>
    <col min="10248" max="10496" width="9.1796875" style="76"/>
    <col min="10497" max="10497" width="0" style="76" hidden="1" customWidth="1"/>
    <col min="10498" max="10498" width="27.54296875" style="76" bestFit="1" customWidth="1"/>
    <col min="10499" max="10499" width="20.1796875" style="76" customWidth="1"/>
    <col min="10500" max="10500" width="21.7265625" style="76" customWidth="1"/>
    <col min="10501" max="10501" width="18.81640625" style="76" customWidth="1"/>
    <col min="10502" max="10502" width="21.453125" style="76" customWidth="1"/>
    <col min="10503" max="10503" width="26.54296875" style="76" customWidth="1"/>
    <col min="10504" max="10752" width="9.1796875" style="76"/>
    <col min="10753" max="10753" width="0" style="76" hidden="1" customWidth="1"/>
    <col min="10754" max="10754" width="27.54296875" style="76" bestFit="1" customWidth="1"/>
    <col min="10755" max="10755" width="20.1796875" style="76" customWidth="1"/>
    <col min="10756" max="10756" width="21.7265625" style="76" customWidth="1"/>
    <col min="10757" max="10757" width="18.81640625" style="76" customWidth="1"/>
    <col min="10758" max="10758" width="21.453125" style="76" customWidth="1"/>
    <col min="10759" max="10759" width="26.54296875" style="76" customWidth="1"/>
    <col min="10760" max="11008" width="9.1796875" style="76"/>
    <col min="11009" max="11009" width="0" style="76" hidden="1" customWidth="1"/>
    <col min="11010" max="11010" width="27.54296875" style="76" bestFit="1" customWidth="1"/>
    <col min="11011" max="11011" width="20.1796875" style="76" customWidth="1"/>
    <col min="11012" max="11012" width="21.7265625" style="76" customWidth="1"/>
    <col min="11013" max="11013" width="18.81640625" style="76" customWidth="1"/>
    <col min="11014" max="11014" width="21.453125" style="76" customWidth="1"/>
    <col min="11015" max="11015" width="26.54296875" style="76" customWidth="1"/>
    <col min="11016" max="11264" width="9.1796875" style="76"/>
    <col min="11265" max="11265" width="0" style="76" hidden="1" customWidth="1"/>
    <col min="11266" max="11266" width="27.54296875" style="76" bestFit="1" customWidth="1"/>
    <col min="11267" max="11267" width="20.1796875" style="76" customWidth="1"/>
    <col min="11268" max="11268" width="21.7265625" style="76" customWidth="1"/>
    <col min="11269" max="11269" width="18.81640625" style="76" customWidth="1"/>
    <col min="11270" max="11270" width="21.453125" style="76" customWidth="1"/>
    <col min="11271" max="11271" width="26.54296875" style="76" customWidth="1"/>
    <col min="11272" max="11520" width="9.1796875" style="76"/>
    <col min="11521" max="11521" width="0" style="76" hidden="1" customWidth="1"/>
    <col min="11522" max="11522" width="27.54296875" style="76" bestFit="1" customWidth="1"/>
    <col min="11523" max="11523" width="20.1796875" style="76" customWidth="1"/>
    <col min="11524" max="11524" width="21.7265625" style="76" customWidth="1"/>
    <col min="11525" max="11525" width="18.81640625" style="76" customWidth="1"/>
    <col min="11526" max="11526" width="21.453125" style="76" customWidth="1"/>
    <col min="11527" max="11527" width="26.54296875" style="76" customWidth="1"/>
    <col min="11528" max="11776" width="9.1796875" style="76"/>
    <col min="11777" max="11777" width="0" style="76" hidden="1" customWidth="1"/>
    <col min="11778" max="11778" width="27.54296875" style="76" bestFit="1" customWidth="1"/>
    <col min="11779" max="11779" width="20.1796875" style="76" customWidth="1"/>
    <col min="11780" max="11780" width="21.7265625" style="76" customWidth="1"/>
    <col min="11781" max="11781" width="18.81640625" style="76" customWidth="1"/>
    <col min="11782" max="11782" width="21.453125" style="76" customWidth="1"/>
    <col min="11783" max="11783" width="26.54296875" style="76" customWidth="1"/>
    <col min="11784" max="12032" width="9.1796875" style="76"/>
    <col min="12033" max="12033" width="0" style="76" hidden="1" customWidth="1"/>
    <col min="12034" max="12034" width="27.54296875" style="76" bestFit="1" customWidth="1"/>
    <col min="12035" max="12035" width="20.1796875" style="76" customWidth="1"/>
    <col min="12036" max="12036" width="21.7265625" style="76" customWidth="1"/>
    <col min="12037" max="12037" width="18.81640625" style="76" customWidth="1"/>
    <col min="12038" max="12038" width="21.453125" style="76" customWidth="1"/>
    <col min="12039" max="12039" width="26.54296875" style="76" customWidth="1"/>
    <col min="12040" max="12288" width="9.1796875" style="76"/>
    <col min="12289" max="12289" width="0" style="76" hidden="1" customWidth="1"/>
    <col min="12290" max="12290" width="27.54296875" style="76" bestFit="1" customWidth="1"/>
    <col min="12291" max="12291" width="20.1796875" style="76" customWidth="1"/>
    <col min="12292" max="12292" width="21.7265625" style="76" customWidth="1"/>
    <col min="12293" max="12293" width="18.81640625" style="76" customWidth="1"/>
    <col min="12294" max="12294" width="21.453125" style="76" customWidth="1"/>
    <col min="12295" max="12295" width="26.54296875" style="76" customWidth="1"/>
    <col min="12296" max="12544" width="9.1796875" style="76"/>
    <col min="12545" max="12545" width="0" style="76" hidden="1" customWidth="1"/>
    <col min="12546" max="12546" width="27.54296875" style="76" bestFit="1" customWidth="1"/>
    <col min="12547" max="12547" width="20.1796875" style="76" customWidth="1"/>
    <col min="12548" max="12548" width="21.7265625" style="76" customWidth="1"/>
    <col min="12549" max="12549" width="18.81640625" style="76" customWidth="1"/>
    <col min="12550" max="12550" width="21.453125" style="76" customWidth="1"/>
    <col min="12551" max="12551" width="26.54296875" style="76" customWidth="1"/>
    <col min="12552" max="12800" width="9.1796875" style="76"/>
    <col min="12801" max="12801" width="0" style="76" hidden="1" customWidth="1"/>
    <col min="12802" max="12802" width="27.54296875" style="76" bestFit="1" customWidth="1"/>
    <col min="12803" max="12803" width="20.1796875" style="76" customWidth="1"/>
    <col min="12804" max="12804" width="21.7265625" style="76" customWidth="1"/>
    <col min="12805" max="12805" width="18.81640625" style="76" customWidth="1"/>
    <col min="12806" max="12806" width="21.453125" style="76" customWidth="1"/>
    <col min="12807" max="12807" width="26.54296875" style="76" customWidth="1"/>
    <col min="12808" max="13056" width="9.1796875" style="76"/>
    <col min="13057" max="13057" width="0" style="76" hidden="1" customWidth="1"/>
    <col min="13058" max="13058" width="27.54296875" style="76" bestFit="1" customWidth="1"/>
    <col min="13059" max="13059" width="20.1796875" style="76" customWidth="1"/>
    <col min="13060" max="13060" width="21.7265625" style="76" customWidth="1"/>
    <col min="13061" max="13061" width="18.81640625" style="76" customWidth="1"/>
    <col min="13062" max="13062" width="21.453125" style="76" customWidth="1"/>
    <col min="13063" max="13063" width="26.54296875" style="76" customWidth="1"/>
    <col min="13064" max="13312" width="9.1796875" style="76"/>
    <col min="13313" max="13313" width="0" style="76" hidden="1" customWidth="1"/>
    <col min="13314" max="13314" width="27.54296875" style="76" bestFit="1" customWidth="1"/>
    <col min="13315" max="13315" width="20.1796875" style="76" customWidth="1"/>
    <col min="13316" max="13316" width="21.7265625" style="76" customWidth="1"/>
    <col min="13317" max="13317" width="18.81640625" style="76" customWidth="1"/>
    <col min="13318" max="13318" width="21.453125" style="76" customWidth="1"/>
    <col min="13319" max="13319" width="26.54296875" style="76" customWidth="1"/>
    <col min="13320" max="13568" width="9.1796875" style="76"/>
    <col min="13569" max="13569" width="0" style="76" hidden="1" customWidth="1"/>
    <col min="13570" max="13570" width="27.54296875" style="76" bestFit="1" customWidth="1"/>
    <col min="13571" max="13571" width="20.1796875" style="76" customWidth="1"/>
    <col min="13572" max="13572" width="21.7265625" style="76" customWidth="1"/>
    <col min="13573" max="13573" width="18.81640625" style="76" customWidth="1"/>
    <col min="13574" max="13574" width="21.453125" style="76" customWidth="1"/>
    <col min="13575" max="13575" width="26.54296875" style="76" customWidth="1"/>
    <col min="13576" max="13824" width="9.1796875" style="76"/>
    <col min="13825" max="13825" width="0" style="76" hidden="1" customWidth="1"/>
    <col min="13826" max="13826" width="27.54296875" style="76" bestFit="1" customWidth="1"/>
    <col min="13827" max="13827" width="20.1796875" style="76" customWidth="1"/>
    <col min="13828" max="13828" width="21.7265625" style="76" customWidth="1"/>
    <col min="13829" max="13829" width="18.81640625" style="76" customWidth="1"/>
    <col min="13830" max="13830" width="21.453125" style="76" customWidth="1"/>
    <col min="13831" max="13831" width="26.54296875" style="76" customWidth="1"/>
    <col min="13832" max="14080" width="9.1796875" style="76"/>
    <col min="14081" max="14081" width="0" style="76" hidden="1" customWidth="1"/>
    <col min="14082" max="14082" width="27.54296875" style="76" bestFit="1" customWidth="1"/>
    <col min="14083" max="14083" width="20.1796875" style="76" customWidth="1"/>
    <col min="14084" max="14084" width="21.7265625" style="76" customWidth="1"/>
    <col min="14085" max="14085" width="18.81640625" style="76" customWidth="1"/>
    <col min="14086" max="14086" width="21.453125" style="76" customWidth="1"/>
    <col min="14087" max="14087" width="26.54296875" style="76" customWidth="1"/>
    <col min="14088" max="14336" width="9.1796875" style="76"/>
    <col min="14337" max="14337" width="0" style="76" hidden="1" customWidth="1"/>
    <col min="14338" max="14338" width="27.54296875" style="76" bestFit="1" customWidth="1"/>
    <col min="14339" max="14339" width="20.1796875" style="76" customWidth="1"/>
    <col min="14340" max="14340" width="21.7265625" style="76" customWidth="1"/>
    <col min="14341" max="14341" width="18.81640625" style="76" customWidth="1"/>
    <col min="14342" max="14342" width="21.453125" style="76" customWidth="1"/>
    <col min="14343" max="14343" width="26.54296875" style="76" customWidth="1"/>
    <col min="14344" max="14592" width="9.1796875" style="76"/>
    <col min="14593" max="14593" width="0" style="76" hidden="1" customWidth="1"/>
    <col min="14594" max="14594" width="27.54296875" style="76" bestFit="1" customWidth="1"/>
    <col min="14595" max="14595" width="20.1796875" style="76" customWidth="1"/>
    <col min="14596" max="14596" width="21.7265625" style="76" customWidth="1"/>
    <col min="14597" max="14597" width="18.81640625" style="76" customWidth="1"/>
    <col min="14598" max="14598" width="21.453125" style="76" customWidth="1"/>
    <col min="14599" max="14599" width="26.54296875" style="76" customWidth="1"/>
    <col min="14600" max="14848" width="9.1796875" style="76"/>
    <col min="14849" max="14849" width="0" style="76" hidden="1" customWidth="1"/>
    <col min="14850" max="14850" width="27.54296875" style="76" bestFit="1" customWidth="1"/>
    <col min="14851" max="14851" width="20.1796875" style="76" customWidth="1"/>
    <col min="14852" max="14852" width="21.7265625" style="76" customWidth="1"/>
    <col min="14853" max="14853" width="18.81640625" style="76" customWidth="1"/>
    <col min="14854" max="14854" width="21.453125" style="76" customWidth="1"/>
    <col min="14855" max="14855" width="26.54296875" style="76" customWidth="1"/>
    <col min="14856" max="15104" width="9.1796875" style="76"/>
    <col min="15105" max="15105" width="0" style="76" hidden="1" customWidth="1"/>
    <col min="15106" max="15106" width="27.54296875" style="76" bestFit="1" customWidth="1"/>
    <col min="15107" max="15107" width="20.1796875" style="76" customWidth="1"/>
    <col min="15108" max="15108" width="21.7265625" style="76" customWidth="1"/>
    <col min="15109" max="15109" width="18.81640625" style="76" customWidth="1"/>
    <col min="15110" max="15110" width="21.453125" style="76" customWidth="1"/>
    <col min="15111" max="15111" width="26.54296875" style="76" customWidth="1"/>
    <col min="15112" max="15360" width="9.1796875" style="76"/>
    <col min="15361" max="15361" width="0" style="76" hidden="1" customWidth="1"/>
    <col min="15362" max="15362" width="27.54296875" style="76" bestFit="1" customWidth="1"/>
    <col min="15363" max="15363" width="20.1796875" style="76" customWidth="1"/>
    <col min="15364" max="15364" width="21.7265625" style="76" customWidth="1"/>
    <col min="15365" max="15365" width="18.81640625" style="76" customWidth="1"/>
    <col min="15366" max="15366" width="21.453125" style="76" customWidth="1"/>
    <col min="15367" max="15367" width="26.54296875" style="76" customWidth="1"/>
    <col min="15368" max="15616" width="9.1796875" style="76"/>
    <col min="15617" max="15617" width="0" style="76" hidden="1" customWidth="1"/>
    <col min="15618" max="15618" width="27.54296875" style="76" bestFit="1" customWidth="1"/>
    <col min="15619" max="15619" width="20.1796875" style="76" customWidth="1"/>
    <col min="15620" max="15620" width="21.7265625" style="76" customWidth="1"/>
    <col min="15621" max="15621" width="18.81640625" style="76" customWidth="1"/>
    <col min="15622" max="15622" width="21.453125" style="76" customWidth="1"/>
    <col min="15623" max="15623" width="26.54296875" style="76" customWidth="1"/>
    <col min="15624" max="15872" width="9.1796875" style="76"/>
    <col min="15873" max="15873" width="0" style="76" hidden="1" customWidth="1"/>
    <col min="15874" max="15874" width="27.54296875" style="76" bestFit="1" customWidth="1"/>
    <col min="15875" max="15875" width="20.1796875" style="76" customWidth="1"/>
    <col min="15876" max="15876" width="21.7265625" style="76" customWidth="1"/>
    <col min="15877" max="15877" width="18.81640625" style="76" customWidth="1"/>
    <col min="15878" max="15878" width="21.453125" style="76" customWidth="1"/>
    <col min="15879" max="15879" width="26.54296875" style="76" customWidth="1"/>
    <col min="15880" max="16128" width="9.1796875" style="76"/>
    <col min="16129" max="16129" width="0" style="76" hidden="1" customWidth="1"/>
    <col min="16130" max="16130" width="27.54296875" style="76" bestFit="1" customWidth="1"/>
    <col min="16131" max="16131" width="20.1796875" style="76" customWidth="1"/>
    <col min="16132" max="16132" width="21.7265625" style="76" customWidth="1"/>
    <col min="16133" max="16133" width="18.81640625" style="76" customWidth="1"/>
    <col min="16134" max="16134" width="21.453125" style="76" customWidth="1"/>
    <col min="16135" max="16135" width="26.54296875" style="76" customWidth="1"/>
    <col min="16136" max="16384" width="9.1796875" style="76"/>
  </cols>
  <sheetData>
    <row r="1" spans="1:13" s="55" customFormat="1" ht="41.25" customHeight="1" x14ac:dyDescent="0.35">
      <c r="B1" s="150" t="s">
        <v>80</v>
      </c>
      <c r="C1" s="148"/>
      <c r="D1" s="148"/>
      <c r="E1" s="148"/>
      <c r="F1" s="148"/>
      <c r="G1" s="151"/>
    </row>
    <row r="2" spans="1:13" s="56" customFormat="1" ht="28.5" customHeight="1" x14ac:dyDescent="0.35">
      <c r="C2" s="57" t="s">
        <v>1</v>
      </c>
      <c r="D2" s="57" t="s">
        <v>59</v>
      </c>
      <c r="E2" s="57" t="s">
        <v>60</v>
      </c>
      <c r="F2" s="57" t="s">
        <v>61</v>
      </c>
      <c r="G2" s="84" t="s">
        <v>5</v>
      </c>
    </row>
    <row r="3" spans="1:13" s="56" customFormat="1" ht="28.5" customHeight="1" x14ac:dyDescent="0.35">
      <c r="B3" s="60" t="s">
        <v>0</v>
      </c>
      <c r="C3" s="61">
        <v>1463</v>
      </c>
      <c r="D3" s="61">
        <v>1569</v>
      </c>
      <c r="E3" s="61">
        <v>167</v>
      </c>
      <c r="F3" s="61">
        <v>1029</v>
      </c>
      <c r="G3" s="61">
        <v>4228</v>
      </c>
      <c r="I3" s="85"/>
      <c r="J3" s="85"/>
      <c r="K3" s="85"/>
      <c r="L3" s="85"/>
      <c r="M3" s="85"/>
    </row>
    <row r="4" spans="1:13" s="60" customFormat="1" ht="25.5" customHeight="1" x14ac:dyDescent="0.35">
      <c r="A4" s="62"/>
      <c r="B4" s="60" t="s">
        <v>62</v>
      </c>
      <c r="C4" s="63">
        <v>753</v>
      </c>
      <c r="D4" s="63">
        <v>1510</v>
      </c>
      <c r="E4" s="63">
        <v>141</v>
      </c>
      <c r="F4" s="63">
        <v>735</v>
      </c>
      <c r="G4" s="61">
        <v>3139</v>
      </c>
      <c r="I4" s="85"/>
      <c r="J4" s="85"/>
      <c r="K4" s="85"/>
      <c r="L4" s="85"/>
      <c r="M4" s="85"/>
    </row>
    <row r="5" spans="1:13" s="65" customFormat="1" ht="12.75" customHeight="1" x14ac:dyDescent="0.35">
      <c r="A5" s="64">
        <v>51</v>
      </c>
      <c r="B5" s="65" t="s">
        <v>10</v>
      </c>
      <c r="C5" s="66">
        <v>32</v>
      </c>
      <c r="D5" s="66">
        <v>15</v>
      </c>
      <c r="E5" s="66">
        <v>1</v>
      </c>
      <c r="F5" s="66">
        <v>13</v>
      </c>
      <c r="G5" s="61">
        <v>61</v>
      </c>
      <c r="I5" s="85"/>
      <c r="J5" s="85"/>
      <c r="K5" s="85"/>
      <c r="L5" s="85"/>
      <c r="M5" s="85"/>
    </row>
    <row r="6" spans="1:13" s="65" customFormat="1" ht="12.75" customHeight="1" x14ac:dyDescent="0.35">
      <c r="A6" s="64">
        <v>52</v>
      </c>
      <c r="B6" s="65" t="s">
        <v>11</v>
      </c>
      <c r="C6" s="66">
        <v>18</v>
      </c>
      <c r="D6" s="66">
        <v>20</v>
      </c>
      <c r="E6" s="66">
        <v>0</v>
      </c>
      <c r="F6" s="66">
        <v>13</v>
      </c>
      <c r="G6" s="61">
        <v>51</v>
      </c>
      <c r="I6" s="85"/>
      <c r="J6" s="85"/>
      <c r="K6" s="85"/>
      <c r="L6" s="85"/>
      <c r="M6" s="85"/>
    </row>
    <row r="7" spans="1:13" s="65" customFormat="1" ht="12.75" customHeight="1" x14ac:dyDescent="0.35">
      <c r="A7" s="64">
        <v>86</v>
      </c>
      <c r="B7" s="65" t="s">
        <v>12</v>
      </c>
      <c r="C7" s="66">
        <v>23</v>
      </c>
      <c r="D7" s="66">
        <v>17</v>
      </c>
      <c r="E7" s="66">
        <v>2</v>
      </c>
      <c r="F7" s="66">
        <v>12</v>
      </c>
      <c r="G7" s="61">
        <v>54</v>
      </c>
      <c r="I7" s="85"/>
      <c r="J7" s="85"/>
      <c r="K7" s="85"/>
      <c r="L7" s="85"/>
      <c r="M7" s="85"/>
    </row>
    <row r="8" spans="1:13" s="65" customFormat="1" ht="14" x14ac:dyDescent="0.35">
      <c r="A8" s="64">
        <v>53</v>
      </c>
      <c r="B8" s="65" t="s">
        <v>13</v>
      </c>
      <c r="C8" s="66">
        <v>19</v>
      </c>
      <c r="D8" s="66">
        <v>47</v>
      </c>
      <c r="E8" s="66">
        <v>3</v>
      </c>
      <c r="F8" s="66">
        <v>32</v>
      </c>
      <c r="G8" s="61">
        <v>101</v>
      </c>
      <c r="I8" s="85"/>
      <c r="J8" s="85"/>
      <c r="K8" s="85"/>
      <c r="L8" s="85"/>
      <c r="M8" s="85"/>
    </row>
    <row r="9" spans="1:13" s="65" customFormat="1" ht="12.75" customHeight="1" x14ac:dyDescent="0.35">
      <c r="A9" s="64">
        <v>54</v>
      </c>
      <c r="B9" s="65" t="s">
        <v>14</v>
      </c>
      <c r="C9" s="66">
        <v>12</v>
      </c>
      <c r="D9" s="66">
        <v>70</v>
      </c>
      <c r="E9" s="66">
        <v>4</v>
      </c>
      <c r="F9" s="66">
        <v>19</v>
      </c>
      <c r="G9" s="61">
        <v>105</v>
      </c>
      <c r="I9" s="85"/>
      <c r="J9" s="85"/>
      <c r="K9" s="85"/>
      <c r="L9" s="85"/>
      <c r="M9" s="85"/>
    </row>
    <row r="10" spans="1:13" s="65" customFormat="1" ht="12.75" customHeight="1" x14ac:dyDescent="0.35">
      <c r="A10" s="64">
        <v>55</v>
      </c>
      <c r="B10" s="65" t="s">
        <v>15</v>
      </c>
      <c r="C10" s="66">
        <v>23</v>
      </c>
      <c r="D10" s="66">
        <v>39</v>
      </c>
      <c r="E10" s="66">
        <v>2</v>
      </c>
      <c r="F10" s="66">
        <v>40</v>
      </c>
      <c r="G10" s="61">
        <v>104</v>
      </c>
      <c r="I10" s="85"/>
      <c r="J10" s="85"/>
      <c r="K10" s="85"/>
      <c r="L10" s="85"/>
      <c r="M10" s="85"/>
    </row>
    <row r="11" spans="1:13" s="65" customFormat="1" ht="13.5" customHeight="1" x14ac:dyDescent="0.35">
      <c r="A11" s="64">
        <v>56</v>
      </c>
      <c r="B11" s="65" t="s">
        <v>16</v>
      </c>
      <c r="C11" s="66">
        <v>18</v>
      </c>
      <c r="D11" s="66">
        <v>8</v>
      </c>
      <c r="E11" s="66">
        <v>0</v>
      </c>
      <c r="F11" s="66">
        <v>16</v>
      </c>
      <c r="G11" s="61">
        <v>42</v>
      </c>
      <c r="I11" s="85"/>
      <c r="J11" s="85"/>
      <c r="K11" s="85"/>
      <c r="L11" s="85"/>
      <c r="M11" s="85"/>
    </row>
    <row r="12" spans="1:13" s="65" customFormat="1" ht="13.5" customHeight="1" x14ac:dyDescent="0.35">
      <c r="A12" s="64">
        <v>57</v>
      </c>
      <c r="B12" s="65" t="s">
        <v>17</v>
      </c>
      <c r="C12" s="66">
        <v>5</v>
      </c>
      <c r="D12" s="66">
        <v>17</v>
      </c>
      <c r="E12" s="66">
        <v>1</v>
      </c>
      <c r="F12" s="66">
        <v>49</v>
      </c>
      <c r="G12" s="61">
        <v>72</v>
      </c>
      <c r="I12" s="85"/>
      <c r="J12" s="85"/>
      <c r="K12" s="85"/>
      <c r="L12" s="85"/>
      <c r="M12" s="85"/>
    </row>
    <row r="13" spans="1:13" s="65" customFormat="1" ht="12.75" customHeight="1" x14ac:dyDescent="0.35">
      <c r="A13" s="64">
        <v>59</v>
      </c>
      <c r="B13" s="65" t="s">
        <v>18</v>
      </c>
      <c r="C13" s="66">
        <v>14</v>
      </c>
      <c r="D13" s="66">
        <v>48</v>
      </c>
      <c r="E13" s="66">
        <v>0</v>
      </c>
      <c r="F13" s="66">
        <v>9</v>
      </c>
      <c r="G13" s="61">
        <v>71</v>
      </c>
      <c r="I13" s="85"/>
      <c r="J13" s="85"/>
      <c r="K13" s="85"/>
      <c r="L13" s="85"/>
      <c r="M13" s="85"/>
    </row>
    <row r="14" spans="1:13" s="65" customFormat="1" ht="12.75" customHeight="1" x14ac:dyDescent="0.35">
      <c r="A14" s="64">
        <v>60</v>
      </c>
      <c r="B14" s="65" t="s">
        <v>19</v>
      </c>
      <c r="C14" s="66">
        <v>17</v>
      </c>
      <c r="D14" s="66">
        <v>29</v>
      </c>
      <c r="E14" s="66">
        <v>3</v>
      </c>
      <c r="F14" s="66">
        <v>18</v>
      </c>
      <c r="G14" s="61">
        <v>67</v>
      </c>
      <c r="I14" s="85"/>
      <c r="J14" s="85"/>
      <c r="K14" s="85"/>
      <c r="L14" s="85"/>
      <c r="M14" s="85"/>
    </row>
    <row r="15" spans="1:13" s="65" customFormat="1" ht="12.75" customHeight="1" x14ac:dyDescent="0.35">
      <c r="A15" s="64">
        <v>61</v>
      </c>
      <c r="B15" s="67" t="s">
        <v>63</v>
      </c>
      <c r="C15" s="66">
        <v>64</v>
      </c>
      <c r="D15" s="66">
        <v>114</v>
      </c>
      <c r="E15" s="66">
        <v>4</v>
      </c>
      <c r="F15" s="66">
        <v>48</v>
      </c>
      <c r="G15" s="61">
        <v>230</v>
      </c>
      <c r="I15" s="85"/>
      <c r="J15" s="85"/>
      <c r="K15" s="85"/>
      <c r="L15" s="85"/>
      <c r="M15" s="85"/>
    </row>
    <row r="16" spans="1:13" s="65" customFormat="1" ht="12.75" customHeight="1" x14ac:dyDescent="0.35">
      <c r="A16" s="64">
        <v>62</v>
      </c>
      <c r="B16" s="65" t="s">
        <v>106</v>
      </c>
      <c r="C16" s="66">
        <f>C62+C63</f>
        <v>21</v>
      </c>
      <c r="D16" s="66">
        <f t="shared" ref="D16:G16" si="0">D62+D63</f>
        <v>55</v>
      </c>
      <c r="E16" s="66">
        <f t="shared" si="0"/>
        <v>9</v>
      </c>
      <c r="F16" s="66">
        <f t="shared" si="0"/>
        <v>33</v>
      </c>
      <c r="G16" s="66">
        <f t="shared" si="0"/>
        <v>118</v>
      </c>
      <c r="I16" s="85"/>
      <c r="J16" s="85"/>
      <c r="K16" s="85"/>
      <c r="L16" s="85"/>
      <c r="M16" s="85"/>
    </row>
    <row r="17" spans="1:13" s="65" customFormat="1" ht="12.75" customHeight="1" x14ac:dyDescent="0.35">
      <c r="A17" s="64">
        <v>58</v>
      </c>
      <c r="B17" s="65" t="s">
        <v>22</v>
      </c>
      <c r="C17" s="66">
        <v>7</v>
      </c>
      <c r="D17" s="66">
        <v>20</v>
      </c>
      <c r="E17" s="66">
        <v>1</v>
      </c>
      <c r="F17" s="66">
        <v>17</v>
      </c>
      <c r="G17" s="61">
        <v>45</v>
      </c>
      <c r="I17" s="85"/>
      <c r="J17" s="85"/>
      <c r="K17" s="85"/>
      <c r="L17" s="85"/>
      <c r="M17" s="85"/>
    </row>
    <row r="18" spans="1:13" s="65" customFormat="1" ht="12.75" customHeight="1" x14ac:dyDescent="0.35">
      <c r="A18" s="64">
        <v>63</v>
      </c>
      <c r="B18" s="65" t="s">
        <v>23</v>
      </c>
      <c r="C18" s="66">
        <v>11</v>
      </c>
      <c r="D18" s="66">
        <v>27</v>
      </c>
      <c r="E18" s="66">
        <v>11</v>
      </c>
      <c r="F18" s="66">
        <v>19</v>
      </c>
      <c r="G18" s="61">
        <v>68</v>
      </c>
      <c r="I18" s="85"/>
      <c r="J18" s="85"/>
      <c r="K18" s="85"/>
      <c r="L18" s="85"/>
      <c r="M18" s="85"/>
    </row>
    <row r="19" spans="1:13" s="65" customFormat="1" ht="12.75" customHeight="1" x14ac:dyDescent="0.35">
      <c r="A19" s="64">
        <v>64</v>
      </c>
      <c r="B19" s="65" t="s">
        <v>24</v>
      </c>
      <c r="C19" s="66">
        <v>34</v>
      </c>
      <c r="D19" s="66">
        <v>50</v>
      </c>
      <c r="E19" s="66">
        <v>2</v>
      </c>
      <c r="F19" s="66">
        <v>33</v>
      </c>
      <c r="G19" s="61">
        <v>119</v>
      </c>
      <c r="I19" s="85"/>
      <c r="J19" s="85"/>
      <c r="K19" s="85"/>
      <c r="L19" s="85"/>
      <c r="M19" s="85"/>
    </row>
    <row r="20" spans="1:13" s="65" customFormat="1" ht="12.75" customHeight="1" x14ac:dyDescent="0.35">
      <c r="A20" s="64">
        <v>65</v>
      </c>
      <c r="B20" s="65" t="s">
        <v>25</v>
      </c>
      <c r="C20" s="66">
        <v>2</v>
      </c>
      <c r="D20" s="66">
        <v>31</v>
      </c>
      <c r="E20" s="66">
        <v>0</v>
      </c>
      <c r="F20" s="66">
        <v>5</v>
      </c>
      <c r="G20" s="61">
        <v>38</v>
      </c>
      <c r="I20" s="85"/>
      <c r="J20" s="85"/>
      <c r="K20" s="85"/>
      <c r="L20" s="85"/>
      <c r="M20" s="85"/>
    </row>
    <row r="21" spans="1:13" s="65" customFormat="1" ht="12.75" customHeight="1" x14ac:dyDescent="0.35">
      <c r="A21" s="64">
        <v>67</v>
      </c>
      <c r="B21" s="65" t="s">
        <v>28</v>
      </c>
      <c r="C21" s="66">
        <v>48</v>
      </c>
      <c r="D21" s="66">
        <v>102</v>
      </c>
      <c r="E21" s="66">
        <v>2</v>
      </c>
      <c r="F21" s="66">
        <v>65</v>
      </c>
      <c r="G21" s="61">
        <v>217</v>
      </c>
      <c r="I21" s="85"/>
      <c r="J21" s="85"/>
      <c r="K21" s="85"/>
      <c r="L21" s="85"/>
      <c r="M21" s="85"/>
    </row>
    <row r="22" spans="1:13" s="65" customFormat="1" ht="12.75" customHeight="1" x14ac:dyDescent="0.35">
      <c r="A22" s="64">
        <v>68</v>
      </c>
      <c r="B22" s="65" t="s">
        <v>64</v>
      </c>
      <c r="C22" s="66">
        <v>17</v>
      </c>
      <c r="D22" s="66">
        <v>32</v>
      </c>
      <c r="E22" s="66">
        <v>2</v>
      </c>
      <c r="F22" s="66">
        <v>25</v>
      </c>
      <c r="G22" s="61">
        <v>76</v>
      </c>
      <c r="I22" s="85"/>
      <c r="J22" s="85"/>
      <c r="K22" s="85"/>
      <c r="L22" s="85"/>
      <c r="M22" s="85"/>
    </row>
    <row r="23" spans="1:13" s="65" customFormat="1" ht="12.75" customHeight="1" x14ac:dyDescent="0.35">
      <c r="A23" s="64">
        <v>69</v>
      </c>
      <c r="B23" s="65" t="s">
        <v>30</v>
      </c>
      <c r="C23" s="66">
        <v>18</v>
      </c>
      <c r="D23" s="66">
        <v>39</v>
      </c>
      <c r="E23" s="66">
        <v>3</v>
      </c>
      <c r="F23" s="66">
        <v>12</v>
      </c>
      <c r="G23" s="61">
        <v>72</v>
      </c>
      <c r="I23" s="85"/>
      <c r="J23" s="85"/>
      <c r="K23" s="85"/>
      <c r="L23" s="85"/>
      <c r="M23" s="85"/>
    </row>
    <row r="24" spans="1:13" s="65" customFormat="1" ht="12.75" customHeight="1" x14ac:dyDescent="0.35">
      <c r="A24" s="64">
        <v>70</v>
      </c>
      <c r="B24" s="65" t="s">
        <v>31</v>
      </c>
      <c r="C24" s="66">
        <v>15</v>
      </c>
      <c r="D24" s="66">
        <v>37</v>
      </c>
      <c r="E24" s="66">
        <v>1</v>
      </c>
      <c r="F24" s="66">
        <v>16</v>
      </c>
      <c r="G24" s="61">
        <v>69</v>
      </c>
      <c r="I24" s="85"/>
      <c r="J24" s="85"/>
      <c r="K24" s="85"/>
      <c r="L24" s="85"/>
      <c r="M24" s="85"/>
    </row>
    <row r="25" spans="1:13" s="65" customFormat="1" ht="12.75" customHeight="1" x14ac:dyDescent="0.35">
      <c r="A25" s="64">
        <v>71</v>
      </c>
      <c r="B25" s="65" t="s">
        <v>65</v>
      </c>
      <c r="C25" s="66">
        <v>0</v>
      </c>
      <c r="D25" s="66">
        <v>6</v>
      </c>
      <c r="E25" s="66">
        <v>0</v>
      </c>
      <c r="F25" s="66">
        <v>1</v>
      </c>
      <c r="G25" s="61">
        <v>7</v>
      </c>
      <c r="I25" s="85"/>
      <c r="J25" s="85"/>
      <c r="K25" s="85"/>
      <c r="L25" s="85"/>
      <c r="M25" s="85"/>
    </row>
    <row r="26" spans="1:13" s="65" customFormat="1" ht="12.75" customHeight="1" x14ac:dyDescent="0.35">
      <c r="A26" s="64">
        <v>73</v>
      </c>
      <c r="B26" s="65" t="s">
        <v>34</v>
      </c>
      <c r="C26" s="66">
        <v>42</v>
      </c>
      <c r="D26" s="66">
        <v>66</v>
      </c>
      <c r="E26" s="66">
        <v>8</v>
      </c>
      <c r="F26" s="66">
        <v>47</v>
      </c>
      <c r="G26" s="61">
        <v>163</v>
      </c>
      <c r="I26" s="85"/>
      <c r="J26" s="85"/>
      <c r="K26" s="85"/>
      <c r="L26" s="85"/>
      <c r="M26" s="85"/>
    </row>
    <row r="27" spans="1:13" s="65" customFormat="1" ht="12.75" customHeight="1" x14ac:dyDescent="0.35">
      <c r="A27" s="64">
        <v>74</v>
      </c>
      <c r="B27" s="65" t="s">
        <v>35</v>
      </c>
      <c r="C27" s="66">
        <v>61</v>
      </c>
      <c r="D27" s="66">
        <v>47</v>
      </c>
      <c r="E27" s="66">
        <v>2</v>
      </c>
      <c r="F27" s="66">
        <v>47</v>
      </c>
      <c r="G27" s="61">
        <v>157</v>
      </c>
      <c r="I27" s="85"/>
      <c r="J27" s="85"/>
      <c r="K27" s="85"/>
      <c r="L27" s="85"/>
      <c r="M27" s="85"/>
    </row>
    <row r="28" spans="1:13" s="65" customFormat="1" ht="12.75" customHeight="1" x14ac:dyDescent="0.35">
      <c r="A28" s="64">
        <v>75</v>
      </c>
      <c r="B28" s="65" t="s">
        <v>36</v>
      </c>
      <c r="C28" s="66">
        <v>34</v>
      </c>
      <c r="D28" s="66">
        <v>56</v>
      </c>
      <c r="E28" s="66">
        <v>1</v>
      </c>
      <c r="F28" s="66">
        <v>11</v>
      </c>
      <c r="G28" s="61">
        <v>102</v>
      </c>
      <c r="I28" s="85"/>
      <c r="J28" s="85"/>
      <c r="K28" s="85"/>
      <c r="L28" s="85"/>
      <c r="M28" s="85"/>
    </row>
    <row r="29" spans="1:13" s="65" customFormat="1" ht="12.75" customHeight="1" x14ac:dyDescent="0.35">
      <c r="A29" s="64">
        <v>76</v>
      </c>
      <c r="B29" s="65" t="s">
        <v>37</v>
      </c>
      <c r="C29" s="66">
        <v>12</v>
      </c>
      <c r="D29" s="66">
        <v>58</v>
      </c>
      <c r="E29" s="66">
        <v>0</v>
      </c>
      <c r="F29" s="66">
        <v>2</v>
      </c>
      <c r="G29" s="61">
        <v>72</v>
      </c>
      <c r="I29" s="85"/>
      <c r="J29" s="85"/>
      <c r="K29" s="85"/>
      <c r="L29" s="85"/>
      <c r="M29" s="85"/>
    </row>
    <row r="30" spans="1:13" s="65" customFormat="1" ht="12.75" customHeight="1" x14ac:dyDescent="0.35">
      <c r="A30" s="64">
        <v>79</v>
      </c>
      <c r="B30" s="65" t="s">
        <v>39</v>
      </c>
      <c r="C30" s="66">
        <v>9</v>
      </c>
      <c r="D30" s="66">
        <v>42</v>
      </c>
      <c r="E30" s="66">
        <v>0</v>
      </c>
      <c r="F30" s="66">
        <v>6</v>
      </c>
      <c r="G30" s="61">
        <v>57</v>
      </c>
      <c r="I30" s="85"/>
      <c r="J30" s="85"/>
      <c r="K30" s="85"/>
      <c r="L30" s="85"/>
      <c r="M30" s="85"/>
    </row>
    <row r="31" spans="1:13" s="65" customFormat="1" ht="12.75" customHeight="1" x14ac:dyDescent="0.35">
      <c r="A31" s="64"/>
      <c r="B31" s="96" t="s">
        <v>40</v>
      </c>
      <c r="C31" s="97" t="s">
        <v>75</v>
      </c>
      <c r="D31" s="97" t="s">
        <v>75</v>
      </c>
      <c r="E31" s="97" t="s">
        <v>75</v>
      </c>
      <c r="F31" s="97" t="s">
        <v>75</v>
      </c>
      <c r="G31" s="98" t="s">
        <v>75</v>
      </c>
      <c r="I31" s="85"/>
      <c r="J31" s="85"/>
      <c r="K31" s="85"/>
      <c r="L31" s="85"/>
      <c r="M31" s="85"/>
    </row>
    <row r="32" spans="1:13" s="65" customFormat="1" ht="12.75" customHeight="1" x14ac:dyDescent="0.35">
      <c r="A32" s="64">
        <v>80</v>
      </c>
      <c r="B32" s="65" t="s">
        <v>41</v>
      </c>
      <c r="C32" s="66">
        <v>9</v>
      </c>
      <c r="D32" s="66">
        <v>39</v>
      </c>
      <c r="E32" s="66">
        <v>6</v>
      </c>
      <c r="F32" s="66">
        <v>11</v>
      </c>
      <c r="G32" s="61">
        <v>65</v>
      </c>
      <c r="I32" s="85"/>
      <c r="J32" s="85"/>
      <c r="K32" s="85"/>
      <c r="L32" s="85"/>
      <c r="M32" s="85"/>
    </row>
    <row r="33" spans="1:13" s="65" customFormat="1" ht="13.5" customHeight="1" x14ac:dyDescent="0.35">
      <c r="A33" s="64">
        <v>81</v>
      </c>
      <c r="B33" s="65" t="s">
        <v>42</v>
      </c>
      <c r="C33" s="66">
        <v>25</v>
      </c>
      <c r="D33" s="66">
        <v>48</v>
      </c>
      <c r="E33" s="66">
        <v>1</v>
      </c>
      <c r="F33" s="66">
        <v>14</v>
      </c>
      <c r="G33" s="61">
        <v>88</v>
      </c>
      <c r="I33" s="85"/>
      <c r="J33" s="85"/>
      <c r="K33" s="85"/>
      <c r="L33" s="85"/>
      <c r="M33" s="85"/>
    </row>
    <row r="34" spans="1:13" s="65" customFormat="1" ht="13.5" customHeight="1" x14ac:dyDescent="0.35">
      <c r="A34" s="64">
        <v>83</v>
      </c>
      <c r="B34" s="65" t="s">
        <v>43</v>
      </c>
      <c r="C34" s="66">
        <v>6</v>
      </c>
      <c r="D34" s="66">
        <v>30</v>
      </c>
      <c r="E34" s="66">
        <v>3</v>
      </c>
      <c r="F34" s="66">
        <v>10</v>
      </c>
      <c r="G34" s="61">
        <v>49</v>
      </c>
      <c r="I34" s="85"/>
      <c r="J34" s="85"/>
      <c r="K34" s="85"/>
      <c r="L34" s="85"/>
      <c r="M34" s="85"/>
    </row>
    <row r="35" spans="1:13" s="65" customFormat="1" ht="14.25" customHeight="1" x14ac:dyDescent="0.35">
      <c r="A35" s="64">
        <v>84</v>
      </c>
      <c r="B35" s="65" t="s">
        <v>44</v>
      </c>
      <c r="C35" s="66">
        <v>35</v>
      </c>
      <c r="D35" s="66">
        <v>40</v>
      </c>
      <c r="E35" s="66">
        <v>4</v>
      </c>
      <c r="F35" s="66">
        <v>14</v>
      </c>
      <c r="G35" s="61">
        <v>93</v>
      </c>
      <c r="I35" s="85"/>
      <c r="J35" s="85"/>
      <c r="K35" s="85"/>
      <c r="L35" s="85"/>
      <c r="M35" s="85"/>
    </row>
    <row r="36" spans="1:13" s="65" customFormat="1" ht="12.75" customHeight="1" x14ac:dyDescent="0.35">
      <c r="A36" s="64">
        <v>85</v>
      </c>
      <c r="B36" s="65" t="s">
        <v>45</v>
      </c>
      <c r="C36" s="66">
        <v>6</v>
      </c>
      <c r="D36" s="66">
        <v>48</v>
      </c>
      <c r="E36" s="66">
        <v>3</v>
      </c>
      <c r="F36" s="66">
        <v>3</v>
      </c>
      <c r="G36" s="61">
        <v>60</v>
      </c>
      <c r="I36" s="85"/>
      <c r="J36" s="85"/>
      <c r="K36" s="85"/>
      <c r="L36" s="85"/>
      <c r="M36" s="85"/>
    </row>
    <row r="37" spans="1:13" s="65" customFormat="1" ht="12.75" customHeight="1" x14ac:dyDescent="0.35">
      <c r="A37" s="64">
        <v>87</v>
      </c>
      <c r="B37" s="65" t="s">
        <v>46</v>
      </c>
      <c r="C37" s="66">
        <v>7</v>
      </c>
      <c r="D37" s="66">
        <v>24</v>
      </c>
      <c r="E37" s="66">
        <v>1</v>
      </c>
      <c r="F37" s="66">
        <v>5</v>
      </c>
      <c r="G37" s="61">
        <v>37</v>
      </c>
      <c r="I37" s="85"/>
      <c r="J37" s="85"/>
      <c r="K37" s="85"/>
      <c r="L37" s="85"/>
      <c r="M37" s="85"/>
    </row>
    <row r="38" spans="1:13" s="65" customFormat="1" ht="12.75" customHeight="1" x14ac:dyDescent="0.35">
      <c r="A38" s="64">
        <v>90</v>
      </c>
      <c r="B38" s="65" t="s">
        <v>48</v>
      </c>
      <c r="C38" s="66">
        <v>32</v>
      </c>
      <c r="D38" s="66">
        <v>63</v>
      </c>
      <c r="E38" s="66">
        <v>22</v>
      </c>
      <c r="F38" s="66">
        <v>28</v>
      </c>
      <c r="G38" s="61">
        <v>145</v>
      </c>
      <c r="I38" s="85"/>
      <c r="J38" s="85"/>
      <c r="K38" s="85"/>
      <c r="L38" s="85"/>
      <c r="M38" s="85"/>
    </row>
    <row r="39" spans="1:13" s="65" customFormat="1" ht="12.75" customHeight="1" x14ac:dyDescent="0.35">
      <c r="A39" s="64">
        <v>91</v>
      </c>
      <c r="B39" s="65" t="s">
        <v>49</v>
      </c>
      <c r="C39" s="66">
        <v>16</v>
      </c>
      <c r="D39" s="66">
        <v>36</v>
      </c>
      <c r="E39" s="66">
        <v>0</v>
      </c>
      <c r="F39" s="66">
        <v>12</v>
      </c>
      <c r="G39" s="61">
        <v>64</v>
      </c>
      <c r="I39" s="85"/>
      <c r="J39" s="85"/>
      <c r="K39" s="85"/>
      <c r="L39" s="85"/>
      <c r="M39" s="85"/>
    </row>
    <row r="40" spans="1:13" s="65" customFormat="1" ht="12.75" customHeight="1" x14ac:dyDescent="0.35">
      <c r="A40" s="64">
        <v>92</v>
      </c>
      <c r="B40" s="65" t="s">
        <v>50</v>
      </c>
      <c r="C40" s="66">
        <v>17</v>
      </c>
      <c r="D40" s="66">
        <v>11</v>
      </c>
      <c r="E40" s="66">
        <v>4</v>
      </c>
      <c r="F40" s="66">
        <v>12</v>
      </c>
      <c r="G40" s="61">
        <v>44</v>
      </c>
      <c r="I40" s="85"/>
      <c r="J40" s="85"/>
      <c r="K40" s="85"/>
      <c r="L40" s="85"/>
      <c r="M40" s="85"/>
    </row>
    <row r="41" spans="1:13" s="65" customFormat="1" ht="12.75" customHeight="1" x14ac:dyDescent="0.35">
      <c r="A41" s="64">
        <v>94</v>
      </c>
      <c r="B41" s="65" t="s">
        <v>52</v>
      </c>
      <c r="C41" s="66">
        <v>7</v>
      </c>
      <c r="D41" s="66">
        <v>21</v>
      </c>
      <c r="E41" s="66">
        <v>1</v>
      </c>
      <c r="F41" s="66">
        <v>7</v>
      </c>
      <c r="G41" s="61">
        <v>36</v>
      </c>
      <c r="I41" s="85"/>
      <c r="J41" s="85"/>
      <c r="K41" s="85"/>
      <c r="L41" s="85"/>
      <c r="M41" s="85"/>
    </row>
    <row r="42" spans="1:13" s="65" customFormat="1" ht="12.75" customHeight="1" x14ac:dyDescent="0.35">
      <c r="A42" s="64">
        <v>96</v>
      </c>
      <c r="B42" s="65" t="s">
        <v>54</v>
      </c>
      <c r="C42" s="66">
        <v>17</v>
      </c>
      <c r="D42" s="66">
        <v>55</v>
      </c>
      <c r="E42" s="66">
        <v>34</v>
      </c>
      <c r="F42" s="66">
        <v>11</v>
      </c>
      <c r="G42" s="61">
        <v>117</v>
      </c>
      <c r="H42" s="68"/>
      <c r="I42" s="85"/>
      <c r="J42" s="85"/>
      <c r="K42" s="85"/>
      <c r="L42" s="85"/>
      <c r="M42" s="85"/>
    </row>
    <row r="43" spans="1:13" s="65" customFormat="1" ht="12.75" customHeight="1" x14ac:dyDescent="0.35">
      <c r="A43" s="64">
        <v>72</v>
      </c>
      <c r="B43" s="65" t="s">
        <v>33</v>
      </c>
      <c r="C43" s="66">
        <v>0</v>
      </c>
      <c r="D43" s="66">
        <v>3</v>
      </c>
      <c r="E43" s="66">
        <v>0</v>
      </c>
      <c r="F43" s="66">
        <v>0</v>
      </c>
      <c r="G43" s="61">
        <v>3</v>
      </c>
      <c r="I43" s="85"/>
      <c r="J43" s="85"/>
      <c r="K43" s="85"/>
      <c r="L43" s="85"/>
      <c r="M43" s="85"/>
    </row>
    <row r="44" spans="1:13" s="60" customFormat="1" ht="25.5" customHeight="1" x14ac:dyDescent="0.35">
      <c r="B44" s="60" t="s">
        <v>66</v>
      </c>
      <c r="C44" s="63">
        <v>710</v>
      </c>
      <c r="D44" s="63">
        <v>59</v>
      </c>
      <c r="E44" s="63">
        <v>26</v>
      </c>
      <c r="F44" s="63">
        <v>294</v>
      </c>
      <c r="G44" s="61">
        <v>1089</v>
      </c>
      <c r="I44" s="85"/>
      <c r="J44" s="85"/>
      <c r="K44" s="85"/>
      <c r="L44" s="85"/>
      <c r="M44" s="85"/>
    </row>
    <row r="45" spans="1:13" s="65" customFormat="1" ht="12.75" customHeight="1" x14ac:dyDescent="0.35">
      <c r="A45" s="64">
        <v>66</v>
      </c>
      <c r="B45" s="65" t="s">
        <v>27</v>
      </c>
      <c r="C45" s="66">
        <v>84</v>
      </c>
      <c r="D45" s="69">
        <v>2</v>
      </c>
      <c r="E45" s="69">
        <v>3</v>
      </c>
      <c r="F45" s="69">
        <v>52</v>
      </c>
      <c r="G45" s="61">
        <v>141</v>
      </c>
      <c r="I45" s="85"/>
      <c r="J45" s="85"/>
      <c r="K45" s="85"/>
      <c r="L45" s="85"/>
      <c r="M45" s="85"/>
    </row>
    <row r="46" spans="1:13" s="65" customFormat="1" ht="14.25" customHeight="1" x14ac:dyDescent="0.35">
      <c r="A46" s="64">
        <v>78</v>
      </c>
      <c r="B46" s="65" t="s">
        <v>38</v>
      </c>
      <c r="C46" s="66">
        <v>26</v>
      </c>
      <c r="D46" s="69">
        <v>29</v>
      </c>
      <c r="E46" s="69">
        <v>0</v>
      </c>
      <c r="F46" s="69">
        <v>34</v>
      </c>
      <c r="G46" s="61">
        <v>89</v>
      </c>
      <c r="I46" s="85"/>
      <c r="J46" s="85"/>
      <c r="K46" s="85"/>
      <c r="L46" s="85"/>
      <c r="M46" s="85"/>
    </row>
    <row r="47" spans="1:13" s="65" customFormat="1" ht="12.75" customHeight="1" x14ac:dyDescent="0.35">
      <c r="A47" s="64">
        <v>89</v>
      </c>
      <c r="B47" s="65" t="s">
        <v>47</v>
      </c>
      <c r="C47" s="66">
        <v>41</v>
      </c>
      <c r="D47" s="69">
        <v>9</v>
      </c>
      <c r="E47" s="69">
        <v>0</v>
      </c>
      <c r="F47" s="69">
        <v>22</v>
      </c>
      <c r="G47" s="61">
        <v>72</v>
      </c>
      <c r="I47" s="85"/>
      <c r="J47" s="85"/>
      <c r="K47" s="85"/>
      <c r="L47" s="85"/>
      <c r="M47" s="85"/>
    </row>
    <row r="48" spans="1:13" s="65" customFormat="1" ht="12.75" customHeight="1" x14ac:dyDescent="0.35">
      <c r="A48" s="64">
        <v>93</v>
      </c>
      <c r="B48" s="65" t="s">
        <v>67</v>
      </c>
      <c r="C48" s="66">
        <v>45</v>
      </c>
      <c r="D48" s="69">
        <v>0</v>
      </c>
      <c r="E48" s="69">
        <v>1</v>
      </c>
      <c r="F48" s="69">
        <v>25</v>
      </c>
      <c r="G48" s="61">
        <v>71</v>
      </c>
      <c r="I48" s="85"/>
      <c r="J48" s="85"/>
      <c r="K48" s="85"/>
      <c r="L48" s="85"/>
      <c r="M48" s="85"/>
    </row>
    <row r="49" spans="1:13" s="65" customFormat="1" ht="12.75" customHeight="1" x14ac:dyDescent="0.35">
      <c r="A49" s="64">
        <v>95</v>
      </c>
      <c r="B49" s="65" t="s">
        <v>53</v>
      </c>
      <c r="C49" s="66">
        <v>80</v>
      </c>
      <c r="D49" s="69">
        <v>0</v>
      </c>
      <c r="E49" s="69">
        <v>4</v>
      </c>
      <c r="F49" s="69">
        <v>63</v>
      </c>
      <c r="G49" s="61">
        <v>147</v>
      </c>
      <c r="I49" s="85"/>
      <c r="J49" s="85"/>
      <c r="K49" s="85"/>
      <c r="L49" s="85"/>
      <c r="M49" s="85"/>
    </row>
    <row r="50" spans="1:13" s="65" customFormat="1" ht="12.75" customHeight="1" x14ac:dyDescent="0.35">
      <c r="A50" s="64">
        <v>97</v>
      </c>
      <c r="B50" s="65" t="s">
        <v>55</v>
      </c>
      <c r="C50" s="66">
        <v>68</v>
      </c>
      <c r="D50" s="69">
        <v>19</v>
      </c>
      <c r="E50" s="69">
        <v>8</v>
      </c>
      <c r="F50" s="69">
        <v>16</v>
      </c>
      <c r="G50" s="61">
        <v>111</v>
      </c>
      <c r="I50" s="85"/>
      <c r="J50" s="85"/>
      <c r="K50" s="85"/>
      <c r="L50" s="85"/>
      <c r="M50" s="85"/>
    </row>
    <row r="51" spans="1:13" s="74" customFormat="1" ht="12.75" customHeight="1" x14ac:dyDescent="0.35">
      <c r="A51" s="64">
        <v>77</v>
      </c>
      <c r="B51" s="70" t="s">
        <v>26</v>
      </c>
      <c r="C51" s="71">
        <v>366</v>
      </c>
      <c r="D51" s="71">
        <v>0</v>
      </c>
      <c r="E51" s="72">
        <v>10</v>
      </c>
      <c r="F51" s="72">
        <v>82</v>
      </c>
      <c r="G51" s="73">
        <v>458</v>
      </c>
      <c r="I51" s="85"/>
      <c r="J51" s="85"/>
      <c r="K51" s="85"/>
      <c r="L51" s="85"/>
      <c r="M51" s="85"/>
    </row>
    <row r="52" spans="1:13" s="65" customFormat="1" ht="10.5" customHeight="1" x14ac:dyDescent="0.35">
      <c r="A52" s="64"/>
      <c r="C52" s="75"/>
      <c r="D52" s="75"/>
      <c r="E52" s="75"/>
      <c r="F52" s="75"/>
      <c r="G52" s="75"/>
      <c r="I52" s="76"/>
    </row>
    <row r="53" spans="1:13" s="65" customFormat="1" ht="13.5" customHeight="1" x14ac:dyDescent="0.35">
      <c r="A53" s="64"/>
      <c r="B53" s="65" t="s">
        <v>68</v>
      </c>
      <c r="H53" s="76"/>
      <c r="I53" s="76"/>
    </row>
    <row r="54" spans="1:13" s="65" customFormat="1" ht="13.5" customHeight="1" x14ac:dyDescent="0.35">
      <c r="A54" s="64"/>
      <c r="H54" s="76"/>
      <c r="I54" s="76"/>
    </row>
    <row r="55" spans="1:13" s="65" customFormat="1" x14ac:dyDescent="0.35">
      <c r="A55" s="64"/>
      <c r="B55" s="77" t="s">
        <v>69</v>
      </c>
      <c r="H55" s="76"/>
      <c r="I55" s="76"/>
    </row>
    <row r="56" spans="1:13" x14ac:dyDescent="0.35">
      <c r="A56" s="64"/>
      <c r="F56" s="78"/>
      <c r="G56" s="78"/>
    </row>
    <row r="57" spans="1:13" x14ac:dyDescent="0.35">
      <c r="A57" s="64"/>
    </row>
    <row r="58" spans="1:13" x14ac:dyDescent="0.35">
      <c r="A58" s="64"/>
    </row>
    <row r="59" spans="1:13" x14ac:dyDescent="0.35">
      <c r="A59" s="64"/>
      <c r="E59" s="79"/>
    </row>
    <row r="62" spans="1:13" ht="14" x14ac:dyDescent="0.35">
      <c r="B62" s="65" t="s">
        <v>21</v>
      </c>
      <c r="C62" s="66">
        <v>9</v>
      </c>
      <c r="D62" s="66">
        <v>25</v>
      </c>
      <c r="E62" s="66">
        <v>3</v>
      </c>
      <c r="F62" s="66">
        <v>16</v>
      </c>
      <c r="G62" s="61">
        <v>53</v>
      </c>
    </row>
    <row r="63" spans="1:13" ht="14" x14ac:dyDescent="0.35">
      <c r="B63" s="65" t="s">
        <v>56</v>
      </c>
      <c r="C63" s="66">
        <v>12</v>
      </c>
      <c r="D63" s="66">
        <v>30</v>
      </c>
      <c r="E63" s="66">
        <v>6</v>
      </c>
      <c r="F63" s="66">
        <v>17</v>
      </c>
      <c r="G63" s="61">
        <v>65</v>
      </c>
    </row>
  </sheetData>
  <mergeCells count="1">
    <mergeCell ref="B1:G1"/>
  </mergeCells>
  <printOptions horizontalCentered="1" verticalCentered="1"/>
  <pageMargins left="0.2" right="0.34" top="0.32" bottom="0.25" header="0.51181102362204722" footer="0.51181102362204722"/>
  <pageSetup paperSize="9" scale="65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63"/>
  <sheetViews>
    <sheetView showGridLines="0" zoomScale="85" zoomScaleNormal="100" workbookViewId="0">
      <pane xSplit="2" ySplit="2" topLeftCell="C3" activePane="bottomRight" state="frozen"/>
      <selection activeCell="A57" sqref="A57:F57"/>
      <selection pane="topRight" activeCell="A57" sqref="A57:F57"/>
      <selection pane="bottomLeft" activeCell="A57" sqref="A57:F57"/>
      <selection pane="bottomRight" activeCell="A57" sqref="A57:F57"/>
    </sheetView>
  </sheetViews>
  <sheetFormatPr defaultRowHeight="13" x14ac:dyDescent="0.35"/>
  <cols>
    <col min="1" max="1" width="3.54296875" style="45" hidden="1" customWidth="1"/>
    <col min="2" max="2" width="27.54296875" style="45" bestFit="1" customWidth="1"/>
    <col min="3" max="3" width="20.1796875" style="45" customWidth="1"/>
    <col min="4" max="4" width="21.7265625" style="45" customWidth="1"/>
    <col min="5" max="5" width="18.81640625" style="45" customWidth="1"/>
    <col min="6" max="6" width="21.453125" style="45" customWidth="1"/>
    <col min="7" max="7" width="26.54296875" style="45" customWidth="1"/>
    <col min="8" max="256" width="9.1796875" style="45"/>
    <col min="257" max="257" width="0" style="45" hidden="1" customWidth="1"/>
    <col min="258" max="258" width="27.54296875" style="45" bestFit="1" customWidth="1"/>
    <col min="259" max="259" width="20.1796875" style="45" customWidth="1"/>
    <col min="260" max="260" width="21.7265625" style="45" customWidth="1"/>
    <col min="261" max="261" width="18.81640625" style="45" customWidth="1"/>
    <col min="262" max="262" width="21.453125" style="45" customWidth="1"/>
    <col min="263" max="263" width="26.54296875" style="45" customWidth="1"/>
    <col min="264" max="512" width="9.1796875" style="45"/>
    <col min="513" max="513" width="0" style="45" hidden="1" customWidth="1"/>
    <col min="514" max="514" width="27.54296875" style="45" bestFit="1" customWidth="1"/>
    <col min="515" max="515" width="20.1796875" style="45" customWidth="1"/>
    <col min="516" max="516" width="21.7265625" style="45" customWidth="1"/>
    <col min="517" max="517" width="18.81640625" style="45" customWidth="1"/>
    <col min="518" max="518" width="21.453125" style="45" customWidth="1"/>
    <col min="519" max="519" width="26.54296875" style="45" customWidth="1"/>
    <col min="520" max="768" width="9.1796875" style="45"/>
    <col min="769" max="769" width="0" style="45" hidden="1" customWidth="1"/>
    <col min="770" max="770" width="27.54296875" style="45" bestFit="1" customWidth="1"/>
    <col min="771" max="771" width="20.1796875" style="45" customWidth="1"/>
    <col min="772" max="772" width="21.7265625" style="45" customWidth="1"/>
    <col min="773" max="773" width="18.81640625" style="45" customWidth="1"/>
    <col min="774" max="774" width="21.453125" style="45" customWidth="1"/>
    <col min="775" max="775" width="26.54296875" style="45" customWidth="1"/>
    <col min="776" max="1024" width="9.1796875" style="45"/>
    <col min="1025" max="1025" width="0" style="45" hidden="1" customWidth="1"/>
    <col min="1026" max="1026" width="27.54296875" style="45" bestFit="1" customWidth="1"/>
    <col min="1027" max="1027" width="20.1796875" style="45" customWidth="1"/>
    <col min="1028" max="1028" width="21.7265625" style="45" customWidth="1"/>
    <col min="1029" max="1029" width="18.81640625" style="45" customWidth="1"/>
    <col min="1030" max="1030" width="21.453125" style="45" customWidth="1"/>
    <col min="1031" max="1031" width="26.54296875" style="45" customWidth="1"/>
    <col min="1032" max="1280" width="9.1796875" style="45"/>
    <col min="1281" max="1281" width="0" style="45" hidden="1" customWidth="1"/>
    <col min="1282" max="1282" width="27.54296875" style="45" bestFit="1" customWidth="1"/>
    <col min="1283" max="1283" width="20.1796875" style="45" customWidth="1"/>
    <col min="1284" max="1284" width="21.7265625" style="45" customWidth="1"/>
    <col min="1285" max="1285" width="18.81640625" style="45" customWidth="1"/>
    <col min="1286" max="1286" width="21.453125" style="45" customWidth="1"/>
    <col min="1287" max="1287" width="26.54296875" style="45" customWidth="1"/>
    <col min="1288" max="1536" width="9.1796875" style="45"/>
    <col min="1537" max="1537" width="0" style="45" hidden="1" customWidth="1"/>
    <col min="1538" max="1538" width="27.54296875" style="45" bestFit="1" customWidth="1"/>
    <col min="1539" max="1539" width="20.1796875" style="45" customWidth="1"/>
    <col min="1540" max="1540" width="21.7265625" style="45" customWidth="1"/>
    <col min="1541" max="1541" width="18.81640625" style="45" customWidth="1"/>
    <col min="1542" max="1542" width="21.453125" style="45" customWidth="1"/>
    <col min="1543" max="1543" width="26.54296875" style="45" customWidth="1"/>
    <col min="1544" max="1792" width="9.1796875" style="45"/>
    <col min="1793" max="1793" width="0" style="45" hidden="1" customWidth="1"/>
    <col min="1794" max="1794" width="27.54296875" style="45" bestFit="1" customWidth="1"/>
    <col min="1795" max="1795" width="20.1796875" style="45" customWidth="1"/>
    <col min="1796" max="1796" width="21.7265625" style="45" customWidth="1"/>
    <col min="1797" max="1797" width="18.81640625" style="45" customWidth="1"/>
    <col min="1798" max="1798" width="21.453125" style="45" customWidth="1"/>
    <col min="1799" max="1799" width="26.54296875" style="45" customWidth="1"/>
    <col min="1800" max="2048" width="9.1796875" style="45"/>
    <col min="2049" max="2049" width="0" style="45" hidden="1" customWidth="1"/>
    <col min="2050" max="2050" width="27.54296875" style="45" bestFit="1" customWidth="1"/>
    <col min="2051" max="2051" width="20.1796875" style="45" customWidth="1"/>
    <col min="2052" max="2052" width="21.7265625" style="45" customWidth="1"/>
    <col min="2053" max="2053" width="18.81640625" style="45" customWidth="1"/>
    <col min="2054" max="2054" width="21.453125" style="45" customWidth="1"/>
    <col min="2055" max="2055" width="26.54296875" style="45" customWidth="1"/>
    <col min="2056" max="2304" width="9.1796875" style="45"/>
    <col min="2305" max="2305" width="0" style="45" hidden="1" customWidth="1"/>
    <col min="2306" max="2306" width="27.54296875" style="45" bestFit="1" customWidth="1"/>
    <col min="2307" max="2307" width="20.1796875" style="45" customWidth="1"/>
    <col min="2308" max="2308" width="21.7265625" style="45" customWidth="1"/>
    <col min="2309" max="2309" width="18.81640625" style="45" customWidth="1"/>
    <col min="2310" max="2310" width="21.453125" style="45" customWidth="1"/>
    <col min="2311" max="2311" width="26.54296875" style="45" customWidth="1"/>
    <col min="2312" max="2560" width="9.1796875" style="45"/>
    <col min="2561" max="2561" width="0" style="45" hidden="1" customWidth="1"/>
    <col min="2562" max="2562" width="27.54296875" style="45" bestFit="1" customWidth="1"/>
    <col min="2563" max="2563" width="20.1796875" style="45" customWidth="1"/>
    <col min="2564" max="2564" width="21.7265625" style="45" customWidth="1"/>
    <col min="2565" max="2565" width="18.81640625" style="45" customWidth="1"/>
    <col min="2566" max="2566" width="21.453125" style="45" customWidth="1"/>
    <col min="2567" max="2567" width="26.54296875" style="45" customWidth="1"/>
    <col min="2568" max="2816" width="9.1796875" style="45"/>
    <col min="2817" max="2817" width="0" style="45" hidden="1" customWidth="1"/>
    <col min="2818" max="2818" width="27.54296875" style="45" bestFit="1" customWidth="1"/>
    <col min="2819" max="2819" width="20.1796875" style="45" customWidth="1"/>
    <col min="2820" max="2820" width="21.7265625" style="45" customWidth="1"/>
    <col min="2821" max="2821" width="18.81640625" style="45" customWidth="1"/>
    <col min="2822" max="2822" width="21.453125" style="45" customWidth="1"/>
    <col min="2823" max="2823" width="26.54296875" style="45" customWidth="1"/>
    <col min="2824" max="3072" width="9.1796875" style="45"/>
    <col min="3073" max="3073" width="0" style="45" hidden="1" customWidth="1"/>
    <col min="3074" max="3074" width="27.54296875" style="45" bestFit="1" customWidth="1"/>
    <col min="3075" max="3075" width="20.1796875" style="45" customWidth="1"/>
    <col min="3076" max="3076" width="21.7265625" style="45" customWidth="1"/>
    <col min="3077" max="3077" width="18.81640625" style="45" customWidth="1"/>
    <col min="3078" max="3078" width="21.453125" style="45" customWidth="1"/>
    <col min="3079" max="3079" width="26.54296875" style="45" customWidth="1"/>
    <col min="3080" max="3328" width="9.1796875" style="45"/>
    <col min="3329" max="3329" width="0" style="45" hidden="1" customWidth="1"/>
    <col min="3330" max="3330" width="27.54296875" style="45" bestFit="1" customWidth="1"/>
    <col min="3331" max="3331" width="20.1796875" style="45" customWidth="1"/>
    <col min="3332" max="3332" width="21.7265625" style="45" customWidth="1"/>
    <col min="3333" max="3333" width="18.81640625" style="45" customWidth="1"/>
    <col min="3334" max="3334" width="21.453125" style="45" customWidth="1"/>
    <col min="3335" max="3335" width="26.54296875" style="45" customWidth="1"/>
    <col min="3336" max="3584" width="9.1796875" style="45"/>
    <col min="3585" max="3585" width="0" style="45" hidden="1" customWidth="1"/>
    <col min="3586" max="3586" width="27.54296875" style="45" bestFit="1" customWidth="1"/>
    <col min="3587" max="3587" width="20.1796875" style="45" customWidth="1"/>
    <col min="3588" max="3588" width="21.7265625" style="45" customWidth="1"/>
    <col min="3589" max="3589" width="18.81640625" style="45" customWidth="1"/>
    <col min="3590" max="3590" width="21.453125" style="45" customWidth="1"/>
    <col min="3591" max="3591" width="26.54296875" style="45" customWidth="1"/>
    <col min="3592" max="3840" width="9.1796875" style="45"/>
    <col min="3841" max="3841" width="0" style="45" hidden="1" customWidth="1"/>
    <col min="3842" max="3842" width="27.54296875" style="45" bestFit="1" customWidth="1"/>
    <col min="3843" max="3843" width="20.1796875" style="45" customWidth="1"/>
    <col min="3844" max="3844" width="21.7265625" style="45" customWidth="1"/>
    <col min="3845" max="3845" width="18.81640625" style="45" customWidth="1"/>
    <col min="3846" max="3846" width="21.453125" style="45" customWidth="1"/>
    <col min="3847" max="3847" width="26.54296875" style="45" customWidth="1"/>
    <col min="3848" max="4096" width="9.1796875" style="45"/>
    <col min="4097" max="4097" width="0" style="45" hidden="1" customWidth="1"/>
    <col min="4098" max="4098" width="27.54296875" style="45" bestFit="1" customWidth="1"/>
    <col min="4099" max="4099" width="20.1796875" style="45" customWidth="1"/>
    <col min="4100" max="4100" width="21.7265625" style="45" customWidth="1"/>
    <col min="4101" max="4101" width="18.81640625" style="45" customWidth="1"/>
    <col min="4102" max="4102" width="21.453125" style="45" customWidth="1"/>
    <col min="4103" max="4103" width="26.54296875" style="45" customWidth="1"/>
    <col min="4104" max="4352" width="9.1796875" style="45"/>
    <col min="4353" max="4353" width="0" style="45" hidden="1" customWidth="1"/>
    <col min="4354" max="4354" width="27.54296875" style="45" bestFit="1" customWidth="1"/>
    <col min="4355" max="4355" width="20.1796875" style="45" customWidth="1"/>
    <col min="4356" max="4356" width="21.7265625" style="45" customWidth="1"/>
    <col min="4357" max="4357" width="18.81640625" style="45" customWidth="1"/>
    <col min="4358" max="4358" width="21.453125" style="45" customWidth="1"/>
    <col min="4359" max="4359" width="26.54296875" style="45" customWidth="1"/>
    <col min="4360" max="4608" width="9.1796875" style="45"/>
    <col min="4609" max="4609" width="0" style="45" hidden="1" customWidth="1"/>
    <col min="4610" max="4610" width="27.54296875" style="45" bestFit="1" customWidth="1"/>
    <col min="4611" max="4611" width="20.1796875" style="45" customWidth="1"/>
    <col min="4612" max="4612" width="21.7265625" style="45" customWidth="1"/>
    <col min="4613" max="4613" width="18.81640625" style="45" customWidth="1"/>
    <col min="4614" max="4614" width="21.453125" style="45" customWidth="1"/>
    <col min="4615" max="4615" width="26.54296875" style="45" customWidth="1"/>
    <col min="4616" max="4864" width="9.1796875" style="45"/>
    <col min="4865" max="4865" width="0" style="45" hidden="1" customWidth="1"/>
    <col min="4866" max="4866" width="27.54296875" style="45" bestFit="1" customWidth="1"/>
    <col min="4867" max="4867" width="20.1796875" style="45" customWidth="1"/>
    <col min="4868" max="4868" width="21.7265625" style="45" customWidth="1"/>
    <col min="4869" max="4869" width="18.81640625" style="45" customWidth="1"/>
    <col min="4870" max="4870" width="21.453125" style="45" customWidth="1"/>
    <col min="4871" max="4871" width="26.54296875" style="45" customWidth="1"/>
    <col min="4872" max="5120" width="9.1796875" style="45"/>
    <col min="5121" max="5121" width="0" style="45" hidden="1" customWidth="1"/>
    <col min="5122" max="5122" width="27.54296875" style="45" bestFit="1" customWidth="1"/>
    <col min="5123" max="5123" width="20.1796875" style="45" customWidth="1"/>
    <col min="5124" max="5124" width="21.7265625" style="45" customWidth="1"/>
    <col min="5125" max="5125" width="18.81640625" style="45" customWidth="1"/>
    <col min="5126" max="5126" width="21.453125" style="45" customWidth="1"/>
    <col min="5127" max="5127" width="26.54296875" style="45" customWidth="1"/>
    <col min="5128" max="5376" width="9.1796875" style="45"/>
    <col min="5377" max="5377" width="0" style="45" hidden="1" customWidth="1"/>
    <col min="5378" max="5378" width="27.54296875" style="45" bestFit="1" customWidth="1"/>
    <col min="5379" max="5379" width="20.1796875" style="45" customWidth="1"/>
    <col min="5380" max="5380" width="21.7265625" style="45" customWidth="1"/>
    <col min="5381" max="5381" width="18.81640625" style="45" customWidth="1"/>
    <col min="5382" max="5382" width="21.453125" style="45" customWidth="1"/>
    <col min="5383" max="5383" width="26.54296875" style="45" customWidth="1"/>
    <col min="5384" max="5632" width="9.1796875" style="45"/>
    <col min="5633" max="5633" width="0" style="45" hidden="1" customWidth="1"/>
    <col min="5634" max="5634" width="27.54296875" style="45" bestFit="1" customWidth="1"/>
    <col min="5635" max="5635" width="20.1796875" style="45" customWidth="1"/>
    <col min="5636" max="5636" width="21.7265625" style="45" customWidth="1"/>
    <col min="5637" max="5637" width="18.81640625" style="45" customWidth="1"/>
    <col min="5638" max="5638" width="21.453125" style="45" customWidth="1"/>
    <col min="5639" max="5639" width="26.54296875" style="45" customWidth="1"/>
    <col min="5640" max="5888" width="9.1796875" style="45"/>
    <col min="5889" max="5889" width="0" style="45" hidden="1" customWidth="1"/>
    <col min="5890" max="5890" width="27.54296875" style="45" bestFit="1" customWidth="1"/>
    <col min="5891" max="5891" width="20.1796875" style="45" customWidth="1"/>
    <col min="5892" max="5892" width="21.7265625" style="45" customWidth="1"/>
    <col min="5893" max="5893" width="18.81640625" style="45" customWidth="1"/>
    <col min="5894" max="5894" width="21.453125" style="45" customWidth="1"/>
    <col min="5895" max="5895" width="26.54296875" style="45" customWidth="1"/>
    <col min="5896" max="6144" width="9.1796875" style="45"/>
    <col min="6145" max="6145" width="0" style="45" hidden="1" customWidth="1"/>
    <col min="6146" max="6146" width="27.54296875" style="45" bestFit="1" customWidth="1"/>
    <col min="6147" max="6147" width="20.1796875" style="45" customWidth="1"/>
    <col min="6148" max="6148" width="21.7265625" style="45" customWidth="1"/>
    <col min="6149" max="6149" width="18.81640625" style="45" customWidth="1"/>
    <col min="6150" max="6150" width="21.453125" style="45" customWidth="1"/>
    <col min="6151" max="6151" width="26.54296875" style="45" customWidth="1"/>
    <col min="6152" max="6400" width="9.1796875" style="45"/>
    <col min="6401" max="6401" width="0" style="45" hidden="1" customWidth="1"/>
    <col min="6402" max="6402" width="27.54296875" style="45" bestFit="1" customWidth="1"/>
    <col min="6403" max="6403" width="20.1796875" style="45" customWidth="1"/>
    <col min="6404" max="6404" width="21.7265625" style="45" customWidth="1"/>
    <col min="6405" max="6405" width="18.81640625" style="45" customWidth="1"/>
    <col min="6406" max="6406" width="21.453125" style="45" customWidth="1"/>
    <col min="6407" max="6407" width="26.54296875" style="45" customWidth="1"/>
    <col min="6408" max="6656" width="9.1796875" style="45"/>
    <col min="6657" max="6657" width="0" style="45" hidden="1" customWidth="1"/>
    <col min="6658" max="6658" width="27.54296875" style="45" bestFit="1" customWidth="1"/>
    <col min="6659" max="6659" width="20.1796875" style="45" customWidth="1"/>
    <col min="6660" max="6660" width="21.7265625" style="45" customWidth="1"/>
    <col min="6661" max="6661" width="18.81640625" style="45" customWidth="1"/>
    <col min="6662" max="6662" width="21.453125" style="45" customWidth="1"/>
    <col min="6663" max="6663" width="26.54296875" style="45" customWidth="1"/>
    <col min="6664" max="6912" width="9.1796875" style="45"/>
    <col min="6913" max="6913" width="0" style="45" hidden="1" customWidth="1"/>
    <col min="6914" max="6914" width="27.54296875" style="45" bestFit="1" customWidth="1"/>
    <col min="6915" max="6915" width="20.1796875" style="45" customWidth="1"/>
    <col min="6916" max="6916" width="21.7265625" style="45" customWidth="1"/>
    <col min="6917" max="6917" width="18.81640625" style="45" customWidth="1"/>
    <col min="6918" max="6918" width="21.453125" style="45" customWidth="1"/>
    <col min="6919" max="6919" width="26.54296875" style="45" customWidth="1"/>
    <col min="6920" max="7168" width="9.1796875" style="45"/>
    <col min="7169" max="7169" width="0" style="45" hidden="1" customWidth="1"/>
    <col min="7170" max="7170" width="27.54296875" style="45" bestFit="1" customWidth="1"/>
    <col min="7171" max="7171" width="20.1796875" style="45" customWidth="1"/>
    <col min="7172" max="7172" width="21.7265625" style="45" customWidth="1"/>
    <col min="7173" max="7173" width="18.81640625" style="45" customWidth="1"/>
    <col min="7174" max="7174" width="21.453125" style="45" customWidth="1"/>
    <col min="7175" max="7175" width="26.54296875" style="45" customWidth="1"/>
    <col min="7176" max="7424" width="9.1796875" style="45"/>
    <col min="7425" max="7425" width="0" style="45" hidden="1" customWidth="1"/>
    <col min="7426" max="7426" width="27.54296875" style="45" bestFit="1" customWidth="1"/>
    <col min="7427" max="7427" width="20.1796875" style="45" customWidth="1"/>
    <col min="7428" max="7428" width="21.7265625" style="45" customWidth="1"/>
    <col min="7429" max="7429" width="18.81640625" style="45" customWidth="1"/>
    <col min="7430" max="7430" width="21.453125" style="45" customWidth="1"/>
    <col min="7431" max="7431" width="26.54296875" style="45" customWidth="1"/>
    <col min="7432" max="7680" width="9.1796875" style="45"/>
    <col min="7681" max="7681" width="0" style="45" hidden="1" customWidth="1"/>
    <col min="7682" max="7682" width="27.54296875" style="45" bestFit="1" customWidth="1"/>
    <col min="7683" max="7683" width="20.1796875" style="45" customWidth="1"/>
    <col min="7684" max="7684" width="21.7265625" style="45" customWidth="1"/>
    <col min="7685" max="7685" width="18.81640625" style="45" customWidth="1"/>
    <col min="7686" max="7686" width="21.453125" style="45" customWidth="1"/>
    <col min="7687" max="7687" width="26.54296875" style="45" customWidth="1"/>
    <col min="7688" max="7936" width="9.1796875" style="45"/>
    <col min="7937" max="7937" width="0" style="45" hidden="1" customWidth="1"/>
    <col min="7938" max="7938" width="27.54296875" style="45" bestFit="1" customWidth="1"/>
    <col min="7939" max="7939" width="20.1796875" style="45" customWidth="1"/>
    <col min="7940" max="7940" width="21.7265625" style="45" customWidth="1"/>
    <col min="7941" max="7941" width="18.81640625" style="45" customWidth="1"/>
    <col min="7942" max="7942" width="21.453125" style="45" customWidth="1"/>
    <col min="7943" max="7943" width="26.54296875" style="45" customWidth="1"/>
    <col min="7944" max="8192" width="9.1796875" style="45"/>
    <col min="8193" max="8193" width="0" style="45" hidden="1" customWidth="1"/>
    <col min="8194" max="8194" width="27.54296875" style="45" bestFit="1" customWidth="1"/>
    <col min="8195" max="8195" width="20.1796875" style="45" customWidth="1"/>
    <col min="8196" max="8196" width="21.7265625" style="45" customWidth="1"/>
    <col min="8197" max="8197" width="18.81640625" style="45" customWidth="1"/>
    <col min="8198" max="8198" width="21.453125" style="45" customWidth="1"/>
    <col min="8199" max="8199" width="26.54296875" style="45" customWidth="1"/>
    <col min="8200" max="8448" width="9.1796875" style="45"/>
    <col min="8449" max="8449" width="0" style="45" hidden="1" customWidth="1"/>
    <col min="8450" max="8450" width="27.54296875" style="45" bestFit="1" customWidth="1"/>
    <col min="8451" max="8451" width="20.1796875" style="45" customWidth="1"/>
    <col min="8452" max="8452" width="21.7265625" style="45" customWidth="1"/>
    <col min="8453" max="8453" width="18.81640625" style="45" customWidth="1"/>
    <col min="8454" max="8454" width="21.453125" style="45" customWidth="1"/>
    <col min="8455" max="8455" width="26.54296875" style="45" customWidth="1"/>
    <col min="8456" max="8704" width="9.1796875" style="45"/>
    <col min="8705" max="8705" width="0" style="45" hidden="1" customWidth="1"/>
    <col min="8706" max="8706" width="27.54296875" style="45" bestFit="1" customWidth="1"/>
    <col min="8707" max="8707" width="20.1796875" style="45" customWidth="1"/>
    <col min="8708" max="8708" width="21.7265625" style="45" customWidth="1"/>
    <col min="8709" max="8709" width="18.81640625" style="45" customWidth="1"/>
    <col min="8710" max="8710" width="21.453125" style="45" customWidth="1"/>
    <col min="8711" max="8711" width="26.54296875" style="45" customWidth="1"/>
    <col min="8712" max="8960" width="9.1796875" style="45"/>
    <col min="8961" max="8961" width="0" style="45" hidden="1" customWidth="1"/>
    <col min="8962" max="8962" width="27.54296875" style="45" bestFit="1" customWidth="1"/>
    <col min="8963" max="8963" width="20.1796875" style="45" customWidth="1"/>
    <col min="8964" max="8964" width="21.7265625" style="45" customWidth="1"/>
    <col min="8965" max="8965" width="18.81640625" style="45" customWidth="1"/>
    <col min="8966" max="8966" width="21.453125" style="45" customWidth="1"/>
    <col min="8967" max="8967" width="26.54296875" style="45" customWidth="1"/>
    <col min="8968" max="9216" width="9.1796875" style="45"/>
    <col min="9217" max="9217" width="0" style="45" hidden="1" customWidth="1"/>
    <col min="9218" max="9218" width="27.54296875" style="45" bestFit="1" customWidth="1"/>
    <col min="9219" max="9219" width="20.1796875" style="45" customWidth="1"/>
    <col min="9220" max="9220" width="21.7265625" style="45" customWidth="1"/>
    <col min="9221" max="9221" width="18.81640625" style="45" customWidth="1"/>
    <col min="9222" max="9222" width="21.453125" style="45" customWidth="1"/>
    <col min="9223" max="9223" width="26.54296875" style="45" customWidth="1"/>
    <col min="9224" max="9472" width="9.1796875" style="45"/>
    <col min="9473" max="9473" width="0" style="45" hidden="1" customWidth="1"/>
    <col min="9474" max="9474" width="27.54296875" style="45" bestFit="1" customWidth="1"/>
    <col min="9475" max="9475" width="20.1796875" style="45" customWidth="1"/>
    <col min="9476" max="9476" width="21.7265625" style="45" customWidth="1"/>
    <col min="9477" max="9477" width="18.81640625" style="45" customWidth="1"/>
    <col min="9478" max="9478" width="21.453125" style="45" customWidth="1"/>
    <col min="9479" max="9479" width="26.54296875" style="45" customWidth="1"/>
    <col min="9480" max="9728" width="9.1796875" style="45"/>
    <col min="9729" max="9729" width="0" style="45" hidden="1" customWidth="1"/>
    <col min="9730" max="9730" width="27.54296875" style="45" bestFit="1" customWidth="1"/>
    <col min="9731" max="9731" width="20.1796875" style="45" customWidth="1"/>
    <col min="9732" max="9732" width="21.7265625" style="45" customWidth="1"/>
    <col min="9733" max="9733" width="18.81640625" style="45" customWidth="1"/>
    <col min="9734" max="9734" width="21.453125" style="45" customWidth="1"/>
    <col min="9735" max="9735" width="26.54296875" style="45" customWidth="1"/>
    <col min="9736" max="9984" width="9.1796875" style="45"/>
    <col min="9985" max="9985" width="0" style="45" hidden="1" customWidth="1"/>
    <col min="9986" max="9986" width="27.54296875" style="45" bestFit="1" customWidth="1"/>
    <col min="9987" max="9987" width="20.1796875" style="45" customWidth="1"/>
    <col min="9988" max="9988" width="21.7265625" style="45" customWidth="1"/>
    <col min="9989" max="9989" width="18.81640625" style="45" customWidth="1"/>
    <col min="9990" max="9990" width="21.453125" style="45" customWidth="1"/>
    <col min="9991" max="9991" width="26.54296875" style="45" customWidth="1"/>
    <col min="9992" max="10240" width="9.1796875" style="45"/>
    <col min="10241" max="10241" width="0" style="45" hidden="1" customWidth="1"/>
    <col min="10242" max="10242" width="27.54296875" style="45" bestFit="1" customWidth="1"/>
    <col min="10243" max="10243" width="20.1796875" style="45" customWidth="1"/>
    <col min="10244" max="10244" width="21.7265625" style="45" customWidth="1"/>
    <col min="10245" max="10245" width="18.81640625" style="45" customWidth="1"/>
    <col min="10246" max="10246" width="21.453125" style="45" customWidth="1"/>
    <col min="10247" max="10247" width="26.54296875" style="45" customWidth="1"/>
    <col min="10248" max="10496" width="9.1796875" style="45"/>
    <col min="10497" max="10497" width="0" style="45" hidden="1" customWidth="1"/>
    <col min="10498" max="10498" width="27.54296875" style="45" bestFit="1" customWidth="1"/>
    <col min="10499" max="10499" width="20.1796875" style="45" customWidth="1"/>
    <col min="10500" max="10500" width="21.7265625" style="45" customWidth="1"/>
    <col min="10501" max="10501" width="18.81640625" style="45" customWidth="1"/>
    <col min="10502" max="10502" width="21.453125" style="45" customWidth="1"/>
    <col min="10503" max="10503" width="26.54296875" style="45" customWidth="1"/>
    <col min="10504" max="10752" width="9.1796875" style="45"/>
    <col min="10753" max="10753" width="0" style="45" hidden="1" customWidth="1"/>
    <col min="10754" max="10754" width="27.54296875" style="45" bestFit="1" customWidth="1"/>
    <col min="10755" max="10755" width="20.1796875" style="45" customWidth="1"/>
    <col min="10756" max="10756" width="21.7265625" style="45" customWidth="1"/>
    <col min="10757" max="10757" width="18.81640625" style="45" customWidth="1"/>
    <col min="10758" max="10758" width="21.453125" style="45" customWidth="1"/>
    <col min="10759" max="10759" width="26.54296875" style="45" customWidth="1"/>
    <col min="10760" max="11008" width="9.1796875" style="45"/>
    <col min="11009" max="11009" width="0" style="45" hidden="1" customWidth="1"/>
    <col min="11010" max="11010" width="27.54296875" style="45" bestFit="1" customWidth="1"/>
    <col min="11011" max="11011" width="20.1796875" style="45" customWidth="1"/>
    <col min="11012" max="11012" width="21.7265625" style="45" customWidth="1"/>
    <col min="11013" max="11013" width="18.81640625" style="45" customWidth="1"/>
    <col min="11014" max="11014" width="21.453125" style="45" customWidth="1"/>
    <col min="11015" max="11015" width="26.54296875" style="45" customWidth="1"/>
    <col min="11016" max="11264" width="9.1796875" style="45"/>
    <col min="11265" max="11265" width="0" style="45" hidden="1" customWidth="1"/>
    <col min="11266" max="11266" width="27.54296875" style="45" bestFit="1" customWidth="1"/>
    <col min="11267" max="11267" width="20.1796875" style="45" customWidth="1"/>
    <col min="11268" max="11268" width="21.7265625" style="45" customWidth="1"/>
    <col min="11269" max="11269" width="18.81640625" style="45" customWidth="1"/>
    <col min="11270" max="11270" width="21.453125" style="45" customWidth="1"/>
    <col min="11271" max="11271" width="26.54296875" style="45" customWidth="1"/>
    <col min="11272" max="11520" width="9.1796875" style="45"/>
    <col min="11521" max="11521" width="0" style="45" hidden="1" customWidth="1"/>
    <col min="11522" max="11522" width="27.54296875" style="45" bestFit="1" customWidth="1"/>
    <col min="11523" max="11523" width="20.1796875" style="45" customWidth="1"/>
    <col min="11524" max="11524" width="21.7265625" style="45" customWidth="1"/>
    <col min="11525" max="11525" width="18.81640625" style="45" customWidth="1"/>
    <col min="11526" max="11526" width="21.453125" style="45" customWidth="1"/>
    <col min="11527" max="11527" width="26.54296875" style="45" customWidth="1"/>
    <col min="11528" max="11776" width="9.1796875" style="45"/>
    <col min="11777" max="11777" width="0" style="45" hidden="1" customWidth="1"/>
    <col min="11778" max="11778" width="27.54296875" style="45" bestFit="1" customWidth="1"/>
    <col min="11779" max="11779" width="20.1796875" style="45" customWidth="1"/>
    <col min="11780" max="11780" width="21.7265625" style="45" customWidth="1"/>
    <col min="11781" max="11781" width="18.81640625" style="45" customWidth="1"/>
    <col min="11782" max="11782" width="21.453125" style="45" customWidth="1"/>
    <col min="11783" max="11783" width="26.54296875" style="45" customWidth="1"/>
    <col min="11784" max="12032" width="9.1796875" style="45"/>
    <col min="12033" max="12033" width="0" style="45" hidden="1" customWidth="1"/>
    <col min="12034" max="12034" width="27.54296875" style="45" bestFit="1" customWidth="1"/>
    <col min="12035" max="12035" width="20.1796875" style="45" customWidth="1"/>
    <col min="12036" max="12036" width="21.7265625" style="45" customWidth="1"/>
    <col min="12037" max="12037" width="18.81640625" style="45" customWidth="1"/>
    <col min="12038" max="12038" width="21.453125" style="45" customWidth="1"/>
    <col min="12039" max="12039" width="26.54296875" style="45" customWidth="1"/>
    <col min="12040" max="12288" width="9.1796875" style="45"/>
    <col min="12289" max="12289" width="0" style="45" hidden="1" customWidth="1"/>
    <col min="12290" max="12290" width="27.54296875" style="45" bestFit="1" customWidth="1"/>
    <col min="12291" max="12291" width="20.1796875" style="45" customWidth="1"/>
    <col min="12292" max="12292" width="21.7265625" style="45" customWidth="1"/>
    <col min="12293" max="12293" width="18.81640625" style="45" customWidth="1"/>
    <col min="12294" max="12294" width="21.453125" style="45" customWidth="1"/>
    <col min="12295" max="12295" width="26.54296875" style="45" customWidth="1"/>
    <col min="12296" max="12544" width="9.1796875" style="45"/>
    <col min="12545" max="12545" width="0" style="45" hidden="1" customWidth="1"/>
    <col min="12546" max="12546" width="27.54296875" style="45" bestFit="1" customWidth="1"/>
    <col min="12547" max="12547" width="20.1796875" style="45" customWidth="1"/>
    <col min="12548" max="12548" width="21.7265625" style="45" customWidth="1"/>
    <col min="12549" max="12549" width="18.81640625" style="45" customWidth="1"/>
    <col min="12550" max="12550" width="21.453125" style="45" customWidth="1"/>
    <col min="12551" max="12551" width="26.54296875" style="45" customWidth="1"/>
    <col min="12552" max="12800" width="9.1796875" style="45"/>
    <col min="12801" max="12801" width="0" style="45" hidden="1" customWidth="1"/>
    <col min="12802" max="12802" width="27.54296875" style="45" bestFit="1" customWidth="1"/>
    <col min="12803" max="12803" width="20.1796875" style="45" customWidth="1"/>
    <col min="12804" max="12804" width="21.7265625" style="45" customWidth="1"/>
    <col min="12805" max="12805" width="18.81640625" style="45" customWidth="1"/>
    <col min="12806" max="12806" width="21.453125" style="45" customWidth="1"/>
    <col min="12807" max="12807" width="26.54296875" style="45" customWidth="1"/>
    <col min="12808" max="13056" width="9.1796875" style="45"/>
    <col min="13057" max="13057" width="0" style="45" hidden="1" customWidth="1"/>
    <col min="13058" max="13058" width="27.54296875" style="45" bestFit="1" customWidth="1"/>
    <col min="13059" max="13059" width="20.1796875" style="45" customWidth="1"/>
    <col min="13060" max="13060" width="21.7265625" style="45" customWidth="1"/>
    <col min="13061" max="13061" width="18.81640625" style="45" customWidth="1"/>
    <col min="13062" max="13062" width="21.453125" style="45" customWidth="1"/>
    <col min="13063" max="13063" width="26.54296875" style="45" customWidth="1"/>
    <col min="13064" max="13312" width="9.1796875" style="45"/>
    <col min="13313" max="13313" width="0" style="45" hidden="1" customWidth="1"/>
    <col min="13314" max="13314" width="27.54296875" style="45" bestFit="1" customWidth="1"/>
    <col min="13315" max="13315" width="20.1796875" style="45" customWidth="1"/>
    <col min="13316" max="13316" width="21.7265625" style="45" customWidth="1"/>
    <col min="13317" max="13317" width="18.81640625" style="45" customWidth="1"/>
    <col min="13318" max="13318" width="21.453125" style="45" customWidth="1"/>
    <col min="13319" max="13319" width="26.54296875" style="45" customWidth="1"/>
    <col min="13320" max="13568" width="9.1796875" style="45"/>
    <col min="13569" max="13569" width="0" style="45" hidden="1" customWidth="1"/>
    <col min="13570" max="13570" width="27.54296875" style="45" bestFit="1" customWidth="1"/>
    <col min="13571" max="13571" width="20.1796875" style="45" customWidth="1"/>
    <col min="13572" max="13572" width="21.7265625" style="45" customWidth="1"/>
    <col min="13573" max="13573" width="18.81640625" style="45" customWidth="1"/>
    <col min="13574" max="13574" width="21.453125" style="45" customWidth="1"/>
    <col min="13575" max="13575" width="26.54296875" style="45" customWidth="1"/>
    <col min="13576" max="13824" width="9.1796875" style="45"/>
    <col min="13825" max="13825" width="0" style="45" hidden="1" customWidth="1"/>
    <col min="13826" max="13826" width="27.54296875" style="45" bestFit="1" customWidth="1"/>
    <col min="13827" max="13827" width="20.1796875" style="45" customWidth="1"/>
    <col min="13828" max="13828" width="21.7265625" style="45" customWidth="1"/>
    <col min="13829" max="13829" width="18.81640625" style="45" customWidth="1"/>
    <col min="13830" max="13830" width="21.453125" style="45" customWidth="1"/>
    <col min="13831" max="13831" width="26.54296875" style="45" customWidth="1"/>
    <col min="13832" max="14080" width="9.1796875" style="45"/>
    <col min="14081" max="14081" width="0" style="45" hidden="1" customWidth="1"/>
    <col min="14082" max="14082" width="27.54296875" style="45" bestFit="1" customWidth="1"/>
    <col min="14083" max="14083" width="20.1796875" style="45" customWidth="1"/>
    <col min="14084" max="14084" width="21.7265625" style="45" customWidth="1"/>
    <col min="14085" max="14085" width="18.81640625" style="45" customWidth="1"/>
    <col min="14086" max="14086" width="21.453125" style="45" customWidth="1"/>
    <col min="14087" max="14087" width="26.54296875" style="45" customWidth="1"/>
    <col min="14088" max="14336" width="9.1796875" style="45"/>
    <col min="14337" max="14337" width="0" style="45" hidden="1" customWidth="1"/>
    <col min="14338" max="14338" width="27.54296875" style="45" bestFit="1" customWidth="1"/>
    <col min="14339" max="14339" width="20.1796875" style="45" customWidth="1"/>
    <col min="14340" max="14340" width="21.7265625" style="45" customWidth="1"/>
    <col min="14341" max="14341" width="18.81640625" style="45" customWidth="1"/>
    <col min="14342" max="14342" width="21.453125" style="45" customWidth="1"/>
    <col min="14343" max="14343" width="26.54296875" style="45" customWidth="1"/>
    <col min="14344" max="14592" width="9.1796875" style="45"/>
    <col min="14593" max="14593" width="0" style="45" hidden="1" customWidth="1"/>
    <col min="14594" max="14594" width="27.54296875" style="45" bestFit="1" customWidth="1"/>
    <col min="14595" max="14595" width="20.1796875" style="45" customWidth="1"/>
    <col min="14596" max="14596" width="21.7265625" style="45" customWidth="1"/>
    <col min="14597" max="14597" width="18.81640625" style="45" customWidth="1"/>
    <col min="14598" max="14598" width="21.453125" style="45" customWidth="1"/>
    <col min="14599" max="14599" width="26.54296875" style="45" customWidth="1"/>
    <col min="14600" max="14848" width="9.1796875" style="45"/>
    <col min="14849" max="14849" width="0" style="45" hidden="1" customWidth="1"/>
    <col min="14850" max="14850" width="27.54296875" style="45" bestFit="1" customWidth="1"/>
    <col min="14851" max="14851" width="20.1796875" style="45" customWidth="1"/>
    <col min="14852" max="14852" width="21.7265625" style="45" customWidth="1"/>
    <col min="14853" max="14853" width="18.81640625" style="45" customWidth="1"/>
    <col min="14854" max="14854" width="21.453125" style="45" customWidth="1"/>
    <col min="14855" max="14855" width="26.54296875" style="45" customWidth="1"/>
    <col min="14856" max="15104" width="9.1796875" style="45"/>
    <col min="15105" max="15105" width="0" style="45" hidden="1" customWidth="1"/>
    <col min="15106" max="15106" width="27.54296875" style="45" bestFit="1" customWidth="1"/>
    <col min="15107" max="15107" width="20.1796875" style="45" customWidth="1"/>
    <col min="15108" max="15108" width="21.7265625" style="45" customWidth="1"/>
    <col min="15109" max="15109" width="18.81640625" style="45" customWidth="1"/>
    <col min="15110" max="15110" width="21.453125" style="45" customWidth="1"/>
    <col min="15111" max="15111" width="26.54296875" style="45" customWidth="1"/>
    <col min="15112" max="15360" width="9.1796875" style="45"/>
    <col min="15361" max="15361" width="0" style="45" hidden="1" customWidth="1"/>
    <col min="15362" max="15362" width="27.54296875" style="45" bestFit="1" customWidth="1"/>
    <col min="15363" max="15363" width="20.1796875" style="45" customWidth="1"/>
    <col min="15364" max="15364" width="21.7265625" style="45" customWidth="1"/>
    <col min="15365" max="15365" width="18.81640625" style="45" customWidth="1"/>
    <col min="15366" max="15366" width="21.453125" style="45" customWidth="1"/>
    <col min="15367" max="15367" width="26.54296875" style="45" customWidth="1"/>
    <col min="15368" max="15616" width="9.1796875" style="45"/>
    <col min="15617" max="15617" width="0" style="45" hidden="1" customWidth="1"/>
    <col min="15618" max="15618" width="27.54296875" style="45" bestFit="1" customWidth="1"/>
    <col min="15619" max="15619" width="20.1796875" style="45" customWidth="1"/>
    <col min="15620" max="15620" width="21.7265625" style="45" customWidth="1"/>
    <col min="15621" max="15621" width="18.81640625" style="45" customWidth="1"/>
    <col min="15622" max="15622" width="21.453125" style="45" customWidth="1"/>
    <col min="15623" max="15623" width="26.54296875" style="45" customWidth="1"/>
    <col min="15624" max="15872" width="9.1796875" style="45"/>
    <col min="15873" max="15873" width="0" style="45" hidden="1" customWidth="1"/>
    <col min="15874" max="15874" width="27.54296875" style="45" bestFit="1" customWidth="1"/>
    <col min="15875" max="15875" width="20.1796875" style="45" customWidth="1"/>
    <col min="15876" max="15876" width="21.7265625" style="45" customWidth="1"/>
    <col min="15877" max="15877" width="18.81640625" style="45" customWidth="1"/>
    <col min="15878" max="15878" width="21.453125" style="45" customWidth="1"/>
    <col min="15879" max="15879" width="26.54296875" style="45" customWidth="1"/>
    <col min="15880" max="16128" width="9.1796875" style="45"/>
    <col min="16129" max="16129" width="0" style="45" hidden="1" customWidth="1"/>
    <col min="16130" max="16130" width="27.54296875" style="45" bestFit="1" customWidth="1"/>
    <col min="16131" max="16131" width="20.1796875" style="45" customWidth="1"/>
    <col min="16132" max="16132" width="21.7265625" style="45" customWidth="1"/>
    <col min="16133" max="16133" width="18.81640625" style="45" customWidth="1"/>
    <col min="16134" max="16134" width="21.453125" style="45" customWidth="1"/>
    <col min="16135" max="16135" width="26.54296875" style="45" customWidth="1"/>
    <col min="16136" max="16384" width="9.1796875" style="45"/>
  </cols>
  <sheetData>
    <row r="1" spans="1:13" s="23" customFormat="1" ht="41.25" customHeight="1" x14ac:dyDescent="0.35">
      <c r="B1" s="152" t="s">
        <v>58</v>
      </c>
      <c r="C1" s="153"/>
      <c r="D1" s="153"/>
      <c r="E1" s="153"/>
      <c r="F1" s="153"/>
      <c r="G1" s="154"/>
    </row>
    <row r="2" spans="1:13" s="24" customFormat="1" ht="28.5" customHeight="1" x14ac:dyDescent="0.35">
      <c r="C2" s="25" t="s">
        <v>1</v>
      </c>
      <c r="D2" s="25" t="s">
        <v>59</v>
      </c>
      <c r="E2" s="25" t="s">
        <v>60</v>
      </c>
      <c r="F2" s="25" t="s">
        <v>61</v>
      </c>
      <c r="G2" s="26" t="s">
        <v>5</v>
      </c>
    </row>
    <row r="3" spans="1:13" s="24" customFormat="1" ht="28.5" customHeight="1" x14ac:dyDescent="0.35">
      <c r="B3" s="27" t="s">
        <v>0</v>
      </c>
      <c r="C3" s="28">
        <v>1413</v>
      </c>
      <c r="D3" s="28">
        <v>1571</v>
      </c>
      <c r="E3" s="28">
        <v>195</v>
      </c>
      <c r="F3" s="28">
        <v>1034</v>
      </c>
      <c r="G3" s="28">
        <v>4213</v>
      </c>
      <c r="I3" s="29"/>
      <c r="J3" s="30"/>
      <c r="K3" s="30"/>
      <c r="L3" s="30"/>
      <c r="M3" s="30"/>
    </row>
    <row r="4" spans="1:13" s="27" customFormat="1" ht="25.5" customHeight="1" x14ac:dyDescent="0.35">
      <c r="A4" s="31"/>
      <c r="B4" s="27" t="s">
        <v>62</v>
      </c>
      <c r="C4" s="32">
        <v>815</v>
      </c>
      <c r="D4" s="32">
        <v>1513</v>
      </c>
      <c r="E4" s="32">
        <v>147</v>
      </c>
      <c r="F4" s="32">
        <v>715</v>
      </c>
      <c r="G4" s="28">
        <v>3190</v>
      </c>
      <c r="I4" s="30"/>
      <c r="J4" s="30"/>
      <c r="K4" s="30"/>
      <c r="L4" s="30"/>
      <c r="M4" s="30"/>
    </row>
    <row r="5" spans="1:13" s="34" customFormat="1" ht="12.75" customHeight="1" x14ac:dyDescent="0.35">
      <c r="A5" s="33">
        <v>51</v>
      </c>
      <c r="B5" s="34" t="s">
        <v>10</v>
      </c>
      <c r="C5" s="35">
        <v>30</v>
      </c>
      <c r="D5" s="35">
        <v>14</v>
      </c>
      <c r="E5" s="35">
        <v>0</v>
      </c>
      <c r="F5" s="35">
        <v>21</v>
      </c>
      <c r="G5" s="28">
        <v>65</v>
      </c>
      <c r="I5" s="30"/>
      <c r="J5" s="30"/>
      <c r="K5" s="30"/>
      <c r="L5" s="30"/>
      <c r="M5" s="30"/>
    </row>
    <row r="6" spans="1:13" s="34" customFormat="1" ht="12.75" customHeight="1" x14ac:dyDescent="0.35">
      <c r="A6" s="33">
        <v>52</v>
      </c>
      <c r="B6" s="34" t="s">
        <v>11</v>
      </c>
      <c r="C6" s="35">
        <v>17</v>
      </c>
      <c r="D6" s="35">
        <v>22</v>
      </c>
      <c r="E6" s="35">
        <v>3</v>
      </c>
      <c r="F6" s="35">
        <v>19</v>
      </c>
      <c r="G6" s="28">
        <v>61</v>
      </c>
      <c r="I6" s="30"/>
      <c r="J6" s="30"/>
      <c r="K6" s="30"/>
      <c r="L6" s="30"/>
      <c r="M6" s="30"/>
    </row>
    <row r="7" spans="1:13" s="34" customFormat="1" ht="12.75" customHeight="1" x14ac:dyDescent="0.35">
      <c r="A7" s="33">
        <v>86</v>
      </c>
      <c r="B7" s="34" t="s">
        <v>12</v>
      </c>
      <c r="C7" s="35">
        <v>16</v>
      </c>
      <c r="D7" s="35">
        <v>14</v>
      </c>
      <c r="E7" s="35">
        <v>7</v>
      </c>
      <c r="F7" s="35">
        <v>15</v>
      </c>
      <c r="G7" s="28">
        <v>52</v>
      </c>
      <c r="I7" s="30"/>
      <c r="J7" s="30"/>
      <c r="K7" s="30"/>
      <c r="L7" s="30"/>
      <c r="M7" s="30"/>
    </row>
    <row r="8" spans="1:13" s="34" customFormat="1" ht="14" x14ac:dyDescent="0.35">
      <c r="A8" s="33">
        <v>53</v>
      </c>
      <c r="B8" s="34" t="s">
        <v>13</v>
      </c>
      <c r="C8" s="35">
        <v>21</v>
      </c>
      <c r="D8" s="35">
        <v>34</v>
      </c>
      <c r="E8" s="35">
        <v>0</v>
      </c>
      <c r="F8" s="35">
        <v>23</v>
      </c>
      <c r="G8" s="28">
        <v>78</v>
      </c>
      <c r="I8" s="30"/>
      <c r="J8" s="30"/>
      <c r="K8" s="30"/>
      <c r="L8" s="30"/>
      <c r="M8" s="30"/>
    </row>
    <row r="9" spans="1:13" s="34" customFormat="1" ht="12.75" customHeight="1" x14ac:dyDescent="0.35">
      <c r="A9" s="33">
        <v>54</v>
      </c>
      <c r="B9" s="34" t="s">
        <v>14</v>
      </c>
      <c r="C9" s="35">
        <v>19</v>
      </c>
      <c r="D9" s="35">
        <v>62</v>
      </c>
      <c r="E9" s="35">
        <v>3</v>
      </c>
      <c r="F9" s="35">
        <v>10</v>
      </c>
      <c r="G9" s="28">
        <v>94</v>
      </c>
      <c r="I9" s="30"/>
      <c r="J9" s="30"/>
      <c r="K9" s="30"/>
      <c r="L9" s="30"/>
      <c r="M9" s="30"/>
    </row>
    <row r="10" spans="1:13" s="34" customFormat="1" ht="12.75" customHeight="1" x14ac:dyDescent="0.35">
      <c r="A10" s="33">
        <v>55</v>
      </c>
      <c r="B10" s="34" t="s">
        <v>15</v>
      </c>
      <c r="C10" s="35">
        <v>31</v>
      </c>
      <c r="D10" s="35">
        <v>38</v>
      </c>
      <c r="E10" s="35">
        <v>23</v>
      </c>
      <c r="F10" s="35">
        <v>35</v>
      </c>
      <c r="G10" s="28">
        <v>127</v>
      </c>
      <c r="I10" s="30"/>
      <c r="J10" s="30"/>
      <c r="K10" s="30"/>
      <c r="L10" s="30"/>
      <c r="M10" s="30"/>
    </row>
    <row r="11" spans="1:13" s="34" customFormat="1" ht="13.5" customHeight="1" x14ac:dyDescent="0.35">
      <c r="A11" s="33">
        <v>56</v>
      </c>
      <c r="B11" s="34" t="s">
        <v>16</v>
      </c>
      <c r="C11" s="35">
        <v>26</v>
      </c>
      <c r="D11" s="35">
        <v>9</v>
      </c>
      <c r="E11" s="35">
        <v>1</v>
      </c>
      <c r="F11" s="35">
        <v>18</v>
      </c>
      <c r="G11" s="28">
        <v>54</v>
      </c>
      <c r="I11" s="30"/>
      <c r="J11" s="30"/>
      <c r="K11" s="30"/>
      <c r="L11" s="30"/>
      <c r="M11" s="30"/>
    </row>
    <row r="12" spans="1:13" s="34" customFormat="1" ht="13.5" customHeight="1" x14ac:dyDescent="0.35">
      <c r="A12" s="33">
        <v>57</v>
      </c>
      <c r="B12" s="34" t="s">
        <v>17</v>
      </c>
      <c r="C12" s="35">
        <v>8</v>
      </c>
      <c r="D12" s="35">
        <v>27</v>
      </c>
      <c r="E12" s="35">
        <v>5</v>
      </c>
      <c r="F12" s="35">
        <v>31</v>
      </c>
      <c r="G12" s="28">
        <v>71</v>
      </c>
      <c r="I12" s="30"/>
      <c r="J12" s="30"/>
      <c r="K12" s="30"/>
      <c r="L12" s="30"/>
      <c r="M12" s="30"/>
    </row>
    <row r="13" spans="1:13" s="34" customFormat="1" ht="12.75" customHeight="1" x14ac:dyDescent="0.35">
      <c r="A13" s="33">
        <v>59</v>
      </c>
      <c r="B13" s="34" t="s">
        <v>18</v>
      </c>
      <c r="C13" s="35">
        <v>13</v>
      </c>
      <c r="D13" s="35">
        <v>50</v>
      </c>
      <c r="E13" s="35">
        <v>0</v>
      </c>
      <c r="F13" s="35">
        <v>9</v>
      </c>
      <c r="G13" s="28">
        <v>72</v>
      </c>
      <c r="I13" s="30"/>
      <c r="J13" s="30"/>
      <c r="K13" s="30"/>
      <c r="L13" s="30"/>
      <c r="M13" s="30"/>
    </row>
    <row r="14" spans="1:13" s="34" customFormat="1" ht="12.75" customHeight="1" x14ac:dyDescent="0.35">
      <c r="A14" s="33">
        <v>60</v>
      </c>
      <c r="B14" s="34" t="s">
        <v>19</v>
      </c>
      <c r="C14" s="35">
        <v>17</v>
      </c>
      <c r="D14" s="35">
        <v>42</v>
      </c>
      <c r="E14" s="35">
        <v>2</v>
      </c>
      <c r="F14" s="35">
        <v>10</v>
      </c>
      <c r="G14" s="28">
        <v>71</v>
      </c>
      <c r="I14" s="30"/>
      <c r="J14" s="30"/>
      <c r="K14" s="30"/>
      <c r="L14" s="30"/>
      <c r="M14" s="30"/>
    </row>
    <row r="15" spans="1:13" s="34" customFormat="1" ht="12.75" customHeight="1" x14ac:dyDescent="0.35">
      <c r="A15" s="33">
        <v>61</v>
      </c>
      <c r="B15" s="36" t="s">
        <v>63</v>
      </c>
      <c r="C15" s="35">
        <v>21</v>
      </c>
      <c r="D15" s="35">
        <v>159</v>
      </c>
      <c r="E15" s="35">
        <v>3</v>
      </c>
      <c r="F15" s="35">
        <v>28</v>
      </c>
      <c r="G15" s="28">
        <v>211</v>
      </c>
      <c r="I15" s="30"/>
      <c r="J15" s="30"/>
      <c r="K15" s="30"/>
      <c r="L15" s="30"/>
      <c r="M15" s="30"/>
    </row>
    <row r="16" spans="1:13" s="34" customFormat="1" ht="12.75" customHeight="1" x14ac:dyDescent="0.35">
      <c r="A16" s="33">
        <v>62</v>
      </c>
      <c r="B16" s="34" t="s">
        <v>106</v>
      </c>
      <c r="C16" s="35">
        <f>C62+C63</f>
        <v>19</v>
      </c>
      <c r="D16" s="35">
        <f t="shared" ref="D16:G16" si="0">D62+D63</f>
        <v>53</v>
      </c>
      <c r="E16" s="35">
        <f t="shared" si="0"/>
        <v>7</v>
      </c>
      <c r="F16" s="35">
        <f t="shared" si="0"/>
        <v>25</v>
      </c>
      <c r="G16" s="35">
        <f t="shared" si="0"/>
        <v>104</v>
      </c>
      <c r="I16" s="30"/>
      <c r="J16" s="30"/>
      <c r="K16" s="30"/>
      <c r="L16" s="30"/>
      <c r="M16" s="30"/>
    </row>
    <row r="17" spans="1:13" s="34" customFormat="1" ht="12.75" customHeight="1" x14ac:dyDescent="0.35">
      <c r="A17" s="33">
        <v>58</v>
      </c>
      <c r="B17" s="34" t="s">
        <v>22</v>
      </c>
      <c r="C17" s="35">
        <v>15</v>
      </c>
      <c r="D17" s="35">
        <v>21</v>
      </c>
      <c r="E17" s="35">
        <v>0</v>
      </c>
      <c r="F17" s="35">
        <v>2</v>
      </c>
      <c r="G17" s="28">
        <v>38</v>
      </c>
      <c r="I17" s="30"/>
      <c r="J17" s="30"/>
      <c r="K17" s="30"/>
      <c r="L17" s="30"/>
      <c r="M17" s="30"/>
    </row>
    <row r="18" spans="1:13" s="34" customFormat="1" ht="12.75" customHeight="1" x14ac:dyDescent="0.35">
      <c r="A18" s="33">
        <v>63</v>
      </c>
      <c r="B18" s="34" t="s">
        <v>23</v>
      </c>
      <c r="C18" s="35">
        <v>21</v>
      </c>
      <c r="D18" s="35">
        <v>29</v>
      </c>
      <c r="E18" s="35">
        <v>13</v>
      </c>
      <c r="F18" s="35">
        <v>21</v>
      </c>
      <c r="G18" s="28">
        <v>84</v>
      </c>
      <c r="I18" s="30"/>
      <c r="J18" s="30"/>
      <c r="K18" s="30"/>
      <c r="L18" s="30"/>
      <c r="M18" s="30"/>
    </row>
    <row r="19" spans="1:13" s="34" customFormat="1" ht="12.75" customHeight="1" x14ac:dyDescent="0.35">
      <c r="A19" s="33">
        <v>64</v>
      </c>
      <c r="B19" s="34" t="s">
        <v>24</v>
      </c>
      <c r="C19" s="35">
        <v>28</v>
      </c>
      <c r="D19" s="35">
        <v>51</v>
      </c>
      <c r="E19" s="35">
        <v>7</v>
      </c>
      <c r="F19" s="35">
        <v>51</v>
      </c>
      <c r="G19" s="28">
        <v>137</v>
      </c>
      <c r="I19" s="30"/>
      <c r="J19" s="30"/>
      <c r="K19" s="30"/>
      <c r="L19" s="30"/>
      <c r="M19" s="30"/>
    </row>
    <row r="20" spans="1:13" s="34" customFormat="1" ht="12.75" customHeight="1" x14ac:dyDescent="0.35">
      <c r="A20" s="33">
        <v>65</v>
      </c>
      <c r="B20" s="34" t="s">
        <v>25</v>
      </c>
      <c r="C20" s="35">
        <v>7</v>
      </c>
      <c r="D20" s="35">
        <v>30</v>
      </c>
      <c r="E20" s="35">
        <v>0</v>
      </c>
      <c r="F20" s="35">
        <v>4</v>
      </c>
      <c r="G20" s="28">
        <v>41</v>
      </c>
      <c r="I20" s="30"/>
      <c r="J20" s="30"/>
      <c r="K20" s="30"/>
      <c r="L20" s="30"/>
      <c r="M20" s="30"/>
    </row>
    <row r="21" spans="1:13" s="34" customFormat="1" ht="12.75" customHeight="1" x14ac:dyDescent="0.35">
      <c r="A21" s="33">
        <v>67</v>
      </c>
      <c r="B21" s="34" t="s">
        <v>28</v>
      </c>
      <c r="C21" s="35">
        <v>54</v>
      </c>
      <c r="D21" s="35">
        <v>126</v>
      </c>
      <c r="E21" s="35">
        <v>2</v>
      </c>
      <c r="F21" s="35">
        <v>54</v>
      </c>
      <c r="G21" s="28">
        <v>236</v>
      </c>
      <c r="I21" s="30"/>
      <c r="J21" s="30"/>
      <c r="K21" s="30"/>
      <c r="L21" s="30"/>
      <c r="M21" s="30"/>
    </row>
    <row r="22" spans="1:13" s="34" customFormat="1" ht="12.75" customHeight="1" x14ac:dyDescent="0.35">
      <c r="A22" s="33">
        <v>68</v>
      </c>
      <c r="B22" s="34" t="s">
        <v>64</v>
      </c>
      <c r="C22" s="35">
        <v>11</v>
      </c>
      <c r="D22" s="35">
        <v>49</v>
      </c>
      <c r="E22" s="35">
        <v>2</v>
      </c>
      <c r="F22" s="35">
        <v>20</v>
      </c>
      <c r="G22" s="28">
        <v>82</v>
      </c>
      <c r="I22" s="30"/>
      <c r="J22" s="30"/>
      <c r="K22" s="30"/>
      <c r="L22" s="30"/>
      <c r="M22" s="30"/>
    </row>
    <row r="23" spans="1:13" s="34" customFormat="1" ht="12.75" customHeight="1" x14ac:dyDescent="0.35">
      <c r="A23" s="33">
        <v>69</v>
      </c>
      <c r="B23" s="34" t="s">
        <v>30</v>
      </c>
      <c r="C23" s="35">
        <v>40</v>
      </c>
      <c r="D23" s="35">
        <v>17</v>
      </c>
      <c r="E23" s="35">
        <v>0</v>
      </c>
      <c r="F23" s="35">
        <v>16</v>
      </c>
      <c r="G23" s="28">
        <v>73</v>
      </c>
      <c r="I23" s="30"/>
      <c r="J23" s="30"/>
      <c r="K23" s="30"/>
      <c r="L23" s="30"/>
      <c r="M23" s="30"/>
    </row>
    <row r="24" spans="1:13" s="34" customFormat="1" ht="12.75" customHeight="1" x14ac:dyDescent="0.35">
      <c r="A24" s="33">
        <v>70</v>
      </c>
      <c r="B24" s="34" t="s">
        <v>31</v>
      </c>
      <c r="C24" s="35">
        <v>30</v>
      </c>
      <c r="D24" s="35">
        <v>23</v>
      </c>
      <c r="E24" s="35">
        <v>4</v>
      </c>
      <c r="F24" s="35">
        <v>45</v>
      </c>
      <c r="G24" s="28">
        <v>102</v>
      </c>
      <c r="I24" s="30"/>
      <c r="J24" s="30"/>
      <c r="K24" s="30"/>
      <c r="L24" s="30"/>
      <c r="M24" s="30"/>
    </row>
    <row r="25" spans="1:13" s="34" customFormat="1" ht="12.75" customHeight="1" x14ac:dyDescent="0.35">
      <c r="A25" s="33">
        <v>71</v>
      </c>
      <c r="B25" s="34" t="s">
        <v>65</v>
      </c>
      <c r="C25" s="35">
        <v>6</v>
      </c>
      <c r="D25" s="35">
        <v>14</v>
      </c>
      <c r="E25" s="35">
        <v>0</v>
      </c>
      <c r="F25" s="35">
        <v>2</v>
      </c>
      <c r="G25" s="28">
        <v>22</v>
      </c>
      <c r="I25" s="30"/>
      <c r="J25" s="30"/>
      <c r="K25" s="30"/>
      <c r="L25" s="30"/>
      <c r="M25" s="30"/>
    </row>
    <row r="26" spans="1:13" s="34" customFormat="1" ht="12.75" customHeight="1" x14ac:dyDescent="0.35">
      <c r="A26" s="33">
        <v>73</v>
      </c>
      <c r="B26" s="34" t="s">
        <v>34</v>
      </c>
      <c r="C26" s="35">
        <v>53</v>
      </c>
      <c r="D26" s="35">
        <v>79</v>
      </c>
      <c r="E26" s="35">
        <v>1</v>
      </c>
      <c r="F26" s="35">
        <v>26</v>
      </c>
      <c r="G26" s="28">
        <v>159</v>
      </c>
      <c r="I26" s="30"/>
      <c r="J26" s="30"/>
      <c r="K26" s="30"/>
      <c r="L26" s="30"/>
      <c r="M26" s="30"/>
    </row>
    <row r="27" spans="1:13" s="34" customFormat="1" ht="12.75" customHeight="1" x14ac:dyDescent="0.35">
      <c r="A27" s="33">
        <v>74</v>
      </c>
      <c r="B27" s="34" t="s">
        <v>35</v>
      </c>
      <c r="C27" s="35">
        <v>46</v>
      </c>
      <c r="D27" s="35">
        <v>43</v>
      </c>
      <c r="E27" s="35">
        <v>34</v>
      </c>
      <c r="F27" s="35">
        <v>45</v>
      </c>
      <c r="G27" s="28">
        <v>168</v>
      </c>
      <c r="I27" s="30"/>
      <c r="J27" s="30"/>
      <c r="K27" s="30"/>
      <c r="L27" s="30"/>
      <c r="M27" s="30"/>
    </row>
    <row r="28" spans="1:13" s="34" customFormat="1" ht="12.75" customHeight="1" x14ac:dyDescent="0.35">
      <c r="A28" s="33">
        <v>75</v>
      </c>
      <c r="B28" s="34" t="s">
        <v>36</v>
      </c>
      <c r="C28" s="35">
        <v>35</v>
      </c>
      <c r="D28" s="35">
        <v>42</v>
      </c>
      <c r="E28" s="35">
        <v>1</v>
      </c>
      <c r="F28" s="35">
        <v>13</v>
      </c>
      <c r="G28" s="28">
        <v>91</v>
      </c>
      <c r="I28" s="30"/>
      <c r="J28" s="30"/>
      <c r="K28" s="30"/>
      <c r="L28" s="30"/>
      <c r="M28" s="30"/>
    </row>
    <row r="29" spans="1:13" s="34" customFormat="1" ht="12.75" customHeight="1" x14ac:dyDescent="0.35">
      <c r="A29" s="33">
        <v>76</v>
      </c>
      <c r="B29" s="34" t="s">
        <v>37</v>
      </c>
      <c r="C29" s="35">
        <v>12</v>
      </c>
      <c r="D29" s="35">
        <v>54</v>
      </c>
      <c r="E29" s="35">
        <v>3</v>
      </c>
      <c r="F29" s="35">
        <v>7</v>
      </c>
      <c r="G29" s="28">
        <v>76</v>
      </c>
      <c r="I29" s="30"/>
      <c r="J29" s="30"/>
      <c r="K29" s="30"/>
      <c r="L29" s="30"/>
      <c r="M29" s="30"/>
    </row>
    <row r="30" spans="1:13" s="34" customFormat="1" ht="12.75" customHeight="1" x14ac:dyDescent="0.35">
      <c r="A30" s="33">
        <v>79</v>
      </c>
      <c r="B30" s="34" t="s">
        <v>39</v>
      </c>
      <c r="C30" s="35">
        <v>16</v>
      </c>
      <c r="D30" s="35">
        <v>37</v>
      </c>
      <c r="E30" s="35">
        <v>3</v>
      </c>
      <c r="F30" s="35">
        <v>13</v>
      </c>
      <c r="G30" s="28">
        <v>69</v>
      </c>
      <c r="I30" s="30"/>
      <c r="J30" s="30"/>
      <c r="K30" s="30"/>
      <c r="L30" s="30"/>
      <c r="M30" s="30"/>
    </row>
    <row r="31" spans="1:13" s="34" customFormat="1" ht="12.75" customHeight="1" x14ac:dyDescent="0.35">
      <c r="A31" s="33"/>
      <c r="B31" s="81" t="s">
        <v>40</v>
      </c>
      <c r="C31" s="82"/>
      <c r="D31" s="82"/>
      <c r="E31" s="82">
        <v>2</v>
      </c>
      <c r="F31" s="82">
        <v>1</v>
      </c>
      <c r="G31" s="83">
        <v>3</v>
      </c>
      <c r="I31" s="30"/>
      <c r="J31" s="30"/>
      <c r="K31" s="30"/>
      <c r="L31" s="30"/>
      <c r="M31" s="30"/>
    </row>
    <row r="32" spans="1:13" s="34" customFormat="1" ht="12.75" customHeight="1" x14ac:dyDescent="0.35">
      <c r="A32" s="33">
        <v>80</v>
      </c>
      <c r="B32" s="34" t="s">
        <v>41</v>
      </c>
      <c r="C32" s="35">
        <v>6</v>
      </c>
      <c r="D32" s="35">
        <v>42</v>
      </c>
      <c r="E32" s="35">
        <v>2</v>
      </c>
      <c r="F32" s="35">
        <v>7</v>
      </c>
      <c r="G32" s="28">
        <v>57</v>
      </c>
      <c r="I32" s="30"/>
      <c r="J32" s="30"/>
      <c r="K32" s="30"/>
      <c r="L32" s="30"/>
      <c r="M32" s="30"/>
    </row>
    <row r="33" spans="1:13" s="34" customFormat="1" ht="13.5" customHeight="1" x14ac:dyDescent="0.35">
      <c r="A33" s="33">
        <v>81</v>
      </c>
      <c r="B33" s="34" t="s">
        <v>42</v>
      </c>
      <c r="C33" s="35">
        <v>16</v>
      </c>
      <c r="D33" s="35">
        <v>20</v>
      </c>
      <c r="E33" s="35">
        <v>2</v>
      </c>
      <c r="F33" s="35">
        <v>6</v>
      </c>
      <c r="G33" s="28">
        <v>44</v>
      </c>
      <c r="I33" s="30"/>
      <c r="J33" s="30"/>
      <c r="K33" s="30"/>
      <c r="L33" s="30"/>
      <c r="M33" s="30"/>
    </row>
    <row r="34" spans="1:13" s="34" customFormat="1" ht="13.5" customHeight="1" x14ac:dyDescent="0.35">
      <c r="A34" s="33">
        <v>83</v>
      </c>
      <c r="B34" s="34" t="s">
        <v>43</v>
      </c>
      <c r="C34" s="35">
        <v>12</v>
      </c>
      <c r="D34" s="35">
        <v>31</v>
      </c>
      <c r="E34" s="35">
        <v>0</v>
      </c>
      <c r="F34" s="35">
        <v>8</v>
      </c>
      <c r="G34" s="28">
        <v>51</v>
      </c>
      <c r="I34" s="30"/>
      <c r="J34" s="30"/>
      <c r="K34" s="30"/>
      <c r="L34" s="30"/>
      <c r="M34" s="30"/>
    </row>
    <row r="35" spans="1:13" s="34" customFormat="1" ht="14.25" customHeight="1" x14ac:dyDescent="0.35">
      <c r="A35" s="33">
        <v>84</v>
      </c>
      <c r="B35" s="34" t="s">
        <v>44</v>
      </c>
      <c r="C35" s="35">
        <v>16</v>
      </c>
      <c r="D35" s="35">
        <v>19</v>
      </c>
      <c r="E35" s="35">
        <v>2</v>
      </c>
      <c r="F35" s="35">
        <v>24</v>
      </c>
      <c r="G35" s="28">
        <v>61</v>
      </c>
      <c r="I35" s="30"/>
      <c r="J35" s="30"/>
      <c r="K35" s="30"/>
      <c r="L35" s="30"/>
      <c r="M35" s="30"/>
    </row>
    <row r="36" spans="1:13" s="34" customFormat="1" ht="12.75" customHeight="1" x14ac:dyDescent="0.35">
      <c r="A36" s="33">
        <v>85</v>
      </c>
      <c r="B36" s="34" t="s">
        <v>45</v>
      </c>
      <c r="C36" s="35">
        <v>20</v>
      </c>
      <c r="D36" s="35">
        <v>50</v>
      </c>
      <c r="E36" s="35">
        <v>9</v>
      </c>
      <c r="F36" s="35">
        <v>13</v>
      </c>
      <c r="G36" s="28">
        <v>92</v>
      </c>
      <c r="I36" s="30"/>
      <c r="J36" s="30"/>
      <c r="K36" s="30"/>
      <c r="L36" s="30"/>
      <c r="M36" s="30"/>
    </row>
    <row r="37" spans="1:13" s="34" customFormat="1" ht="12.75" customHeight="1" x14ac:dyDescent="0.35">
      <c r="A37" s="33">
        <v>87</v>
      </c>
      <c r="B37" s="34" t="s">
        <v>46</v>
      </c>
      <c r="C37" s="35">
        <v>9</v>
      </c>
      <c r="D37" s="35">
        <v>26</v>
      </c>
      <c r="E37" s="35">
        <v>1</v>
      </c>
      <c r="F37" s="35">
        <v>12</v>
      </c>
      <c r="G37" s="28">
        <v>48</v>
      </c>
      <c r="I37" s="30"/>
      <c r="J37" s="30"/>
      <c r="K37" s="30"/>
      <c r="L37" s="30"/>
      <c r="M37" s="30"/>
    </row>
    <row r="38" spans="1:13" s="34" customFormat="1" ht="12.75" customHeight="1" x14ac:dyDescent="0.35">
      <c r="A38" s="33">
        <v>90</v>
      </c>
      <c r="B38" s="34" t="s">
        <v>48</v>
      </c>
      <c r="C38" s="35">
        <v>16</v>
      </c>
      <c r="D38" s="35">
        <v>63</v>
      </c>
      <c r="E38" s="35">
        <v>0</v>
      </c>
      <c r="F38" s="35">
        <v>31</v>
      </c>
      <c r="G38" s="28">
        <v>110</v>
      </c>
      <c r="I38" s="30"/>
      <c r="J38" s="30"/>
      <c r="K38" s="30"/>
      <c r="L38" s="30"/>
      <c r="M38" s="30"/>
    </row>
    <row r="39" spans="1:13" s="34" customFormat="1" ht="12.75" customHeight="1" x14ac:dyDescent="0.35">
      <c r="A39" s="33">
        <v>91</v>
      </c>
      <c r="B39" s="34" t="s">
        <v>49</v>
      </c>
      <c r="C39" s="35">
        <v>37</v>
      </c>
      <c r="D39" s="35">
        <v>29</v>
      </c>
      <c r="E39" s="35">
        <v>0</v>
      </c>
      <c r="F39" s="35">
        <v>19</v>
      </c>
      <c r="G39" s="28">
        <v>85</v>
      </c>
      <c r="I39" s="30"/>
      <c r="J39" s="30"/>
      <c r="K39" s="30"/>
      <c r="L39" s="30"/>
      <c r="M39" s="30"/>
    </row>
    <row r="40" spans="1:13" s="34" customFormat="1" ht="12.75" customHeight="1" x14ac:dyDescent="0.35">
      <c r="A40" s="33">
        <v>92</v>
      </c>
      <c r="B40" s="34" t="s">
        <v>50</v>
      </c>
      <c r="C40" s="35">
        <v>29</v>
      </c>
      <c r="D40" s="35">
        <v>5</v>
      </c>
      <c r="E40" s="35">
        <v>2</v>
      </c>
      <c r="F40" s="35">
        <v>16</v>
      </c>
      <c r="G40" s="28">
        <v>52</v>
      </c>
      <c r="I40" s="30"/>
      <c r="J40" s="30"/>
      <c r="K40" s="30"/>
      <c r="L40" s="30"/>
      <c r="M40" s="30"/>
    </row>
    <row r="41" spans="1:13" s="34" customFormat="1" ht="12.75" customHeight="1" x14ac:dyDescent="0.35">
      <c r="A41" s="33">
        <v>94</v>
      </c>
      <c r="B41" s="34" t="s">
        <v>52</v>
      </c>
      <c r="C41" s="35">
        <v>24</v>
      </c>
      <c r="D41" s="35">
        <v>29</v>
      </c>
      <c r="E41" s="35">
        <v>3</v>
      </c>
      <c r="F41" s="35">
        <v>8</v>
      </c>
      <c r="G41" s="28">
        <v>64</v>
      </c>
      <c r="I41" s="30"/>
      <c r="J41" s="30"/>
      <c r="K41" s="30"/>
      <c r="L41" s="30"/>
      <c r="M41" s="30"/>
    </row>
    <row r="42" spans="1:13" s="34" customFormat="1" ht="12.75" customHeight="1" x14ac:dyDescent="0.35">
      <c r="A42" s="33">
        <v>96</v>
      </c>
      <c r="B42" s="34" t="s">
        <v>54</v>
      </c>
      <c r="C42" s="35">
        <v>16</v>
      </c>
      <c r="D42" s="35">
        <v>55</v>
      </c>
      <c r="E42" s="35">
        <v>0</v>
      </c>
      <c r="F42" s="35">
        <v>7</v>
      </c>
      <c r="G42" s="28">
        <v>78</v>
      </c>
      <c r="H42" s="37"/>
      <c r="I42" s="30"/>
      <c r="J42" s="30"/>
      <c r="K42" s="30"/>
      <c r="L42" s="30"/>
      <c r="M42" s="30"/>
    </row>
    <row r="43" spans="1:13" s="34" customFormat="1" ht="12.75" customHeight="1" x14ac:dyDescent="0.35">
      <c r="A43" s="33">
        <v>72</v>
      </c>
      <c r="B43" s="34" t="s">
        <v>33</v>
      </c>
      <c r="C43" s="35">
        <v>2</v>
      </c>
      <c r="D43" s="35">
        <v>5</v>
      </c>
      <c r="E43" s="35">
        <v>0</v>
      </c>
      <c r="F43" s="35">
        <v>0</v>
      </c>
      <c r="G43" s="28">
        <v>7</v>
      </c>
      <c r="I43" s="30"/>
      <c r="J43" s="30"/>
      <c r="K43" s="30"/>
      <c r="L43" s="30"/>
      <c r="M43" s="30"/>
    </row>
    <row r="44" spans="1:13" s="27" customFormat="1" ht="25.5" customHeight="1" x14ac:dyDescent="0.35">
      <c r="B44" s="27" t="s">
        <v>66</v>
      </c>
      <c r="C44" s="32">
        <v>598</v>
      </c>
      <c r="D44" s="32">
        <v>58</v>
      </c>
      <c r="E44" s="32">
        <v>48</v>
      </c>
      <c r="F44" s="32">
        <v>319</v>
      </c>
      <c r="G44" s="28">
        <v>1023</v>
      </c>
      <c r="I44" s="30"/>
      <c r="J44" s="30"/>
      <c r="K44" s="30"/>
      <c r="L44" s="30"/>
      <c r="M44" s="30"/>
    </row>
    <row r="45" spans="1:13" s="34" customFormat="1" ht="12.75" customHeight="1" x14ac:dyDescent="0.35">
      <c r="A45" s="33">
        <v>66</v>
      </c>
      <c r="B45" s="34" t="s">
        <v>27</v>
      </c>
      <c r="C45" s="35">
        <v>83</v>
      </c>
      <c r="D45" s="38">
        <v>9</v>
      </c>
      <c r="E45" s="38">
        <v>22</v>
      </c>
      <c r="F45" s="38">
        <v>108</v>
      </c>
      <c r="G45" s="28">
        <v>222</v>
      </c>
      <c r="I45" s="30"/>
      <c r="J45" s="30"/>
      <c r="K45" s="30"/>
      <c r="L45" s="30"/>
      <c r="M45" s="30"/>
    </row>
    <row r="46" spans="1:13" s="34" customFormat="1" ht="14.25" customHeight="1" x14ac:dyDescent="0.35">
      <c r="A46" s="33">
        <v>78</v>
      </c>
      <c r="B46" s="34" t="s">
        <v>38</v>
      </c>
      <c r="C46" s="35">
        <v>49</v>
      </c>
      <c r="D46" s="38">
        <v>4</v>
      </c>
      <c r="E46" s="38">
        <v>1</v>
      </c>
      <c r="F46" s="38">
        <v>36</v>
      </c>
      <c r="G46" s="28">
        <v>90</v>
      </c>
      <c r="I46" s="30"/>
      <c r="J46" s="30"/>
      <c r="K46" s="30"/>
      <c r="L46" s="30"/>
      <c r="M46" s="30"/>
    </row>
    <row r="47" spans="1:13" s="34" customFormat="1" ht="12.75" customHeight="1" x14ac:dyDescent="0.35">
      <c r="A47" s="33">
        <v>89</v>
      </c>
      <c r="B47" s="34" t="s">
        <v>47</v>
      </c>
      <c r="C47" s="35">
        <v>46</v>
      </c>
      <c r="D47" s="38">
        <v>5</v>
      </c>
      <c r="E47" s="38">
        <v>1</v>
      </c>
      <c r="F47" s="38">
        <v>26</v>
      </c>
      <c r="G47" s="28">
        <v>78</v>
      </c>
      <c r="I47" s="30"/>
      <c r="J47" s="30"/>
      <c r="K47" s="30"/>
      <c r="L47" s="30"/>
      <c r="M47" s="30"/>
    </row>
    <row r="48" spans="1:13" s="34" customFormat="1" ht="12.75" customHeight="1" x14ac:dyDescent="0.35">
      <c r="A48" s="33">
        <v>93</v>
      </c>
      <c r="B48" s="34" t="s">
        <v>67</v>
      </c>
      <c r="C48" s="35">
        <v>58</v>
      </c>
      <c r="D48" s="38">
        <v>3</v>
      </c>
      <c r="E48" s="38">
        <v>2</v>
      </c>
      <c r="F48" s="38">
        <v>30</v>
      </c>
      <c r="G48" s="28">
        <v>93</v>
      </c>
      <c r="I48" s="30"/>
      <c r="J48" s="30"/>
      <c r="K48" s="30"/>
      <c r="L48" s="30"/>
      <c r="M48" s="30"/>
    </row>
    <row r="49" spans="1:13" s="34" customFormat="1" ht="12.75" customHeight="1" x14ac:dyDescent="0.35">
      <c r="A49" s="33">
        <v>95</v>
      </c>
      <c r="B49" s="34" t="s">
        <v>53</v>
      </c>
      <c r="C49" s="35">
        <v>73</v>
      </c>
      <c r="D49" s="38">
        <v>0</v>
      </c>
      <c r="E49" s="38">
        <v>7</v>
      </c>
      <c r="F49" s="38">
        <v>40</v>
      </c>
      <c r="G49" s="28">
        <v>120</v>
      </c>
      <c r="I49" s="30"/>
      <c r="J49" s="30"/>
      <c r="K49" s="30"/>
      <c r="L49" s="30"/>
      <c r="M49" s="30"/>
    </row>
    <row r="50" spans="1:13" s="34" customFormat="1" ht="12.75" customHeight="1" x14ac:dyDescent="0.35">
      <c r="A50" s="33">
        <v>97</v>
      </c>
      <c r="B50" s="34" t="s">
        <v>55</v>
      </c>
      <c r="C50" s="35">
        <v>58</v>
      </c>
      <c r="D50" s="38">
        <v>37</v>
      </c>
      <c r="E50" s="38">
        <v>9</v>
      </c>
      <c r="F50" s="38">
        <v>17</v>
      </c>
      <c r="G50" s="28">
        <v>121</v>
      </c>
      <c r="I50" s="30"/>
      <c r="J50" s="30"/>
      <c r="K50" s="30"/>
      <c r="L50" s="30"/>
      <c r="M50" s="30"/>
    </row>
    <row r="51" spans="1:13" s="43" customFormat="1" ht="12.75" customHeight="1" x14ac:dyDescent="0.35">
      <c r="A51" s="33">
        <v>77</v>
      </c>
      <c r="B51" s="39" t="s">
        <v>26</v>
      </c>
      <c r="C51" s="40">
        <v>231</v>
      </c>
      <c r="D51" s="40">
        <v>0</v>
      </c>
      <c r="E51" s="41">
        <v>6</v>
      </c>
      <c r="F51" s="41">
        <v>62</v>
      </c>
      <c r="G51" s="42">
        <v>299</v>
      </c>
      <c r="I51" s="30"/>
      <c r="J51" s="30"/>
      <c r="K51" s="30"/>
      <c r="L51" s="30"/>
      <c r="M51" s="30"/>
    </row>
    <row r="52" spans="1:13" s="34" customFormat="1" ht="10.5" customHeight="1" x14ac:dyDescent="0.35">
      <c r="A52" s="33"/>
      <c r="C52" s="44"/>
      <c r="D52" s="44"/>
      <c r="E52" s="44"/>
      <c r="F52" s="44"/>
      <c r="G52" s="44"/>
      <c r="I52" s="45"/>
    </row>
    <row r="53" spans="1:13" s="34" customFormat="1" ht="13.5" customHeight="1" x14ac:dyDescent="0.35">
      <c r="A53" s="33"/>
      <c r="B53" s="34" t="s">
        <v>68</v>
      </c>
      <c r="H53" s="45"/>
      <c r="I53" s="45"/>
    </row>
    <row r="54" spans="1:13" s="34" customFormat="1" ht="13.5" customHeight="1" x14ac:dyDescent="0.35">
      <c r="A54" s="33"/>
      <c r="H54" s="45"/>
      <c r="I54" s="45"/>
    </row>
    <row r="55" spans="1:13" s="34" customFormat="1" x14ac:dyDescent="0.35">
      <c r="A55" s="33"/>
      <c r="B55" s="46" t="s">
        <v>69</v>
      </c>
      <c r="H55" s="45"/>
      <c r="I55" s="45"/>
    </row>
    <row r="56" spans="1:13" x14ac:dyDescent="0.35">
      <c r="A56" s="33"/>
      <c r="F56" s="47"/>
      <c r="G56" s="47"/>
    </row>
    <row r="57" spans="1:13" x14ac:dyDescent="0.35">
      <c r="A57" s="33"/>
    </row>
    <row r="58" spans="1:13" x14ac:dyDescent="0.35">
      <c r="A58" s="33"/>
    </row>
    <row r="59" spans="1:13" x14ac:dyDescent="0.35">
      <c r="A59" s="33"/>
      <c r="E59" s="48"/>
    </row>
    <row r="62" spans="1:13" ht="14" x14ac:dyDescent="0.35">
      <c r="B62" s="34" t="s">
        <v>21</v>
      </c>
      <c r="C62" s="35">
        <v>13</v>
      </c>
      <c r="D62" s="35">
        <v>19</v>
      </c>
      <c r="E62" s="35">
        <v>5</v>
      </c>
      <c r="F62" s="35">
        <v>17</v>
      </c>
      <c r="G62" s="28">
        <v>54</v>
      </c>
    </row>
    <row r="63" spans="1:13" ht="14" x14ac:dyDescent="0.35">
      <c r="B63" s="34" t="s">
        <v>56</v>
      </c>
      <c r="C63" s="35">
        <v>6</v>
      </c>
      <c r="D63" s="35">
        <v>34</v>
      </c>
      <c r="E63" s="35">
        <v>2</v>
      </c>
      <c r="F63" s="35">
        <v>8</v>
      </c>
      <c r="G63" s="28">
        <v>50</v>
      </c>
    </row>
  </sheetData>
  <mergeCells count="1">
    <mergeCell ref="B1:G1"/>
  </mergeCells>
  <printOptions horizontalCentered="1" verticalCentered="1"/>
  <pageMargins left="0.2" right="0.34" top="0.32" bottom="0.25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63"/>
  <sheetViews>
    <sheetView topLeftCell="B1" workbookViewId="0">
      <selection activeCell="A57" sqref="A57:F57"/>
    </sheetView>
  </sheetViews>
  <sheetFormatPr defaultRowHeight="13" x14ac:dyDescent="0.35"/>
  <cols>
    <col min="1" max="1" width="3.54296875" style="45" hidden="1" customWidth="1"/>
    <col min="2" max="2" width="27.54296875" style="45" bestFit="1" customWidth="1"/>
    <col min="3" max="3" width="20.1796875" style="45" customWidth="1"/>
    <col min="4" max="4" width="21.7265625" style="45" customWidth="1"/>
    <col min="5" max="5" width="18.81640625" style="45" customWidth="1"/>
    <col min="6" max="6" width="21.453125" style="45" customWidth="1"/>
    <col min="7" max="7" width="26.54296875" style="45" customWidth="1"/>
    <col min="8" max="256" width="9.1796875" style="45"/>
    <col min="257" max="257" width="0" style="45" hidden="1" customWidth="1"/>
    <col min="258" max="258" width="27.54296875" style="45" bestFit="1" customWidth="1"/>
    <col min="259" max="259" width="20.1796875" style="45" customWidth="1"/>
    <col min="260" max="260" width="21.7265625" style="45" customWidth="1"/>
    <col min="261" max="261" width="18.81640625" style="45" customWidth="1"/>
    <col min="262" max="262" width="21.453125" style="45" customWidth="1"/>
    <col min="263" max="263" width="26.54296875" style="45" customWidth="1"/>
    <col min="264" max="512" width="9.1796875" style="45"/>
    <col min="513" max="513" width="0" style="45" hidden="1" customWidth="1"/>
    <col min="514" max="514" width="27.54296875" style="45" bestFit="1" customWidth="1"/>
    <col min="515" max="515" width="20.1796875" style="45" customWidth="1"/>
    <col min="516" max="516" width="21.7265625" style="45" customWidth="1"/>
    <col min="517" max="517" width="18.81640625" style="45" customWidth="1"/>
    <col min="518" max="518" width="21.453125" style="45" customWidth="1"/>
    <col min="519" max="519" width="26.54296875" style="45" customWidth="1"/>
    <col min="520" max="768" width="9.1796875" style="45"/>
    <col min="769" max="769" width="0" style="45" hidden="1" customWidth="1"/>
    <col min="770" max="770" width="27.54296875" style="45" bestFit="1" customWidth="1"/>
    <col min="771" max="771" width="20.1796875" style="45" customWidth="1"/>
    <col min="772" max="772" width="21.7265625" style="45" customWidth="1"/>
    <col min="773" max="773" width="18.81640625" style="45" customWidth="1"/>
    <col min="774" max="774" width="21.453125" style="45" customWidth="1"/>
    <col min="775" max="775" width="26.54296875" style="45" customWidth="1"/>
    <col min="776" max="1024" width="9.1796875" style="45"/>
    <col min="1025" max="1025" width="0" style="45" hidden="1" customWidth="1"/>
    <col min="1026" max="1026" width="27.54296875" style="45" bestFit="1" customWidth="1"/>
    <col min="1027" max="1027" width="20.1796875" style="45" customWidth="1"/>
    <col min="1028" max="1028" width="21.7265625" style="45" customWidth="1"/>
    <col min="1029" max="1029" width="18.81640625" style="45" customWidth="1"/>
    <col min="1030" max="1030" width="21.453125" style="45" customWidth="1"/>
    <col min="1031" max="1031" width="26.54296875" style="45" customWidth="1"/>
    <col min="1032" max="1280" width="9.1796875" style="45"/>
    <col min="1281" max="1281" width="0" style="45" hidden="1" customWidth="1"/>
    <col min="1282" max="1282" width="27.54296875" style="45" bestFit="1" customWidth="1"/>
    <col min="1283" max="1283" width="20.1796875" style="45" customWidth="1"/>
    <col min="1284" max="1284" width="21.7265625" style="45" customWidth="1"/>
    <col min="1285" max="1285" width="18.81640625" style="45" customWidth="1"/>
    <col min="1286" max="1286" width="21.453125" style="45" customWidth="1"/>
    <col min="1287" max="1287" width="26.54296875" style="45" customWidth="1"/>
    <col min="1288" max="1536" width="9.1796875" style="45"/>
    <col min="1537" max="1537" width="0" style="45" hidden="1" customWidth="1"/>
    <col min="1538" max="1538" width="27.54296875" style="45" bestFit="1" customWidth="1"/>
    <col min="1539" max="1539" width="20.1796875" style="45" customWidth="1"/>
    <col min="1540" max="1540" width="21.7265625" style="45" customWidth="1"/>
    <col min="1541" max="1541" width="18.81640625" style="45" customWidth="1"/>
    <col min="1542" max="1542" width="21.453125" style="45" customWidth="1"/>
    <col min="1543" max="1543" width="26.54296875" style="45" customWidth="1"/>
    <col min="1544" max="1792" width="9.1796875" style="45"/>
    <col min="1793" max="1793" width="0" style="45" hidden="1" customWidth="1"/>
    <col min="1794" max="1794" width="27.54296875" style="45" bestFit="1" customWidth="1"/>
    <col min="1795" max="1795" width="20.1796875" style="45" customWidth="1"/>
    <col min="1796" max="1796" width="21.7265625" style="45" customWidth="1"/>
    <col min="1797" max="1797" width="18.81640625" style="45" customWidth="1"/>
    <col min="1798" max="1798" width="21.453125" style="45" customWidth="1"/>
    <col min="1799" max="1799" width="26.54296875" style="45" customWidth="1"/>
    <col min="1800" max="2048" width="9.1796875" style="45"/>
    <col min="2049" max="2049" width="0" style="45" hidden="1" customWidth="1"/>
    <col min="2050" max="2050" width="27.54296875" style="45" bestFit="1" customWidth="1"/>
    <col min="2051" max="2051" width="20.1796875" style="45" customWidth="1"/>
    <col min="2052" max="2052" width="21.7265625" style="45" customWidth="1"/>
    <col min="2053" max="2053" width="18.81640625" style="45" customWidth="1"/>
    <col min="2054" max="2054" width="21.453125" style="45" customWidth="1"/>
    <col min="2055" max="2055" width="26.54296875" style="45" customWidth="1"/>
    <col min="2056" max="2304" width="9.1796875" style="45"/>
    <col min="2305" max="2305" width="0" style="45" hidden="1" customWidth="1"/>
    <col min="2306" max="2306" width="27.54296875" style="45" bestFit="1" customWidth="1"/>
    <col min="2307" max="2307" width="20.1796875" style="45" customWidth="1"/>
    <col min="2308" max="2308" width="21.7265625" style="45" customWidth="1"/>
    <col min="2309" max="2309" width="18.81640625" style="45" customWidth="1"/>
    <col min="2310" max="2310" width="21.453125" style="45" customWidth="1"/>
    <col min="2311" max="2311" width="26.54296875" style="45" customWidth="1"/>
    <col min="2312" max="2560" width="9.1796875" style="45"/>
    <col min="2561" max="2561" width="0" style="45" hidden="1" customWidth="1"/>
    <col min="2562" max="2562" width="27.54296875" style="45" bestFit="1" customWidth="1"/>
    <col min="2563" max="2563" width="20.1796875" style="45" customWidth="1"/>
    <col min="2564" max="2564" width="21.7265625" style="45" customWidth="1"/>
    <col min="2565" max="2565" width="18.81640625" style="45" customWidth="1"/>
    <col min="2566" max="2566" width="21.453125" style="45" customWidth="1"/>
    <col min="2567" max="2567" width="26.54296875" style="45" customWidth="1"/>
    <col min="2568" max="2816" width="9.1796875" style="45"/>
    <col min="2817" max="2817" width="0" style="45" hidden="1" customWidth="1"/>
    <col min="2818" max="2818" width="27.54296875" style="45" bestFit="1" customWidth="1"/>
    <col min="2819" max="2819" width="20.1796875" style="45" customWidth="1"/>
    <col min="2820" max="2820" width="21.7265625" style="45" customWidth="1"/>
    <col min="2821" max="2821" width="18.81640625" style="45" customWidth="1"/>
    <col min="2822" max="2822" width="21.453125" style="45" customWidth="1"/>
    <col min="2823" max="2823" width="26.54296875" style="45" customWidth="1"/>
    <col min="2824" max="3072" width="9.1796875" style="45"/>
    <col min="3073" max="3073" width="0" style="45" hidden="1" customWidth="1"/>
    <col min="3074" max="3074" width="27.54296875" style="45" bestFit="1" customWidth="1"/>
    <col min="3075" max="3075" width="20.1796875" style="45" customWidth="1"/>
    <col min="3076" max="3076" width="21.7265625" style="45" customWidth="1"/>
    <col min="3077" max="3077" width="18.81640625" style="45" customWidth="1"/>
    <col min="3078" max="3078" width="21.453125" style="45" customWidth="1"/>
    <col min="3079" max="3079" width="26.54296875" style="45" customWidth="1"/>
    <col min="3080" max="3328" width="9.1796875" style="45"/>
    <col min="3329" max="3329" width="0" style="45" hidden="1" customWidth="1"/>
    <col min="3330" max="3330" width="27.54296875" style="45" bestFit="1" customWidth="1"/>
    <col min="3331" max="3331" width="20.1796875" style="45" customWidth="1"/>
    <col min="3332" max="3332" width="21.7265625" style="45" customWidth="1"/>
    <col min="3333" max="3333" width="18.81640625" style="45" customWidth="1"/>
    <col min="3334" max="3334" width="21.453125" style="45" customWidth="1"/>
    <col min="3335" max="3335" width="26.54296875" style="45" customWidth="1"/>
    <col min="3336" max="3584" width="9.1796875" style="45"/>
    <col min="3585" max="3585" width="0" style="45" hidden="1" customWidth="1"/>
    <col min="3586" max="3586" width="27.54296875" style="45" bestFit="1" customWidth="1"/>
    <col min="3587" max="3587" width="20.1796875" style="45" customWidth="1"/>
    <col min="3588" max="3588" width="21.7265625" style="45" customWidth="1"/>
    <col min="3589" max="3589" width="18.81640625" style="45" customWidth="1"/>
    <col min="3590" max="3590" width="21.453125" style="45" customWidth="1"/>
    <col min="3591" max="3591" width="26.54296875" style="45" customWidth="1"/>
    <col min="3592" max="3840" width="9.1796875" style="45"/>
    <col min="3841" max="3841" width="0" style="45" hidden="1" customWidth="1"/>
    <col min="3842" max="3842" width="27.54296875" style="45" bestFit="1" customWidth="1"/>
    <col min="3843" max="3843" width="20.1796875" style="45" customWidth="1"/>
    <col min="3844" max="3844" width="21.7265625" style="45" customWidth="1"/>
    <col min="3845" max="3845" width="18.81640625" style="45" customWidth="1"/>
    <col min="3846" max="3846" width="21.453125" style="45" customWidth="1"/>
    <col min="3847" max="3847" width="26.54296875" style="45" customWidth="1"/>
    <col min="3848" max="4096" width="9.1796875" style="45"/>
    <col min="4097" max="4097" width="0" style="45" hidden="1" customWidth="1"/>
    <col min="4098" max="4098" width="27.54296875" style="45" bestFit="1" customWidth="1"/>
    <col min="4099" max="4099" width="20.1796875" style="45" customWidth="1"/>
    <col min="4100" max="4100" width="21.7265625" style="45" customWidth="1"/>
    <col min="4101" max="4101" width="18.81640625" style="45" customWidth="1"/>
    <col min="4102" max="4102" width="21.453125" style="45" customWidth="1"/>
    <col min="4103" max="4103" width="26.54296875" style="45" customWidth="1"/>
    <col min="4104" max="4352" width="9.1796875" style="45"/>
    <col min="4353" max="4353" width="0" style="45" hidden="1" customWidth="1"/>
    <col min="4354" max="4354" width="27.54296875" style="45" bestFit="1" customWidth="1"/>
    <col min="4355" max="4355" width="20.1796875" style="45" customWidth="1"/>
    <col min="4356" max="4356" width="21.7265625" style="45" customWidth="1"/>
    <col min="4357" max="4357" width="18.81640625" style="45" customWidth="1"/>
    <col min="4358" max="4358" width="21.453125" style="45" customWidth="1"/>
    <col min="4359" max="4359" width="26.54296875" style="45" customWidth="1"/>
    <col min="4360" max="4608" width="9.1796875" style="45"/>
    <col min="4609" max="4609" width="0" style="45" hidden="1" customWidth="1"/>
    <col min="4610" max="4610" width="27.54296875" style="45" bestFit="1" customWidth="1"/>
    <col min="4611" max="4611" width="20.1796875" style="45" customWidth="1"/>
    <col min="4612" max="4612" width="21.7265625" style="45" customWidth="1"/>
    <col min="4613" max="4613" width="18.81640625" style="45" customWidth="1"/>
    <col min="4614" max="4614" width="21.453125" style="45" customWidth="1"/>
    <col min="4615" max="4615" width="26.54296875" style="45" customWidth="1"/>
    <col min="4616" max="4864" width="9.1796875" style="45"/>
    <col min="4865" max="4865" width="0" style="45" hidden="1" customWidth="1"/>
    <col min="4866" max="4866" width="27.54296875" style="45" bestFit="1" customWidth="1"/>
    <col min="4867" max="4867" width="20.1796875" style="45" customWidth="1"/>
    <col min="4868" max="4868" width="21.7265625" style="45" customWidth="1"/>
    <col min="4869" max="4869" width="18.81640625" style="45" customWidth="1"/>
    <col min="4870" max="4870" width="21.453125" style="45" customWidth="1"/>
    <col min="4871" max="4871" width="26.54296875" style="45" customWidth="1"/>
    <col min="4872" max="5120" width="9.1796875" style="45"/>
    <col min="5121" max="5121" width="0" style="45" hidden="1" customWidth="1"/>
    <col min="5122" max="5122" width="27.54296875" style="45" bestFit="1" customWidth="1"/>
    <col min="5123" max="5123" width="20.1796875" style="45" customWidth="1"/>
    <col min="5124" max="5124" width="21.7265625" style="45" customWidth="1"/>
    <col min="5125" max="5125" width="18.81640625" style="45" customWidth="1"/>
    <col min="5126" max="5126" width="21.453125" style="45" customWidth="1"/>
    <col min="5127" max="5127" width="26.54296875" style="45" customWidth="1"/>
    <col min="5128" max="5376" width="9.1796875" style="45"/>
    <col min="5377" max="5377" width="0" style="45" hidden="1" customWidth="1"/>
    <col min="5378" max="5378" width="27.54296875" style="45" bestFit="1" customWidth="1"/>
    <col min="5379" max="5379" width="20.1796875" style="45" customWidth="1"/>
    <col min="5380" max="5380" width="21.7265625" style="45" customWidth="1"/>
    <col min="5381" max="5381" width="18.81640625" style="45" customWidth="1"/>
    <col min="5382" max="5382" width="21.453125" style="45" customWidth="1"/>
    <col min="5383" max="5383" width="26.54296875" style="45" customWidth="1"/>
    <col min="5384" max="5632" width="9.1796875" style="45"/>
    <col min="5633" max="5633" width="0" style="45" hidden="1" customWidth="1"/>
    <col min="5634" max="5634" width="27.54296875" style="45" bestFit="1" customWidth="1"/>
    <col min="5635" max="5635" width="20.1796875" style="45" customWidth="1"/>
    <col min="5636" max="5636" width="21.7265625" style="45" customWidth="1"/>
    <col min="5637" max="5637" width="18.81640625" style="45" customWidth="1"/>
    <col min="5638" max="5638" width="21.453125" style="45" customWidth="1"/>
    <col min="5639" max="5639" width="26.54296875" style="45" customWidth="1"/>
    <col min="5640" max="5888" width="9.1796875" style="45"/>
    <col min="5889" max="5889" width="0" style="45" hidden="1" customWidth="1"/>
    <col min="5890" max="5890" width="27.54296875" style="45" bestFit="1" customWidth="1"/>
    <col min="5891" max="5891" width="20.1796875" style="45" customWidth="1"/>
    <col min="5892" max="5892" width="21.7265625" style="45" customWidth="1"/>
    <col min="5893" max="5893" width="18.81640625" style="45" customWidth="1"/>
    <col min="5894" max="5894" width="21.453125" style="45" customWidth="1"/>
    <col min="5895" max="5895" width="26.54296875" style="45" customWidth="1"/>
    <col min="5896" max="6144" width="9.1796875" style="45"/>
    <col min="6145" max="6145" width="0" style="45" hidden="1" customWidth="1"/>
    <col min="6146" max="6146" width="27.54296875" style="45" bestFit="1" customWidth="1"/>
    <col min="6147" max="6147" width="20.1796875" style="45" customWidth="1"/>
    <col min="6148" max="6148" width="21.7265625" style="45" customWidth="1"/>
    <col min="6149" max="6149" width="18.81640625" style="45" customWidth="1"/>
    <col min="6150" max="6150" width="21.453125" style="45" customWidth="1"/>
    <col min="6151" max="6151" width="26.54296875" style="45" customWidth="1"/>
    <col min="6152" max="6400" width="9.1796875" style="45"/>
    <col min="6401" max="6401" width="0" style="45" hidden="1" customWidth="1"/>
    <col min="6402" max="6402" width="27.54296875" style="45" bestFit="1" customWidth="1"/>
    <col min="6403" max="6403" width="20.1796875" style="45" customWidth="1"/>
    <col min="6404" max="6404" width="21.7265625" style="45" customWidth="1"/>
    <col min="6405" max="6405" width="18.81640625" style="45" customWidth="1"/>
    <col min="6406" max="6406" width="21.453125" style="45" customWidth="1"/>
    <col min="6407" max="6407" width="26.54296875" style="45" customWidth="1"/>
    <col min="6408" max="6656" width="9.1796875" style="45"/>
    <col min="6657" max="6657" width="0" style="45" hidden="1" customWidth="1"/>
    <col min="6658" max="6658" width="27.54296875" style="45" bestFit="1" customWidth="1"/>
    <col min="6659" max="6659" width="20.1796875" style="45" customWidth="1"/>
    <col min="6660" max="6660" width="21.7265625" style="45" customWidth="1"/>
    <col min="6661" max="6661" width="18.81640625" style="45" customWidth="1"/>
    <col min="6662" max="6662" width="21.453125" style="45" customWidth="1"/>
    <col min="6663" max="6663" width="26.54296875" style="45" customWidth="1"/>
    <col min="6664" max="6912" width="9.1796875" style="45"/>
    <col min="6913" max="6913" width="0" style="45" hidden="1" customWidth="1"/>
    <col min="6914" max="6914" width="27.54296875" style="45" bestFit="1" customWidth="1"/>
    <col min="6915" max="6915" width="20.1796875" style="45" customWidth="1"/>
    <col min="6916" max="6916" width="21.7265625" style="45" customWidth="1"/>
    <col min="6917" max="6917" width="18.81640625" style="45" customWidth="1"/>
    <col min="6918" max="6918" width="21.453125" style="45" customWidth="1"/>
    <col min="6919" max="6919" width="26.54296875" style="45" customWidth="1"/>
    <col min="6920" max="7168" width="9.1796875" style="45"/>
    <col min="7169" max="7169" width="0" style="45" hidden="1" customWidth="1"/>
    <col min="7170" max="7170" width="27.54296875" style="45" bestFit="1" customWidth="1"/>
    <col min="7171" max="7171" width="20.1796875" style="45" customWidth="1"/>
    <col min="7172" max="7172" width="21.7265625" style="45" customWidth="1"/>
    <col min="7173" max="7173" width="18.81640625" style="45" customWidth="1"/>
    <col min="7174" max="7174" width="21.453125" style="45" customWidth="1"/>
    <col min="7175" max="7175" width="26.54296875" style="45" customWidth="1"/>
    <col min="7176" max="7424" width="9.1796875" style="45"/>
    <col min="7425" max="7425" width="0" style="45" hidden="1" customWidth="1"/>
    <col min="7426" max="7426" width="27.54296875" style="45" bestFit="1" customWidth="1"/>
    <col min="7427" max="7427" width="20.1796875" style="45" customWidth="1"/>
    <col min="7428" max="7428" width="21.7265625" style="45" customWidth="1"/>
    <col min="7429" max="7429" width="18.81640625" style="45" customWidth="1"/>
    <col min="7430" max="7430" width="21.453125" style="45" customWidth="1"/>
    <col min="7431" max="7431" width="26.54296875" style="45" customWidth="1"/>
    <col min="7432" max="7680" width="9.1796875" style="45"/>
    <col min="7681" max="7681" width="0" style="45" hidden="1" customWidth="1"/>
    <col min="7682" max="7682" width="27.54296875" style="45" bestFit="1" customWidth="1"/>
    <col min="7683" max="7683" width="20.1796875" style="45" customWidth="1"/>
    <col min="7684" max="7684" width="21.7265625" style="45" customWidth="1"/>
    <col min="7685" max="7685" width="18.81640625" style="45" customWidth="1"/>
    <col min="7686" max="7686" width="21.453125" style="45" customWidth="1"/>
    <col min="7687" max="7687" width="26.54296875" style="45" customWidth="1"/>
    <col min="7688" max="7936" width="9.1796875" style="45"/>
    <col min="7937" max="7937" width="0" style="45" hidden="1" customWidth="1"/>
    <col min="7938" max="7938" width="27.54296875" style="45" bestFit="1" customWidth="1"/>
    <col min="7939" max="7939" width="20.1796875" style="45" customWidth="1"/>
    <col min="7940" max="7940" width="21.7265625" style="45" customWidth="1"/>
    <col min="7941" max="7941" width="18.81640625" style="45" customWidth="1"/>
    <col min="7942" max="7942" width="21.453125" style="45" customWidth="1"/>
    <col min="7943" max="7943" width="26.54296875" style="45" customWidth="1"/>
    <col min="7944" max="8192" width="9.1796875" style="45"/>
    <col min="8193" max="8193" width="0" style="45" hidden="1" customWidth="1"/>
    <col min="8194" max="8194" width="27.54296875" style="45" bestFit="1" customWidth="1"/>
    <col min="8195" max="8195" width="20.1796875" style="45" customWidth="1"/>
    <col min="8196" max="8196" width="21.7265625" style="45" customWidth="1"/>
    <col min="8197" max="8197" width="18.81640625" style="45" customWidth="1"/>
    <col min="8198" max="8198" width="21.453125" style="45" customWidth="1"/>
    <col min="8199" max="8199" width="26.54296875" style="45" customWidth="1"/>
    <col min="8200" max="8448" width="9.1796875" style="45"/>
    <col min="8449" max="8449" width="0" style="45" hidden="1" customWidth="1"/>
    <col min="8450" max="8450" width="27.54296875" style="45" bestFit="1" customWidth="1"/>
    <col min="8451" max="8451" width="20.1796875" style="45" customWidth="1"/>
    <col min="8452" max="8452" width="21.7265625" style="45" customWidth="1"/>
    <col min="8453" max="8453" width="18.81640625" style="45" customWidth="1"/>
    <col min="8454" max="8454" width="21.453125" style="45" customWidth="1"/>
    <col min="8455" max="8455" width="26.54296875" style="45" customWidth="1"/>
    <col min="8456" max="8704" width="9.1796875" style="45"/>
    <col min="8705" max="8705" width="0" style="45" hidden="1" customWidth="1"/>
    <col min="8706" max="8706" width="27.54296875" style="45" bestFit="1" customWidth="1"/>
    <col min="8707" max="8707" width="20.1796875" style="45" customWidth="1"/>
    <col min="8708" max="8708" width="21.7265625" style="45" customWidth="1"/>
    <col min="8709" max="8709" width="18.81640625" style="45" customWidth="1"/>
    <col min="8710" max="8710" width="21.453125" style="45" customWidth="1"/>
    <col min="8711" max="8711" width="26.54296875" style="45" customWidth="1"/>
    <col min="8712" max="8960" width="9.1796875" style="45"/>
    <col min="8961" max="8961" width="0" style="45" hidden="1" customWidth="1"/>
    <col min="8962" max="8962" width="27.54296875" style="45" bestFit="1" customWidth="1"/>
    <col min="8963" max="8963" width="20.1796875" style="45" customWidth="1"/>
    <col min="8964" max="8964" width="21.7265625" style="45" customWidth="1"/>
    <col min="8965" max="8965" width="18.81640625" style="45" customWidth="1"/>
    <col min="8966" max="8966" width="21.453125" style="45" customWidth="1"/>
    <col min="8967" max="8967" width="26.54296875" style="45" customWidth="1"/>
    <col min="8968" max="9216" width="9.1796875" style="45"/>
    <col min="9217" max="9217" width="0" style="45" hidden="1" customWidth="1"/>
    <col min="9218" max="9218" width="27.54296875" style="45" bestFit="1" customWidth="1"/>
    <col min="9219" max="9219" width="20.1796875" style="45" customWidth="1"/>
    <col min="9220" max="9220" width="21.7265625" style="45" customWidth="1"/>
    <col min="9221" max="9221" width="18.81640625" style="45" customWidth="1"/>
    <col min="9222" max="9222" width="21.453125" style="45" customWidth="1"/>
    <col min="9223" max="9223" width="26.54296875" style="45" customWidth="1"/>
    <col min="9224" max="9472" width="9.1796875" style="45"/>
    <col min="9473" max="9473" width="0" style="45" hidden="1" customWidth="1"/>
    <col min="9474" max="9474" width="27.54296875" style="45" bestFit="1" customWidth="1"/>
    <col min="9475" max="9475" width="20.1796875" style="45" customWidth="1"/>
    <col min="9476" max="9476" width="21.7265625" style="45" customWidth="1"/>
    <col min="9477" max="9477" width="18.81640625" style="45" customWidth="1"/>
    <col min="9478" max="9478" width="21.453125" style="45" customWidth="1"/>
    <col min="9479" max="9479" width="26.54296875" style="45" customWidth="1"/>
    <col min="9480" max="9728" width="9.1796875" style="45"/>
    <col min="9729" max="9729" width="0" style="45" hidden="1" customWidth="1"/>
    <col min="9730" max="9730" width="27.54296875" style="45" bestFit="1" customWidth="1"/>
    <col min="9731" max="9731" width="20.1796875" style="45" customWidth="1"/>
    <col min="9732" max="9732" width="21.7265625" style="45" customWidth="1"/>
    <col min="9733" max="9733" width="18.81640625" style="45" customWidth="1"/>
    <col min="9734" max="9734" width="21.453125" style="45" customWidth="1"/>
    <col min="9735" max="9735" width="26.54296875" style="45" customWidth="1"/>
    <col min="9736" max="9984" width="9.1796875" style="45"/>
    <col min="9985" max="9985" width="0" style="45" hidden="1" customWidth="1"/>
    <col min="9986" max="9986" width="27.54296875" style="45" bestFit="1" customWidth="1"/>
    <col min="9987" max="9987" width="20.1796875" style="45" customWidth="1"/>
    <col min="9988" max="9988" width="21.7265625" style="45" customWidth="1"/>
    <col min="9989" max="9989" width="18.81640625" style="45" customWidth="1"/>
    <col min="9990" max="9990" width="21.453125" style="45" customWidth="1"/>
    <col min="9991" max="9991" width="26.54296875" style="45" customWidth="1"/>
    <col min="9992" max="10240" width="9.1796875" style="45"/>
    <col min="10241" max="10241" width="0" style="45" hidden="1" customWidth="1"/>
    <col min="10242" max="10242" width="27.54296875" style="45" bestFit="1" customWidth="1"/>
    <col min="10243" max="10243" width="20.1796875" style="45" customWidth="1"/>
    <col min="10244" max="10244" width="21.7265625" style="45" customWidth="1"/>
    <col min="10245" max="10245" width="18.81640625" style="45" customWidth="1"/>
    <col min="10246" max="10246" width="21.453125" style="45" customWidth="1"/>
    <col min="10247" max="10247" width="26.54296875" style="45" customWidth="1"/>
    <col min="10248" max="10496" width="9.1796875" style="45"/>
    <col min="10497" max="10497" width="0" style="45" hidden="1" customWidth="1"/>
    <col min="10498" max="10498" width="27.54296875" style="45" bestFit="1" customWidth="1"/>
    <col min="10499" max="10499" width="20.1796875" style="45" customWidth="1"/>
    <col min="10500" max="10500" width="21.7265625" style="45" customWidth="1"/>
    <col min="10501" max="10501" width="18.81640625" style="45" customWidth="1"/>
    <col min="10502" max="10502" width="21.453125" style="45" customWidth="1"/>
    <col min="10503" max="10503" width="26.54296875" style="45" customWidth="1"/>
    <col min="10504" max="10752" width="9.1796875" style="45"/>
    <col min="10753" max="10753" width="0" style="45" hidden="1" customWidth="1"/>
    <col min="10754" max="10754" width="27.54296875" style="45" bestFit="1" customWidth="1"/>
    <col min="10755" max="10755" width="20.1796875" style="45" customWidth="1"/>
    <col min="10756" max="10756" width="21.7265625" style="45" customWidth="1"/>
    <col min="10757" max="10757" width="18.81640625" style="45" customWidth="1"/>
    <col min="10758" max="10758" width="21.453125" style="45" customWidth="1"/>
    <col min="10759" max="10759" width="26.54296875" style="45" customWidth="1"/>
    <col min="10760" max="11008" width="9.1796875" style="45"/>
    <col min="11009" max="11009" width="0" style="45" hidden="1" customWidth="1"/>
    <col min="11010" max="11010" width="27.54296875" style="45" bestFit="1" customWidth="1"/>
    <col min="11011" max="11011" width="20.1796875" style="45" customWidth="1"/>
    <col min="11012" max="11012" width="21.7265625" style="45" customWidth="1"/>
    <col min="11013" max="11013" width="18.81640625" style="45" customWidth="1"/>
    <col min="11014" max="11014" width="21.453125" style="45" customWidth="1"/>
    <col min="11015" max="11015" width="26.54296875" style="45" customWidth="1"/>
    <col min="11016" max="11264" width="9.1796875" style="45"/>
    <col min="11265" max="11265" width="0" style="45" hidden="1" customWidth="1"/>
    <col min="11266" max="11266" width="27.54296875" style="45" bestFit="1" customWidth="1"/>
    <col min="11267" max="11267" width="20.1796875" style="45" customWidth="1"/>
    <col min="11268" max="11268" width="21.7265625" style="45" customWidth="1"/>
    <col min="11269" max="11269" width="18.81640625" style="45" customWidth="1"/>
    <col min="11270" max="11270" width="21.453125" style="45" customWidth="1"/>
    <col min="11271" max="11271" width="26.54296875" style="45" customWidth="1"/>
    <col min="11272" max="11520" width="9.1796875" style="45"/>
    <col min="11521" max="11521" width="0" style="45" hidden="1" customWidth="1"/>
    <col min="11522" max="11522" width="27.54296875" style="45" bestFit="1" customWidth="1"/>
    <col min="11523" max="11523" width="20.1796875" style="45" customWidth="1"/>
    <col min="11524" max="11524" width="21.7265625" style="45" customWidth="1"/>
    <col min="11525" max="11525" width="18.81640625" style="45" customWidth="1"/>
    <col min="11526" max="11526" width="21.453125" style="45" customWidth="1"/>
    <col min="11527" max="11527" width="26.54296875" style="45" customWidth="1"/>
    <col min="11528" max="11776" width="9.1796875" style="45"/>
    <col min="11777" max="11777" width="0" style="45" hidden="1" customWidth="1"/>
    <col min="11778" max="11778" width="27.54296875" style="45" bestFit="1" customWidth="1"/>
    <col min="11779" max="11779" width="20.1796875" style="45" customWidth="1"/>
    <col min="11780" max="11780" width="21.7265625" style="45" customWidth="1"/>
    <col min="11781" max="11781" width="18.81640625" style="45" customWidth="1"/>
    <col min="11782" max="11782" width="21.453125" style="45" customWidth="1"/>
    <col min="11783" max="11783" width="26.54296875" style="45" customWidth="1"/>
    <col min="11784" max="12032" width="9.1796875" style="45"/>
    <col min="12033" max="12033" width="0" style="45" hidden="1" customWidth="1"/>
    <col min="12034" max="12034" width="27.54296875" style="45" bestFit="1" customWidth="1"/>
    <col min="12035" max="12035" width="20.1796875" style="45" customWidth="1"/>
    <col min="12036" max="12036" width="21.7265625" style="45" customWidth="1"/>
    <col min="12037" max="12037" width="18.81640625" style="45" customWidth="1"/>
    <col min="12038" max="12038" width="21.453125" style="45" customWidth="1"/>
    <col min="12039" max="12039" width="26.54296875" style="45" customWidth="1"/>
    <col min="12040" max="12288" width="9.1796875" style="45"/>
    <col min="12289" max="12289" width="0" style="45" hidden="1" customWidth="1"/>
    <col min="12290" max="12290" width="27.54296875" style="45" bestFit="1" customWidth="1"/>
    <col min="12291" max="12291" width="20.1796875" style="45" customWidth="1"/>
    <col min="12292" max="12292" width="21.7265625" style="45" customWidth="1"/>
    <col min="12293" max="12293" width="18.81640625" style="45" customWidth="1"/>
    <col min="12294" max="12294" width="21.453125" style="45" customWidth="1"/>
    <col min="12295" max="12295" width="26.54296875" style="45" customWidth="1"/>
    <col min="12296" max="12544" width="9.1796875" style="45"/>
    <col min="12545" max="12545" width="0" style="45" hidden="1" customWidth="1"/>
    <col min="12546" max="12546" width="27.54296875" style="45" bestFit="1" customWidth="1"/>
    <col min="12547" max="12547" width="20.1796875" style="45" customWidth="1"/>
    <col min="12548" max="12548" width="21.7265625" style="45" customWidth="1"/>
    <col min="12549" max="12549" width="18.81640625" style="45" customWidth="1"/>
    <col min="12550" max="12550" width="21.453125" style="45" customWidth="1"/>
    <col min="12551" max="12551" width="26.54296875" style="45" customWidth="1"/>
    <col min="12552" max="12800" width="9.1796875" style="45"/>
    <col min="12801" max="12801" width="0" style="45" hidden="1" customWidth="1"/>
    <col min="12802" max="12802" width="27.54296875" style="45" bestFit="1" customWidth="1"/>
    <col min="12803" max="12803" width="20.1796875" style="45" customWidth="1"/>
    <col min="12804" max="12804" width="21.7265625" style="45" customWidth="1"/>
    <col min="12805" max="12805" width="18.81640625" style="45" customWidth="1"/>
    <col min="12806" max="12806" width="21.453125" style="45" customWidth="1"/>
    <col min="12807" max="12807" width="26.54296875" style="45" customWidth="1"/>
    <col min="12808" max="13056" width="9.1796875" style="45"/>
    <col min="13057" max="13057" width="0" style="45" hidden="1" customWidth="1"/>
    <col min="13058" max="13058" width="27.54296875" style="45" bestFit="1" customWidth="1"/>
    <col min="13059" max="13059" width="20.1796875" style="45" customWidth="1"/>
    <col min="13060" max="13060" width="21.7265625" style="45" customWidth="1"/>
    <col min="13061" max="13061" width="18.81640625" style="45" customWidth="1"/>
    <col min="13062" max="13062" width="21.453125" style="45" customWidth="1"/>
    <col min="13063" max="13063" width="26.54296875" style="45" customWidth="1"/>
    <col min="13064" max="13312" width="9.1796875" style="45"/>
    <col min="13313" max="13313" width="0" style="45" hidden="1" customWidth="1"/>
    <col min="13314" max="13314" width="27.54296875" style="45" bestFit="1" customWidth="1"/>
    <col min="13315" max="13315" width="20.1796875" style="45" customWidth="1"/>
    <col min="13316" max="13316" width="21.7265625" style="45" customWidth="1"/>
    <col min="13317" max="13317" width="18.81640625" style="45" customWidth="1"/>
    <col min="13318" max="13318" width="21.453125" style="45" customWidth="1"/>
    <col min="13319" max="13319" width="26.54296875" style="45" customWidth="1"/>
    <col min="13320" max="13568" width="9.1796875" style="45"/>
    <col min="13569" max="13569" width="0" style="45" hidden="1" customWidth="1"/>
    <col min="13570" max="13570" width="27.54296875" style="45" bestFit="1" customWidth="1"/>
    <col min="13571" max="13571" width="20.1796875" style="45" customWidth="1"/>
    <col min="13572" max="13572" width="21.7265625" style="45" customWidth="1"/>
    <col min="13573" max="13573" width="18.81640625" style="45" customWidth="1"/>
    <col min="13574" max="13574" width="21.453125" style="45" customWidth="1"/>
    <col min="13575" max="13575" width="26.54296875" style="45" customWidth="1"/>
    <col min="13576" max="13824" width="9.1796875" style="45"/>
    <col min="13825" max="13825" width="0" style="45" hidden="1" customWidth="1"/>
    <col min="13826" max="13826" width="27.54296875" style="45" bestFit="1" customWidth="1"/>
    <col min="13827" max="13827" width="20.1796875" style="45" customWidth="1"/>
    <col min="13828" max="13828" width="21.7265625" style="45" customWidth="1"/>
    <col min="13829" max="13829" width="18.81640625" style="45" customWidth="1"/>
    <col min="13830" max="13830" width="21.453125" style="45" customWidth="1"/>
    <col min="13831" max="13831" width="26.54296875" style="45" customWidth="1"/>
    <col min="13832" max="14080" width="9.1796875" style="45"/>
    <col min="14081" max="14081" width="0" style="45" hidden="1" customWidth="1"/>
    <col min="14082" max="14082" width="27.54296875" style="45" bestFit="1" customWidth="1"/>
    <col min="14083" max="14083" width="20.1796875" style="45" customWidth="1"/>
    <col min="14084" max="14084" width="21.7265625" style="45" customWidth="1"/>
    <col min="14085" max="14085" width="18.81640625" style="45" customWidth="1"/>
    <col min="14086" max="14086" width="21.453125" style="45" customWidth="1"/>
    <col min="14087" max="14087" width="26.54296875" style="45" customWidth="1"/>
    <col min="14088" max="14336" width="9.1796875" style="45"/>
    <col min="14337" max="14337" width="0" style="45" hidden="1" customWidth="1"/>
    <col min="14338" max="14338" width="27.54296875" style="45" bestFit="1" customWidth="1"/>
    <col min="14339" max="14339" width="20.1796875" style="45" customWidth="1"/>
    <col min="14340" max="14340" width="21.7265625" style="45" customWidth="1"/>
    <col min="14341" max="14341" width="18.81640625" style="45" customWidth="1"/>
    <col min="14342" max="14342" width="21.453125" style="45" customWidth="1"/>
    <col min="14343" max="14343" width="26.54296875" style="45" customWidth="1"/>
    <col min="14344" max="14592" width="9.1796875" style="45"/>
    <col min="14593" max="14593" width="0" style="45" hidden="1" customWidth="1"/>
    <col min="14594" max="14594" width="27.54296875" style="45" bestFit="1" customWidth="1"/>
    <col min="14595" max="14595" width="20.1796875" style="45" customWidth="1"/>
    <col min="14596" max="14596" width="21.7265625" style="45" customWidth="1"/>
    <col min="14597" max="14597" width="18.81640625" style="45" customWidth="1"/>
    <col min="14598" max="14598" width="21.453125" style="45" customWidth="1"/>
    <col min="14599" max="14599" width="26.54296875" style="45" customWidth="1"/>
    <col min="14600" max="14848" width="9.1796875" style="45"/>
    <col min="14849" max="14849" width="0" style="45" hidden="1" customWidth="1"/>
    <col min="14850" max="14850" width="27.54296875" style="45" bestFit="1" customWidth="1"/>
    <col min="14851" max="14851" width="20.1796875" style="45" customWidth="1"/>
    <col min="14852" max="14852" width="21.7265625" style="45" customWidth="1"/>
    <col min="14853" max="14853" width="18.81640625" style="45" customWidth="1"/>
    <col min="14854" max="14854" width="21.453125" style="45" customWidth="1"/>
    <col min="14855" max="14855" width="26.54296875" style="45" customWidth="1"/>
    <col min="14856" max="15104" width="9.1796875" style="45"/>
    <col min="15105" max="15105" width="0" style="45" hidden="1" customWidth="1"/>
    <col min="15106" max="15106" width="27.54296875" style="45" bestFit="1" customWidth="1"/>
    <col min="15107" max="15107" width="20.1796875" style="45" customWidth="1"/>
    <col min="15108" max="15108" width="21.7265625" style="45" customWidth="1"/>
    <col min="15109" max="15109" width="18.81640625" style="45" customWidth="1"/>
    <col min="15110" max="15110" width="21.453125" style="45" customWidth="1"/>
    <col min="15111" max="15111" width="26.54296875" style="45" customWidth="1"/>
    <col min="15112" max="15360" width="9.1796875" style="45"/>
    <col min="15361" max="15361" width="0" style="45" hidden="1" customWidth="1"/>
    <col min="15362" max="15362" width="27.54296875" style="45" bestFit="1" customWidth="1"/>
    <col min="15363" max="15363" width="20.1796875" style="45" customWidth="1"/>
    <col min="15364" max="15364" width="21.7265625" style="45" customWidth="1"/>
    <col min="15365" max="15365" width="18.81640625" style="45" customWidth="1"/>
    <col min="15366" max="15366" width="21.453125" style="45" customWidth="1"/>
    <col min="15367" max="15367" width="26.54296875" style="45" customWidth="1"/>
    <col min="15368" max="15616" width="9.1796875" style="45"/>
    <col min="15617" max="15617" width="0" style="45" hidden="1" customWidth="1"/>
    <col min="15618" max="15618" width="27.54296875" style="45" bestFit="1" customWidth="1"/>
    <col min="15619" max="15619" width="20.1796875" style="45" customWidth="1"/>
    <col min="15620" max="15620" width="21.7265625" style="45" customWidth="1"/>
    <col min="15621" max="15621" width="18.81640625" style="45" customWidth="1"/>
    <col min="15622" max="15622" width="21.453125" style="45" customWidth="1"/>
    <col min="15623" max="15623" width="26.54296875" style="45" customWidth="1"/>
    <col min="15624" max="15872" width="9.1796875" style="45"/>
    <col min="15873" max="15873" width="0" style="45" hidden="1" customWidth="1"/>
    <col min="15874" max="15874" width="27.54296875" style="45" bestFit="1" customWidth="1"/>
    <col min="15875" max="15875" width="20.1796875" style="45" customWidth="1"/>
    <col min="15876" max="15876" width="21.7265625" style="45" customWidth="1"/>
    <col min="15877" max="15877" width="18.81640625" style="45" customWidth="1"/>
    <col min="15878" max="15878" width="21.453125" style="45" customWidth="1"/>
    <col min="15879" max="15879" width="26.54296875" style="45" customWidth="1"/>
    <col min="15880" max="16128" width="9.1796875" style="45"/>
    <col min="16129" max="16129" width="0" style="45" hidden="1" customWidth="1"/>
    <col min="16130" max="16130" width="27.54296875" style="45" bestFit="1" customWidth="1"/>
    <col min="16131" max="16131" width="20.1796875" style="45" customWidth="1"/>
    <col min="16132" max="16132" width="21.7265625" style="45" customWidth="1"/>
    <col min="16133" max="16133" width="18.81640625" style="45" customWidth="1"/>
    <col min="16134" max="16134" width="21.453125" style="45" customWidth="1"/>
    <col min="16135" max="16135" width="26.54296875" style="45" customWidth="1"/>
    <col min="16136" max="16384" width="9.1796875" style="45"/>
  </cols>
  <sheetData>
    <row r="1" spans="1:13" s="23" customFormat="1" ht="41.25" customHeight="1" x14ac:dyDescent="0.35">
      <c r="B1" s="152" t="s">
        <v>74</v>
      </c>
      <c r="C1" s="153"/>
      <c r="D1" s="153"/>
      <c r="E1" s="153"/>
      <c r="F1" s="153"/>
      <c r="G1" s="154"/>
    </row>
    <row r="2" spans="1:13" s="24" customFormat="1" ht="28.5" customHeight="1" x14ac:dyDescent="0.35">
      <c r="C2" s="25" t="s">
        <v>1</v>
      </c>
      <c r="D2" s="25" t="s">
        <v>59</v>
      </c>
      <c r="E2" s="25" t="s">
        <v>60</v>
      </c>
      <c r="F2" s="25" t="s">
        <v>61</v>
      </c>
      <c r="G2" s="26" t="s">
        <v>5</v>
      </c>
    </row>
    <row r="3" spans="1:13" s="24" customFormat="1" ht="28.5" customHeight="1" x14ac:dyDescent="0.35">
      <c r="B3" s="27" t="s">
        <v>0</v>
      </c>
      <c r="C3" s="28">
        <v>1625</v>
      </c>
      <c r="D3" s="28">
        <v>1568</v>
      </c>
      <c r="E3" s="28">
        <v>125</v>
      </c>
      <c r="F3" s="28">
        <v>1015</v>
      </c>
      <c r="G3" s="28">
        <v>4333</v>
      </c>
      <c r="I3" s="29"/>
      <c r="J3" s="30"/>
      <c r="K3" s="30"/>
      <c r="L3" s="30"/>
      <c r="M3" s="30"/>
    </row>
    <row r="4" spans="1:13" s="27" customFormat="1" ht="25.5" customHeight="1" x14ac:dyDescent="0.35">
      <c r="A4" s="31"/>
      <c r="B4" s="27" t="s">
        <v>62</v>
      </c>
      <c r="C4" s="32">
        <v>892</v>
      </c>
      <c r="D4" s="32">
        <v>1527</v>
      </c>
      <c r="E4" s="32">
        <v>99</v>
      </c>
      <c r="F4" s="32">
        <v>692</v>
      </c>
      <c r="G4" s="32">
        <v>3210</v>
      </c>
      <c r="I4" s="30"/>
      <c r="J4" s="30"/>
      <c r="K4" s="30"/>
      <c r="L4" s="30"/>
      <c r="M4" s="30"/>
    </row>
    <row r="5" spans="1:13" s="34" customFormat="1" ht="12.75" customHeight="1" x14ac:dyDescent="0.35">
      <c r="A5" s="33">
        <v>51</v>
      </c>
      <c r="B5" s="34" t="s">
        <v>10</v>
      </c>
      <c r="C5" s="80">
        <v>31</v>
      </c>
      <c r="D5" s="80">
        <v>12</v>
      </c>
      <c r="E5" s="80">
        <v>2</v>
      </c>
      <c r="F5" s="80">
        <v>19</v>
      </c>
      <c r="G5" s="32">
        <v>64</v>
      </c>
      <c r="I5" s="30"/>
      <c r="J5" s="30"/>
      <c r="K5" s="30"/>
      <c r="L5" s="30"/>
      <c r="M5" s="30"/>
    </row>
    <row r="6" spans="1:13" s="34" customFormat="1" ht="12.75" customHeight="1" x14ac:dyDescent="0.35">
      <c r="A6" s="33">
        <v>52</v>
      </c>
      <c r="B6" s="34" t="s">
        <v>11</v>
      </c>
      <c r="C6" s="80">
        <v>21</v>
      </c>
      <c r="D6" s="80">
        <v>23</v>
      </c>
      <c r="E6" s="80">
        <v>3</v>
      </c>
      <c r="F6" s="80">
        <v>14</v>
      </c>
      <c r="G6" s="32">
        <v>61</v>
      </c>
      <c r="I6" s="30"/>
      <c r="J6" s="30"/>
      <c r="K6" s="30"/>
      <c r="L6" s="30"/>
      <c r="M6" s="30"/>
    </row>
    <row r="7" spans="1:13" s="34" customFormat="1" ht="12.75" customHeight="1" x14ac:dyDescent="0.35">
      <c r="A7" s="33">
        <v>86</v>
      </c>
      <c r="B7" s="34" t="s">
        <v>12</v>
      </c>
      <c r="C7" s="80">
        <v>23</v>
      </c>
      <c r="D7" s="80">
        <v>20</v>
      </c>
      <c r="E7" s="80">
        <v>6</v>
      </c>
      <c r="F7" s="80">
        <v>26</v>
      </c>
      <c r="G7" s="32">
        <v>75</v>
      </c>
      <c r="I7" s="30"/>
      <c r="J7" s="30"/>
      <c r="K7" s="30"/>
      <c r="L7" s="30"/>
      <c r="M7" s="30"/>
    </row>
    <row r="8" spans="1:13" s="34" customFormat="1" ht="14" x14ac:dyDescent="0.35">
      <c r="A8" s="33">
        <v>53</v>
      </c>
      <c r="B8" s="34" t="s">
        <v>13</v>
      </c>
      <c r="C8" s="80">
        <v>36</v>
      </c>
      <c r="D8" s="80">
        <v>54</v>
      </c>
      <c r="E8" s="80">
        <v>15</v>
      </c>
      <c r="F8" s="80">
        <v>27</v>
      </c>
      <c r="G8" s="32">
        <v>132</v>
      </c>
      <c r="I8" s="30"/>
      <c r="J8" s="30"/>
      <c r="K8" s="30"/>
      <c r="L8" s="30"/>
      <c r="M8" s="30"/>
    </row>
    <row r="9" spans="1:13" s="34" customFormat="1" ht="12.75" customHeight="1" x14ac:dyDescent="0.35">
      <c r="A9" s="33">
        <v>54</v>
      </c>
      <c r="B9" s="34" t="s">
        <v>14</v>
      </c>
      <c r="C9" s="80">
        <v>15</v>
      </c>
      <c r="D9" s="80">
        <v>39</v>
      </c>
      <c r="E9" s="80">
        <v>4</v>
      </c>
      <c r="F9" s="80">
        <v>8</v>
      </c>
      <c r="G9" s="32">
        <v>66</v>
      </c>
      <c r="I9" s="30"/>
      <c r="J9" s="30"/>
      <c r="K9" s="30"/>
      <c r="L9" s="30"/>
      <c r="M9" s="30"/>
    </row>
    <row r="10" spans="1:13" s="34" customFormat="1" ht="12.75" customHeight="1" x14ac:dyDescent="0.35">
      <c r="A10" s="33">
        <v>55</v>
      </c>
      <c r="B10" s="34" t="s">
        <v>15</v>
      </c>
      <c r="C10" s="80">
        <v>34</v>
      </c>
      <c r="D10" s="80">
        <v>31</v>
      </c>
      <c r="E10" s="80">
        <v>0</v>
      </c>
      <c r="F10" s="80">
        <v>29</v>
      </c>
      <c r="G10" s="32">
        <v>94</v>
      </c>
      <c r="I10" s="30"/>
      <c r="J10" s="30"/>
      <c r="K10" s="30"/>
      <c r="L10" s="30"/>
      <c r="M10" s="30"/>
    </row>
    <row r="11" spans="1:13" s="34" customFormat="1" ht="13.5" customHeight="1" x14ac:dyDescent="0.35">
      <c r="A11" s="33">
        <v>56</v>
      </c>
      <c r="B11" s="34" t="s">
        <v>16</v>
      </c>
      <c r="C11" s="80">
        <v>34</v>
      </c>
      <c r="D11" s="80">
        <v>8</v>
      </c>
      <c r="E11" s="80">
        <v>1</v>
      </c>
      <c r="F11" s="80">
        <v>17</v>
      </c>
      <c r="G11" s="32">
        <v>60</v>
      </c>
      <c r="I11" s="30"/>
      <c r="J11" s="30"/>
      <c r="K11" s="30"/>
      <c r="L11" s="30"/>
      <c r="M11" s="30"/>
    </row>
    <row r="12" spans="1:13" s="34" customFormat="1" ht="13.5" customHeight="1" x14ac:dyDescent="0.35">
      <c r="A12" s="33">
        <v>57</v>
      </c>
      <c r="B12" s="34" t="s">
        <v>17</v>
      </c>
      <c r="C12" s="80">
        <v>10</v>
      </c>
      <c r="D12" s="80">
        <v>41</v>
      </c>
      <c r="E12" s="80">
        <v>3</v>
      </c>
      <c r="F12" s="80">
        <v>19</v>
      </c>
      <c r="G12" s="32">
        <v>73</v>
      </c>
      <c r="I12" s="30"/>
      <c r="J12" s="30"/>
      <c r="K12" s="30"/>
      <c r="L12" s="30"/>
      <c r="M12" s="30"/>
    </row>
    <row r="13" spans="1:13" s="34" customFormat="1" ht="12.75" customHeight="1" x14ac:dyDescent="0.35">
      <c r="A13" s="33">
        <v>59</v>
      </c>
      <c r="B13" s="34" t="s">
        <v>18</v>
      </c>
      <c r="C13" s="80">
        <v>6</v>
      </c>
      <c r="D13" s="80">
        <v>51</v>
      </c>
      <c r="E13" s="80">
        <v>0</v>
      </c>
      <c r="F13" s="80">
        <v>5</v>
      </c>
      <c r="G13" s="32">
        <v>62</v>
      </c>
      <c r="I13" s="30"/>
      <c r="J13" s="30"/>
      <c r="K13" s="30"/>
      <c r="L13" s="30"/>
      <c r="M13" s="30"/>
    </row>
    <row r="14" spans="1:13" s="34" customFormat="1" ht="12.75" customHeight="1" x14ac:dyDescent="0.35">
      <c r="A14" s="33">
        <v>60</v>
      </c>
      <c r="B14" s="34" t="s">
        <v>19</v>
      </c>
      <c r="C14" s="80">
        <v>20</v>
      </c>
      <c r="D14" s="80">
        <v>34</v>
      </c>
      <c r="E14" s="80">
        <v>1</v>
      </c>
      <c r="F14" s="80">
        <v>14</v>
      </c>
      <c r="G14" s="32">
        <v>69</v>
      </c>
      <c r="I14" s="30"/>
      <c r="J14" s="30"/>
      <c r="K14" s="30"/>
      <c r="L14" s="30"/>
      <c r="M14" s="30"/>
    </row>
    <row r="15" spans="1:13" s="34" customFormat="1" ht="12.75" customHeight="1" x14ac:dyDescent="0.35">
      <c r="A15" s="33">
        <v>61</v>
      </c>
      <c r="B15" s="36" t="s">
        <v>63</v>
      </c>
      <c r="C15" s="80">
        <v>34</v>
      </c>
      <c r="D15" s="80">
        <v>128</v>
      </c>
      <c r="E15" s="80">
        <v>5</v>
      </c>
      <c r="F15" s="80">
        <v>28</v>
      </c>
      <c r="G15" s="32">
        <v>195</v>
      </c>
      <c r="I15" s="30"/>
      <c r="J15" s="30"/>
      <c r="K15" s="30"/>
      <c r="L15" s="30"/>
      <c r="M15" s="30"/>
    </row>
    <row r="16" spans="1:13" s="34" customFormat="1" ht="12.75" customHeight="1" x14ac:dyDescent="0.35">
      <c r="A16" s="33">
        <v>62</v>
      </c>
      <c r="B16" s="34" t="s">
        <v>106</v>
      </c>
      <c r="C16" s="80">
        <v>30</v>
      </c>
      <c r="D16" s="80">
        <v>69</v>
      </c>
      <c r="E16" s="80">
        <v>12</v>
      </c>
      <c r="F16" s="80">
        <v>45</v>
      </c>
      <c r="G16" s="80">
        <v>156</v>
      </c>
      <c r="I16" s="30"/>
      <c r="J16" s="30"/>
      <c r="K16" s="30"/>
      <c r="L16" s="30"/>
      <c r="M16" s="30"/>
    </row>
    <row r="17" spans="1:13" s="34" customFormat="1" ht="12.75" customHeight="1" x14ac:dyDescent="0.35">
      <c r="A17" s="33">
        <v>58</v>
      </c>
      <c r="B17" s="34" t="s">
        <v>22</v>
      </c>
      <c r="C17" s="80">
        <v>23</v>
      </c>
      <c r="D17" s="80">
        <v>17</v>
      </c>
      <c r="E17" s="80">
        <v>1</v>
      </c>
      <c r="F17" s="80">
        <v>6</v>
      </c>
      <c r="G17" s="32">
        <v>47</v>
      </c>
      <c r="I17" s="30"/>
      <c r="J17" s="30"/>
      <c r="K17" s="30"/>
      <c r="L17" s="30"/>
      <c r="M17" s="30"/>
    </row>
    <row r="18" spans="1:13" s="34" customFormat="1" ht="12.75" customHeight="1" x14ac:dyDescent="0.35">
      <c r="A18" s="33">
        <v>63</v>
      </c>
      <c r="B18" s="34" t="s">
        <v>23</v>
      </c>
      <c r="C18" s="80">
        <v>26</v>
      </c>
      <c r="D18" s="80">
        <v>16</v>
      </c>
      <c r="E18" s="80">
        <v>3</v>
      </c>
      <c r="F18" s="80">
        <v>10</v>
      </c>
      <c r="G18" s="32">
        <v>55</v>
      </c>
      <c r="I18" s="30"/>
      <c r="J18" s="30"/>
      <c r="K18" s="30"/>
      <c r="L18" s="30"/>
      <c r="M18" s="30"/>
    </row>
    <row r="19" spans="1:13" s="34" customFormat="1" ht="12.75" customHeight="1" x14ac:dyDescent="0.35">
      <c r="A19" s="33">
        <v>64</v>
      </c>
      <c r="B19" s="34" t="s">
        <v>24</v>
      </c>
      <c r="C19" s="80">
        <v>43</v>
      </c>
      <c r="D19" s="80">
        <v>62</v>
      </c>
      <c r="E19" s="80">
        <v>2</v>
      </c>
      <c r="F19" s="80">
        <v>42</v>
      </c>
      <c r="G19" s="32">
        <v>149</v>
      </c>
      <c r="I19" s="30"/>
      <c r="J19" s="30"/>
      <c r="K19" s="30"/>
      <c r="L19" s="30"/>
      <c r="M19" s="30"/>
    </row>
    <row r="20" spans="1:13" s="34" customFormat="1" ht="12.75" customHeight="1" x14ac:dyDescent="0.35">
      <c r="A20" s="33">
        <v>65</v>
      </c>
      <c r="B20" s="34" t="s">
        <v>25</v>
      </c>
      <c r="C20" s="80">
        <v>15</v>
      </c>
      <c r="D20" s="80">
        <v>35</v>
      </c>
      <c r="E20" s="80">
        <v>3</v>
      </c>
      <c r="F20" s="80">
        <v>8</v>
      </c>
      <c r="G20" s="32">
        <v>61</v>
      </c>
      <c r="I20" s="30"/>
      <c r="J20" s="30"/>
      <c r="K20" s="30"/>
      <c r="L20" s="30"/>
      <c r="M20" s="30"/>
    </row>
    <row r="21" spans="1:13" s="34" customFormat="1" ht="12.75" customHeight="1" x14ac:dyDescent="0.35">
      <c r="A21" s="33">
        <v>67</v>
      </c>
      <c r="B21" s="34" t="s">
        <v>28</v>
      </c>
      <c r="C21" s="80">
        <v>69</v>
      </c>
      <c r="D21" s="80">
        <v>120</v>
      </c>
      <c r="E21" s="80">
        <v>4</v>
      </c>
      <c r="F21" s="80">
        <v>53</v>
      </c>
      <c r="G21" s="32">
        <v>246</v>
      </c>
      <c r="I21" s="30"/>
      <c r="J21" s="30"/>
      <c r="K21" s="30"/>
      <c r="L21" s="30"/>
      <c r="M21" s="30"/>
    </row>
    <row r="22" spans="1:13" s="34" customFormat="1" ht="12.75" customHeight="1" x14ac:dyDescent="0.35">
      <c r="A22" s="33">
        <v>68</v>
      </c>
      <c r="B22" s="34" t="s">
        <v>64</v>
      </c>
      <c r="C22" s="80">
        <v>22</v>
      </c>
      <c r="D22" s="80">
        <v>47</v>
      </c>
      <c r="E22" s="80">
        <v>3</v>
      </c>
      <c r="F22" s="80">
        <v>28</v>
      </c>
      <c r="G22" s="32">
        <v>100</v>
      </c>
      <c r="I22" s="30"/>
      <c r="J22" s="30"/>
      <c r="K22" s="30"/>
      <c r="L22" s="30"/>
      <c r="M22" s="30"/>
    </row>
    <row r="23" spans="1:13" s="34" customFormat="1" ht="12.75" customHeight="1" x14ac:dyDescent="0.35">
      <c r="A23" s="33">
        <v>69</v>
      </c>
      <c r="B23" s="34" t="s">
        <v>30</v>
      </c>
      <c r="C23" s="80">
        <v>33</v>
      </c>
      <c r="D23" s="80">
        <v>33</v>
      </c>
      <c r="E23" s="80">
        <v>2</v>
      </c>
      <c r="F23" s="80">
        <v>24</v>
      </c>
      <c r="G23" s="32">
        <v>92</v>
      </c>
      <c r="I23" s="30"/>
      <c r="J23" s="30"/>
      <c r="K23" s="30"/>
      <c r="L23" s="30"/>
      <c r="M23" s="30"/>
    </row>
    <row r="24" spans="1:13" s="34" customFormat="1" ht="12.75" customHeight="1" x14ac:dyDescent="0.35">
      <c r="A24" s="33">
        <v>70</v>
      </c>
      <c r="B24" s="34" t="s">
        <v>31</v>
      </c>
      <c r="C24" s="80">
        <v>33</v>
      </c>
      <c r="D24" s="80">
        <v>19</v>
      </c>
      <c r="E24" s="80">
        <v>0</v>
      </c>
      <c r="F24" s="80">
        <v>37</v>
      </c>
      <c r="G24" s="32">
        <v>89</v>
      </c>
      <c r="I24" s="30"/>
      <c r="J24" s="30"/>
      <c r="K24" s="30"/>
      <c r="L24" s="30"/>
      <c r="M24" s="30"/>
    </row>
    <row r="25" spans="1:13" s="34" customFormat="1" ht="12.75" customHeight="1" x14ac:dyDescent="0.35">
      <c r="A25" s="33">
        <v>71</v>
      </c>
      <c r="B25" s="34" t="s">
        <v>65</v>
      </c>
      <c r="C25" s="80">
        <v>3</v>
      </c>
      <c r="D25" s="80">
        <v>11</v>
      </c>
      <c r="E25" s="80">
        <v>0</v>
      </c>
      <c r="F25" s="80">
        <v>4</v>
      </c>
      <c r="G25" s="32">
        <v>18</v>
      </c>
      <c r="I25" s="30"/>
      <c r="J25" s="30"/>
      <c r="K25" s="30"/>
      <c r="L25" s="30"/>
      <c r="M25" s="30"/>
    </row>
    <row r="26" spans="1:13" s="34" customFormat="1" ht="12.75" customHeight="1" x14ac:dyDescent="0.35">
      <c r="A26" s="33">
        <v>73</v>
      </c>
      <c r="B26" s="34" t="s">
        <v>34</v>
      </c>
      <c r="C26" s="80">
        <v>36</v>
      </c>
      <c r="D26" s="80">
        <v>74</v>
      </c>
      <c r="E26" s="80">
        <v>1</v>
      </c>
      <c r="F26" s="80">
        <v>23</v>
      </c>
      <c r="G26" s="32">
        <v>134</v>
      </c>
      <c r="I26" s="30"/>
      <c r="J26" s="30"/>
      <c r="K26" s="30"/>
      <c r="L26" s="30"/>
      <c r="M26" s="30"/>
    </row>
    <row r="27" spans="1:13" s="34" customFormat="1" ht="12.75" customHeight="1" x14ac:dyDescent="0.35">
      <c r="A27" s="33">
        <v>74</v>
      </c>
      <c r="B27" s="34" t="s">
        <v>35</v>
      </c>
      <c r="C27" s="80">
        <v>41</v>
      </c>
      <c r="D27" s="80">
        <v>66</v>
      </c>
      <c r="E27" s="80">
        <v>0</v>
      </c>
      <c r="F27" s="80">
        <v>19</v>
      </c>
      <c r="G27" s="32">
        <v>126</v>
      </c>
      <c r="I27" s="30"/>
      <c r="J27" s="30"/>
      <c r="K27" s="30"/>
      <c r="L27" s="30"/>
      <c r="M27" s="30"/>
    </row>
    <row r="28" spans="1:13" s="34" customFormat="1" ht="12.75" customHeight="1" x14ac:dyDescent="0.35">
      <c r="A28" s="33">
        <v>75</v>
      </c>
      <c r="B28" s="34" t="s">
        <v>36</v>
      </c>
      <c r="C28" s="80">
        <v>19</v>
      </c>
      <c r="D28" s="80">
        <v>35</v>
      </c>
      <c r="E28" s="80">
        <v>4</v>
      </c>
      <c r="F28" s="80">
        <v>20</v>
      </c>
      <c r="G28" s="32">
        <v>78</v>
      </c>
      <c r="I28" s="30"/>
      <c r="J28" s="30"/>
      <c r="K28" s="30"/>
      <c r="L28" s="30"/>
      <c r="M28" s="30"/>
    </row>
    <row r="29" spans="1:13" s="34" customFormat="1" ht="12.75" customHeight="1" x14ac:dyDescent="0.35">
      <c r="A29" s="33">
        <v>76</v>
      </c>
      <c r="B29" s="34" t="s">
        <v>37</v>
      </c>
      <c r="C29" s="80">
        <v>9</v>
      </c>
      <c r="D29" s="80">
        <v>40</v>
      </c>
      <c r="E29" s="80">
        <v>1</v>
      </c>
      <c r="F29" s="80">
        <v>13</v>
      </c>
      <c r="G29" s="32">
        <v>63</v>
      </c>
      <c r="I29" s="30"/>
      <c r="J29" s="30"/>
      <c r="K29" s="30"/>
      <c r="L29" s="30"/>
      <c r="M29" s="30"/>
    </row>
    <row r="30" spans="1:13" s="34" customFormat="1" ht="12.75" customHeight="1" x14ac:dyDescent="0.35">
      <c r="A30" s="33">
        <v>79</v>
      </c>
      <c r="B30" s="34" t="s">
        <v>39</v>
      </c>
      <c r="C30" s="80">
        <v>15</v>
      </c>
      <c r="D30" s="80">
        <v>51</v>
      </c>
      <c r="E30" s="80">
        <v>2</v>
      </c>
      <c r="F30" s="80">
        <v>13</v>
      </c>
      <c r="G30" s="32">
        <v>81</v>
      </c>
      <c r="I30" s="30"/>
      <c r="J30" s="30"/>
      <c r="K30" s="30"/>
      <c r="L30" s="30"/>
      <c r="M30" s="30"/>
    </row>
    <row r="31" spans="1:13" s="34" customFormat="1" ht="12.75" customHeight="1" x14ac:dyDescent="0.35">
      <c r="A31" s="33"/>
      <c r="B31" s="34" t="s">
        <v>40</v>
      </c>
      <c r="C31" s="80">
        <v>0</v>
      </c>
      <c r="D31" s="80">
        <v>0</v>
      </c>
      <c r="E31" s="80">
        <v>3</v>
      </c>
      <c r="F31" s="80">
        <v>0</v>
      </c>
      <c r="G31" s="32">
        <v>3</v>
      </c>
      <c r="I31" s="30"/>
      <c r="J31" s="30"/>
      <c r="K31" s="30"/>
      <c r="L31" s="30"/>
      <c r="M31" s="30"/>
    </row>
    <row r="32" spans="1:13" s="34" customFormat="1" ht="12.75" customHeight="1" x14ac:dyDescent="0.35">
      <c r="A32" s="33">
        <v>80</v>
      </c>
      <c r="B32" s="34" t="s">
        <v>41</v>
      </c>
      <c r="C32" s="80">
        <v>18</v>
      </c>
      <c r="D32" s="80">
        <v>55</v>
      </c>
      <c r="E32" s="80">
        <v>1</v>
      </c>
      <c r="F32" s="80">
        <v>11</v>
      </c>
      <c r="G32" s="32">
        <v>85</v>
      </c>
      <c r="I32" s="30"/>
      <c r="J32" s="30"/>
      <c r="K32" s="30"/>
      <c r="L32" s="30"/>
      <c r="M32" s="30"/>
    </row>
    <row r="33" spans="1:13" s="34" customFormat="1" ht="13.5" customHeight="1" x14ac:dyDescent="0.35">
      <c r="A33" s="33">
        <v>81</v>
      </c>
      <c r="B33" s="34" t="s">
        <v>42</v>
      </c>
      <c r="C33" s="80">
        <v>26</v>
      </c>
      <c r="D33" s="80">
        <v>26</v>
      </c>
      <c r="E33" s="80">
        <v>1</v>
      </c>
      <c r="F33" s="80">
        <v>8</v>
      </c>
      <c r="G33" s="32">
        <v>61</v>
      </c>
      <c r="I33" s="30"/>
      <c r="J33" s="30"/>
      <c r="K33" s="30"/>
      <c r="L33" s="30"/>
      <c r="M33" s="30"/>
    </row>
    <row r="34" spans="1:13" s="34" customFormat="1" ht="13.5" customHeight="1" x14ac:dyDescent="0.35">
      <c r="A34" s="33">
        <v>83</v>
      </c>
      <c r="B34" s="34" t="s">
        <v>43</v>
      </c>
      <c r="C34" s="80">
        <v>13</v>
      </c>
      <c r="D34" s="80">
        <v>28</v>
      </c>
      <c r="E34" s="80">
        <v>2</v>
      </c>
      <c r="F34" s="80">
        <v>8</v>
      </c>
      <c r="G34" s="32">
        <v>51</v>
      </c>
      <c r="I34" s="30"/>
      <c r="J34" s="30"/>
      <c r="K34" s="30"/>
      <c r="L34" s="30"/>
      <c r="M34" s="30"/>
    </row>
    <row r="35" spans="1:13" s="34" customFormat="1" ht="14.25" customHeight="1" x14ac:dyDescent="0.35">
      <c r="A35" s="33">
        <v>84</v>
      </c>
      <c r="B35" s="34" t="s">
        <v>44</v>
      </c>
      <c r="C35" s="80">
        <v>29</v>
      </c>
      <c r="D35" s="80">
        <v>32</v>
      </c>
      <c r="E35" s="80">
        <v>0</v>
      </c>
      <c r="F35" s="80">
        <v>23</v>
      </c>
      <c r="G35" s="32">
        <v>84</v>
      </c>
      <c r="I35" s="30"/>
      <c r="J35" s="30"/>
      <c r="K35" s="30"/>
      <c r="L35" s="30"/>
      <c r="M35" s="30"/>
    </row>
    <row r="36" spans="1:13" s="34" customFormat="1" ht="12.75" customHeight="1" x14ac:dyDescent="0.35">
      <c r="A36" s="33">
        <v>85</v>
      </c>
      <c r="B36" s="34" t="s">
        <v>45</v>
      </c>
      <c r="C36" s="80">
        <v>15</v>
      </c>
      <c r="D36" s="80">
        <v>55</v>
      </c>
      <c r="E36" s="80">
        <v>14</v>
      </c>
      <c r="F36" s="80">
        <v>13</v>
      </c>
      <c r="G36" s="32">
        <v>97</v>
      </c>
      <c r="I36" s="30"/>
      <c r="J36" s="30"/>
      <c r="K36" s="30"/>
      <c r="L36" s="30"/>
      <c r="M36" s="30"/>
    </row>
    <row r="37" spans="1:13" s="34" customFormat="1" ht="12.75" customHeight="1" x14ac:dyDescent="0.35">
      <c r="A37" s="33">
        <v>87</v>
      </c>
      <c r="B37" s="34" t="s">
        <v>46</v>
      </c>
      <c r="C37" s="80">
        <v>2</v>
      </c>
      <c r="D37" s="80">
        <v>19</v>
      </c>
      <c r="E37" s="80">
        <v>0</v>
      </c>
      <c r="F37" s="80">
        <v>5</v>
      </c>
      <c r="G37" s="32">
        <v>26</v>
      </c>
      <c r="I37" s="30"/>
      <c r="J37" s="30"/>
      <c r="K37" s="30"/>
      <c r="L37" s="30"/>
      <c r="M37" s="30"/>
    </row>
    <row r="38" spans="1:13" s="34" customFormat="1" ht="12.75" customHeight="1" x14ac:dyDescent="0.35">
      <c r="A38" s="33">
        <v>90</v>
      </c>
      <c r="B38" s="34" t="s">
        <v>48</v>
      </c>
      <c r="C38" s="80">
        <v>33</v>
      </c>
      <c r="D38" s="80">
        <v>63</v>
      </c>
      <c r="E38" s="80">
        <v>0</v>
      </c>
      <c r="F38" s="80">
        <v>19</v>
      </c>
      <c r="G38" s="32">
        <v>115</v>
      </c>
      <c r="I38" s="30"/>
      <c r="J38" s="30"/>
      <c r="K38" s="30"/>
      <c r="L38" s="30"/>
      <c r="M38" s="30"/>
    </row>
    <row r="39" spans="1:13" s="34" customFormat="1" ht="12.75" customHeight="1" x14ac:dyDescent="0.35">
      <c r="A39" s="33">
        <v>91</v>
      </c>
      <c r="B39" s="34" t="s">
        <v>49</v>
      </c>
      <c r="C39" s="80">
        <v>8</v>
      </c>
      <c r="D39" s="80">
        <v>40</v>
      </c>
      <c r="E39" s="80">
        <v>0</v>
      </c>
      <c r="F39" s="80">
        <v>8</v>
      </c>
      <c r="G39" s="32">
        <v>56</v>
      </c>
      <c r="I39" s="30"/>
      <c r="J39" s="30"/>
      <c r="K39" s="30"/>
      <c r="L39" s="30"/>
      <c r="M39" s="30"/>
    </row>
    <row r="40" spans="1:13" s="34" customFormat="1" ht="12.75" customHeight="1" x14ac:dyDescent="0.35">
      <c r="A40" s="33">
        <v>92</v>
      </c>
      <c r="B40" s="34" t="s">
        <v>50</v>
      </c>
      <c r="C40" s="80">
        <v>36</v>
      </c>
      <c r="D40" s="80">
        <v>9</v>
      </c>
      <c r="E40" s="80">
        <v>0</v>
      </c>
      <c r="F40" s="80">
        <v>7</v>
      </c>
      <c r="G40" s="32">
        <v>52</v>
      </c>
      <c r="I40" s="30"/>
      <c r="J40" s="30"/>
      <c r="K40" s="30"/>
      <c r="L40" s="30"/>
      <c r="M40" s="30"/>
    </row>
    <row r="41" spans="1:13" s="34" customFormat="1" ht="12.75" customHeight="1" x14ac:dyDescent="0.35">
      <c r="A41" s="33">
        <v>94</v>
      </c>
      <c r="B41" s="34" t="s">
        <v>52</v>
      </c>
      <c r="C41" s="80">
        <v>12</v>
      </c>
      <c r="D41" s="80">
        <v>18</v>
      </c>
      <c r="E41" s="80">
        <v>0</v>
      </c>
      <c r="F41" s="80">
        <v>11</v>
      </c>
      <c r="G41" s="32">
        <v>41</v>
      </c>
      <c r="I41" s="30"/>
      <c r="J41" s="30"/>
      <c r="K41" s="30"/>
      <c r="L41" s="30"/>
      <c r="M41" s="30"/>
    </row>
    <row r="42" spans="1:13" s="34" customFormat="1" ht="12.75" customHeight="1" x14ac:dyDescent="0.35">
      <c r="A42" s="33">
        <v>96</v>
      </c>
      <c r="B42" s="34" t="s">
        <v>54</v>
      </c>
      <c r="C42" s="80">
        <v>19</v>
      </c>
      <c r="D42" s="80">
        <v>42</v>
      </c>
      <c r="E42" s="80">
        <v>0</v>
      </c>
      <c r="F42" s="80">
        <v>27</v>
      </c>
      <c r="G42" s="32">
        <v>88</v>
      </c>
      <c r="H42" s="37"/>
      <c r="I42" s="30"/>
      <c r="J42" s="30"/>
      <c r="K42" s="30"/>
      <c r="L42" s="30"/>
      <c r="M42" s="30"/>
    </row>
    <row r="43" spans="1:13" s="34" customFormat="1" ht="12.75" customHeight="1" x14ac:dyDescent="0.35">
      <c r="A43" s="33">
        <v>72</v>
      </c>
      <c r="B43" s="34" t="s">
        <v>33</v>
      </c>
      <c r="C43" s="80">
        <v>0</v>
      </c>
      <c r="D43" s="80">
        <v>4</v>
      </c>
      <c r="E43" s="80">
        <v>0</v>
      </c>
      <c r="F43" s="80">
        <v>1</v>
      </c>
      <c r="G43" s="32">
        <v>5</v>
      </c>
      <c r="I43" s="30"/>
      <c r="J43" s="30"/>
      <c r="K43" s="30"/>
      <c r="L43" s="30"/>
      <c r="M43" s="30"/>
    </row>
    <row r="44" spans="1:13" s="27" customFormat="1" ht="25.5" customHeight="1" x14ac:dyDescent="0.35">
      <c r="B44" s="27" t="s">
        <v>66</v>
      </c>
      <c r="C44" s="32">
        <v>733</v>
      </c>
      <c r="D44" s="32">
        <v>41</v>
      </c>
      <c r="E44" s="32">
        <v>26</v>
      </c>
      <c r="F44" s="32">
        <v>323</v>
      </c>
      <c r="G44" s="32">
        <v>1123</v>
      </c>
      <c r="I44" s="30"/>
      <c r="J44" s="30"/>
      <c r="K44" s="30"/>
      <c r="L44" s="30"/>
      <c r="M44" s="30"/>
    </row>
    <row r="45" spans="1:13" s="34" customFormat="1" ht="12.75" customHeight="1" x14ac:dyDescent="0.35">
      <c r="A45" s="33">
        <v>66</v>
      </c>
      <c r="B45" s="34" t="s">
        <v>27</v>
      </c>
      <c r="C45" s="80">
        <v>91</v>
      </c>
      <c r="D45" s="80">
        <v>6</v>
      </c>
      <c r="E45" s="80">
        <v>0</v>
      </c>
      <c r="F45" s="80">
        <v>82</v>
      </c>
      <c r="G45" s="32">
        <v>179</v>
      </c>
      <c r="I45" s="30"/>
      <c r="J45" s="30"/>
      <c r="K45" s="30"/>
      <c r="L45" s="30"/>
      <c r="M45" s="30"/>
    </row>
    <row r="46" spans="1:13" s="34" customFormat="1" ht="14.25" customHeight="1" x14ac:dyDescent="0.35">
      <c r="A46" s="33">
        <v>78</v>
      </c>
      <c r="B46" s="34" t="s">
        <v>38</v>
      </c>
      <c r="C46" s="80">
        <v>60</v>
      </c>
      <c r="D46" s="80">
        <v>11</v>
      </c>
      <c r="E46" s="80">
        <v>2</v>
      </c>
      <c r="F46" s="80">
        <v>55</v>
      </c>
      <c r="G46" s="32">
        <v>128</v>
      </c>
      <c r="I46" s="30"/>
      <c r="J46" s="30"/>
      <c r="K46" s="30"/>
      <c r="L46" s="30"/>
      <c r="M46" s="30"/>
    </row>
    <row r="47" spans="1:13" s="34" customFormat="1" ht="12.75" customHeight="1" x14ac:dyDescent="0.35">
      <c r="A47" s="33">
        <v>89</v>
      </c>
      <c r="B47" s="34" t="s">
        <v>47</v>
      </c>
      <c r="C47" s="80">
        <v>33</v>
      </c>
      <c r="D47" s="80">
        <v>3</v>
      </c>
      <c r="E47" s="80">
        <v>7</v>
      </c>
      <c r="F47" s="80">
        <v>34</v>
      </c>
      <c r="G47" s="32">
        <v>77</v>
      </c>
      <c r="I47" s="30"/>
      <c r="J47" s="30"/>
      <c r="K47" s="30"/>
      <c r="L47" s="30"/>
      <c r="M47" s="30"/>
    </row>
    <row r="48" spans="1:13" s="34" customFormat="1" ht="12.75" customHeight="1" x14ac:dyDescent="0.35">
      <c r="A48" s="33">
        <v>93</v>
      </c>
      <c r="B48" s="34" t="s">
        <v>67</v>
      </c>
      <c r="C48" s="80">
        <v>50</v>
      </c>
      <c r="D48" s="80">
        <v>1</v>
      </c>
      <c r="E48" s="80">
        <v>2</v>
      </c>
      <c r="F48" s="80">
        <v>27</v>
      </c>
      <c r="G48" s="32">
        <v>80</v>
      </c>
      <c r="I48" s="30"/>
      <c r="J48" s="30"/>
      <c r="K48" s="30"/>
      <c r="L48" s="30"/>
      <c r="M48" s="30"/>
    </row>
    <row r="49" spans="1:13" s="34" customFormat="1" ht="12.75" customHeight="1" x14ac:dyDescent="0.35">
      <c r="A49" s="33">
        <v>95</v>
      </c>
      <c r="B49" s="34" t="s">
        <v>53</v>
      </c>
      <c r="C49" s="80">
        <v>86</v>
      </c>
      <c r="D49" s="80">
        <v>1</v>
      </c>
      <c r="E49" s="80">
        <v>4</v>
      </c>
      <c r="F49" s="80">
        <v>38</v>
      </c>
      <c r="G49" s="32">
        <v>129</v>
      </c>
      <c r="I49" s="30"/>
      <c r="J49" s="30"/>
      <c r="K49" s="30"/>
      <c r="L49" s="30"/>
      <c r="M49" s="30"/>
    </row>
    <row r="50" spans="1:13" s="34" customFormat="1" ht="12.75" customHeight="1" x14ac:dyDescent="0.35">
      <c r="A50" s="33">
        <v>97</v>
      </c>
      <c r="B50" s="34" t="s">
        <v>55</v>
      </c>
      <c r="C50" s="80">
        <v>95</v>
      </c>
      <c r="D50" s="80">
        <v>19</v>
      </c>
      <c r="E50" s="80">
        <v>1</v>
      </c>
      <c r="F50" s="80">
        <v>21</v>
      </c>
      <c r="G50" s="32">
        <v>136</v>
      </c>
      <c r="I50" s="30"/>
      <c r="J50" s="30"/>
      <c r="K50" s="30"/>
      <c r="L50" s="30"/>
      <c r="M50" s="30"/>
    </row>
    <row r="51" spans="1:13" s="43" customFormat="1" ht="12.75" customHeight="1" x14ac:dyDescent="0.35">
      <c r="A51" s="33">
        <v>77</v>
      </c>
      <c r="B51" s="39" t="s">
        <v>26</v>
      </c>
      <c r="C51" s="80">
        <v>318</v>
      </c>
      <c r="D51" s="80">
        <v>0</v>
      </c>
      <c r="E51" s="80">
        <v>10</v>
      </c>
      <c r="F51" s="80">
        <v>66</v>
      </c>
      <c r="G51" s="32">
        <v>394</v>
      </c>
      <c r="I51" s="30"/>
      <c r="J51" s="30"/>
      <c r="K51" s="30"/>
      <c r="L51" s="30"/>
      <c r="M51" s="30"/>
    </row>
    <row r="52" spans="1:13" s="34" customFormat="1" ht="10.5" customHeight="1" x14ac:dyDescent="0.35">
      <c r="A52" s="33"/>
      <c r="C52" s="44"/>
      <c r="D52" s="44"/>
      <c r="E52" s="44"/>
      <c r="F52" s="44"/>
      <c r="G52" s="44"/>
      <c r="I52" s="45"/>
    </row>
    <row r="53" spans="1:13" s="34" customFormat="1" ht="13.5" customHeight="1" x14ac:dyDescent="0.35">
      <c r="A53" s="33"/>
      <c r="H53" s="45"/>
      <c r="I53" s="45"/>
    </row>
    <row r="54" spans="1:13" s="34" customFormat="1" ht="13.5" customHeight="1" x14ac:dyDescent="0.35">
      <c r="A54" s="33"/>
      <c r="H54" s="45"/>
      <c r="I54" s="45"/>
    </row>
    <row r="55" spans="1:13" s="34" customFormat="1" x14ac:dyDescent="0.35">
      <c r="A55" s="33"/>
      <c r="B55" s="46"/>
      <c r="H55" s="45"/>
      <c r="I55" s="45"/>
    </row>
    <row r="56" spans="1:13" x14ac:dyDescent="0.35">
      <c r="A56" s="33"/>
      <c r="F56" s="47"/>
      <c r="G56" s="47"/>
    </row>
    <row r="57" spans="1:13" x14ac:dyDescent="0.35">
      <c r="A57" s="33"/>
    </row>
    <row r="58" spans="1:13" x14ac:dyDescent="0.35">
      <c r="A58" s="33"/>
    </row>
    <row r="59" spans="1:13" x14ac:dyDescent="0.35">
      <c r="A59" s="33"/>
      <c r="E59" s="48"/>
    </row>
    <row r="62" spans="1:13" ht="14" x14ac:dyDescent="0.35">
      <c r="B62" s="34" t="s">
        <v>21</v>
      </c>
      <c r="C62" s="80">
        <v>17</v>
      </c>
      <c r="D62" s="80">
        <v>41</v>
      </c>
      <c r="E62" s="80">
        <v>8</v>
      </c>
      <c r="F62" s="80">
        <v>21</v>
      </c>
      <c r="G62" s="32">
        <v>87</v>
      </c>
    </row>
    <row r="63" spans="1:13" ht="14" x14ac:dyDescent="0.35">
      <c r="B63" s="34" t="s">
        <v>56</v>
      </c>
      <c r="C63" s="80">
        <v>13</v>
      </c>
      <c r="D63" s="80">
        <v>28</v>
      </c>
      <c r="E63" s="80">
        <v>4</v>
      </c>
      <c r="F63" s="80">
        <v>24</v>
      </c>
      <c r="G63" s="32">
        <v>69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59"/>
  <sheetViews>
    <sheetView topLeftCell="B1" workbookViewId="0">
      <selection activeCell="A57" sqref="A57:F57"/>
    </sheetView>
  </sheetViews>
  <sheetFormatPr defaultRowHeight="13" x14ac:dyDescent="0.35"/>
  <cols>
    <col min="1" max="1" width="3.54296875" style="45" hidden="1" customWidth="1"/>
    <col min="2" max="2" width="27.54296875" style="45" bestFit="1" customWidth="1"/>
    <col min="3" max="3" width="20.1796875" style="45" customWidth="1"/>
    <col min="4" max="4" width="21.7265625" style="45" customWidth="1"/>
    <col min="5" max="5" width="18.81640625" style="45" customWidth="1"/>
    <col min="6" max="6" width="21.453125" style="45" customWidth="1"/>
    <col min="7" max="7" width="26.54296875" style="45" customWidth="1"/>
    <col min="8" max="8" width="9.1796875" style="45"/>
    <col min="9" max="9" width="10.1796875" style="45" bestFit="1" customWidth="1"/>
    <col min="10" max="256" width="9.1796875" style="45"/>
    <col min="257" max="257" width="0" style="45" hidden="1" customWidth="1"/>
    <col min="258" max="258" width="27.54296875" style="45" bestFit="1" customWidth="1"/>
    <col min="259" max="259" width="20.1796875" style="45" customWidth="1"/>
    <col min="260" max="260" width="21.7265625" style="45" customWidth="1"/>
    <col min="261" max="261" width="18.81640625" style="45" customWidth="1"/>
    <col min="262" max="262" width="21.453125" style="45" customWidth="1"/>
    <col min="263" max="263" width="26.54296875" style="45" customWidth="1"/>
    <col min="264" max="512" width="9.1796875" style="45"/>
    <col min="513" max="513" width="0" style="45" hidden="1" customWidth="1"/>
    <col min="514" max="514" width="27.54296875" style="45" bestFit="1" customWidth="1"/>
    <col min="515" max="515" width="20.1796875" style="45" customWidth="1"/>
    <col min="516" max="516" width="21.7265625" style="45" customWidth="1"/>
    <col min="517" max="517" width="18.81640625" style="45" customWidth="1"/>
    <col min="518" max="518" width="21.453125" style="45" customWidth="1"/>
    <col min="519" max="519" width="26.54296875" style="45" customWidth="1"/>
    <col min="520" max="768" width="9.1796875" style="45"/>
    <col min="769" max="769" width="0" style="45" hidden="1" customWidth="1"/>
    <col min="770" max="770" width="27.54296875" style="45" bestFit="1" customWidth="1"/>
    <col min="771" max="771" width="20.1796875" style="45" customWidth="1"/>
    <col min="772" max="772" width="21.7265625" style="45" customWidth="1"/>
    <col min="773" max="773" width="18.81640625" style="45" customWidth="1"/>
    <col min="774" max="774" width="21.453125" style="45" customWidth="1"/>
    <col min="775" max="775" width="26.54296875" style="45" customWidth="1"/>
    <col min="776" max="1024" width="9.1796875" style="45"/>
    <col min="1025" max="1025" width="0" style="45" hidden="1" customWidth="1"/>
    <col min="1026" max="1026" width="27.54296875" style="45" bestFit="1" customWidth="1"/>
    <col min="1027" max="1027" width="20.1796875" style="45" customWidth="1"/>
    <col min="1028" max="1028" width="21.7265625" style="45" customWidth="1"/>
    <col min="1029" max="1029" width="18.81640625" style="45" customWidth="1"/>
    <col min="1030" max="1030" width="21.453125" style="45" customWidth="1"/>
    <col min="1031" max="1031" width="26.54296875" style="45" customWidth="1"/>
    <col min="1032" max="1280" width="9.1796875" style="45"/>
    <col min="1281" max="1281" width="0" style="45" hidden="1" customWidth="1"/>
    <col min="1282" max="1282" width="27.54296875" style="45" bestFit="1" customWidth="1"/>
    <col min="1283" max="1283" width="20.1796875" style="45" customWidth="1"/>
    <col min="1284" max="1284" width="21.7265625" style="45" customWidth="1"/>
    <col min="1285" max="1285" width="18.81640625" style="45" customWidth="1"/>
    <col min="1286" max="1286" width="21.453125" style="45" customWidth="1"/>
    <col min="1287" max="1287" width="26.54296875" style="45" customWidth="1"/>
    <col min="1288" max="1536" width="9.1796875" style="45"/>
    <col min="1537" max="1537" width="0" style="45" hidden="1" customWidth="1"/>
    <col min="1538" max="1538" width="27.54296875" style="45" bestFit="1" customWidth="1"/>
    <col min="1539" max="1539" width="20.1796875" style="45" customWidth="1"/>
    <col min="1540" max="1540" width="21.7265625" style="45" customWidth="1"/>
    <col min="1541" max="1541" width="18.81640625" style="45" customWidth="1"/>
    <col min="1542" max="1542" width="21.453125" style="45" customWidth="1"/>
    <col min="1543" max="1543" width="26.54296875" style="45" customWidth="1"/>
    <col min="1544" max="1792" width="9.1796875" style="45"/>
    <col min="1793" max="1793" width="0" style="45" hidden="1" customWidth="1"/>
    <col min="1794" max="1794" width="27.54296875" style="45" bestFit="1" customWidth="1"/>
    <col min="1795" max="1795" width="20.1796875" style="45" customWidth="1"/>
    <col min="1796" max="1796" width="21.7265625" style="45" customWidth="1"/>
    <col min="1797" max="1797" width="18.81640625" style="45" customWidth="1"/>
    <col min="1798" max="1798" width="21.453125" style="45" customWidth="1"/>
    <col min="1799" max="1799" width="26.54296875" style="45" customWidth="1"/>
    <col min="1800" max="2048" width="9.1796875" style="45"/>
    <col min="2049" max="2049" width="0" style="45" hidden="1" customWidth="1"/>
    <col min="2050" max="2050" width="27.54296875" style="45" bestFit="1" customWidth="1"/>
    <col min="2051" max="2051" width="20.1796875" style="45" customWidth="1"/>
    <col min="2052" max="2052" width="21.7265625" style="45" customWidth="1"/>
    <col min="2053" max="2053" width="18.81640625" style="45" customWidth="1"/>
    <col min="2054" max="2054" width="21.453125" style="45" customWidth="1"/>
    <col min="2055" max="2055" width="26.54296875" style="45" customWidth="1"/>
    <col min="2056" max="2304" width="9.1796875" style="45"/>
    <col min="2305" max="2305" width="0" style="45" hidden="1" customWidth="1"/>
    <col min="2306" max="2306" width="27.54296875" style="45" bestFit="1" customWidth="1"/>
    <col min="2307" max="2307" width="20.1796875" style="45" customWidth="1"/>
    <col min="2308" max="2308" width="21.7265625" style="45" customWidth="1"/>
    <col min="2309" max="2309" width="18.81640625" style="45" customWidth="1"/>
    <col min="2310" max="2310" width="21.453125" style="45" customWidth="1"/>
    <col min="2311" max="2311" width="26.54296875" style="45" customWidth="1"/>
    <col min="2312" max="2560" width="9.1796875" style="45"/>
    <col min="2561" max="2561" width="0" style="45" hidden="1" customWidth="1"/>
    <col min="2562" max="2562" width="27.54296875" style="45" bestFit="1" customWidth="1"/>
    <col min="2563" max="2563" width="20.1796875" style="45" customWidth="1"/>
    <col min="2564" max="2564" width="21.7265625" style="45" customWidth="1"/>
    <col min="2565" max="2565" width="18.81640625" style="45" customWidth="1"/>
    <col min="2566" max="2566" width="21.453125" style="45" customWidth="1"/>
    <col min="2567" max="2567" width="26.54296875" style="45" customWidth="1"/>
    <col min="2568" max="2816" width="9.1796875" style="45"/>
    <col min="2817" max="2817" width="0" style="45" hidden="1" customWidth="1"/>
    <col min="2818" max="2818" width="27.54296875" style="45" bestFit="1" customWidth="1"/>
    <col min="2819" max="2819" width="20.1796875" style="45" customWidth="1"/>
    <col min="2820" max="2820" width="21.7265625" style="45" customWidth="1"/>
    <col min="2821" max="2821" width="18.81640625" style="45" customWidth="1"/>
    <col min="2822" max="2822" width="21.453125" style="45" customWidth="1"/>
    <col min="2823" max="2823" width="26.54296875" style="45" customWidth="1"/>
    <col min="2824" max="3072" width="9.1796875" style="45"/>
    <col min="3073" max="3073" width="0" style="45" hidden="1" customWidth="1"/>
    <col min="3074" max="3074" width="27.54296875" style="45" bestFit="1" customWidth="1"/>
    <col min="3075" max="3075" width="20.1796875" style="45" customWidth="1"/>
    <col min="3076" max="3076" width="21.7265625" style="45" customWidth="1"/>
    <col min="3077" max="3077" width="18.81640625" style="45" customWidth="1"/>
    <col min="3078" max="3078" width="21.453125" style="45" customWidth="1"/>
    <col min="3079" max="3079" width="26.54296875" style="45" customWidth="1"/>
    <col min="3080" max="3328" width="9.1796875" style="45"/>
    <col min="3329" max="3329" width="0" style="45" hidden="1" customWidth="1"/>
    <col min="3330" max="3330" width="27.54296875" style="45" bestFit="1" customWidth="1"/>
    <col min="3331" max="3331" width="20.1796875" style="45" customWidth="1"/>
    <col min="3332" max="3332" width="21.7265625" style="45" customWidth="1"/>
    <col min="3333" max="3333" width="18.81640625" style="45" customWidth="1"/>
    <col min="3334" max="3334" width="21.453125" style="45" customWidth="1"/>
    <col min="3335" max="3335" width="26.54296875" style="45" customWidth="1"/>
    <col min="3336" max="3584" width="9.1796875" style="45"/>
    <col min="3585" max="3585" width="0" style="45" hidden="1" customWidth="1"/>
    <col min="3586" max="3586" width="27.54296875" style="45" bestFit="1" customWidth="1"/>
    <col min="3587" max="3587" width="20.1796875" style="45" customWidth="1"/>
    <col min="3588" max="3588" width="21.7265625" style="45" customWidth="1"/>
    <col min="3589" max="3589" width="18.81640625" style="45" customWidth="1"/>
    <col min="3590" max="3590" width="21.453125" style="45" customWidth="1"/>
    <col min="3591" max="3591" width="26.54296875" style="45" customWidth="1"/>
    <col min="3592" max="3840" width="9.1796875" style="45"/>
    <col min="3841" max="3841" width="0" style="45" hidden="1" customWidth="1"/>
    <col min="3842" max="3842" width="27.54296875" style="45" bestFit="1" customWidth="1"/>
    <col min="3843" max="3843" width="20.1796875" style="45" customWidth="1"/>
    <col min="3844" max="3844" width="21.7265625" style="45" customWidth="1"/>
    <col min="3845" max="3845" width="18.81640625" style="45" customWidth="1"/>
    <col min="3846" max="3846" width="21.453125" style="45" customWidth="1"/>
    <col min="3847" max="3847" width="26.54296875" style="45" customWidth="1"/>
    <col min="3848" max="4096" width="9.1796875" style="45"/>
    <col min="4097" max="4097" width="0" style="45" hidden="1" customWidth="1"/>
    <col min="4098" max="4098" width="27.54296875" style="45" bestFit="1" customWidth="1"/>
    <col min="4099" max="4099" width="20.1796875" style="45" customWidth="1"/>
    <col min="4100" max="4100" width="21.7265625" style="45" customWidth="1"/>
    <col min="4101" max="4101" width="18.81640625" style="45" customWidth="1"/>
    <col min="4102" max="4102" width="21.453125" style="45" customWidth="1"/>
    <col min="4103" max="4103" width="26.54296875" style="45" customWidth="1"/>
    <col min="4104" max="4352" width="9.1796875" style="45"/>
    <col min="4353" max="4353" width="0" style="45" hidden="1" customWidth="1"/>
    <col min="4354" max="4354" width="27.54296875" style="45" bestFit="1" customWidth="1"/>
    <col min="4355" max="4355" width="20.1796875" style="45" customWidth="1"/>
    <col min="4356" max="4356" width="21.7265625" style="45" customWidth="1"/>
    <col min="4357" max="4357" width="18.81640625" style="45" customWidth="1"/>
    <col min="4358" max="4358" width="21.453125" style="45" customWidth="1"/>
    <col min="4359" max="4359" width="26.54296875" style="45" customWidth="1"/>
    <col min="4360" max="4608" width="9.1796875" style="45"/>
    <col min="4609" max="4609" width="0" style="45" hidden="1" customWidth="1"/>
    <col min="4610" max="4610" width="27.54296875" style="45" bestFit="1" customWidth="1"/>
    <col min="4611" max="4611" width="20.1796875" style="45" customWidth="1"/>
    <col min="4612" max="4612" width="21.7265625" style="45" customWidth="1"/>
    <col min="4613" max="4613" width="18.81640625" style="45" customWidth="1"/>
    <col min="4614" max="4614" width="21.453125" style="45" customWidth="1"/>
    <col min="4615" max="4615" width="26.54296875" style="45" customWidth="1"/>
    <col min="4616" max="4864" width="9.1796875" style="45"/>
    <col min="4865" max="4865" width="0" style="45" hidden="1" customWidth="1"/>
    <col min="4866" max="4866" width="27.54296875" style="45" bestFit="1" customWidth="1"/>
    <col min="4867" max="4867" width="20.1796875" style="45" customWidth="1"/>
    <col min="4868" max="4868" width="21.7265625" style="45" customWidth="1"/>
    <col min="4869" max="4869" width="18.81640625" style="45" customWidth="1"/>
    <col min="4870" max="4870" width="21.453125" style="45" customWidth="1"/>
    <col min="4871" max="4871" width="26.54296875" style="45" customWidth="1"/>
    <col min="4872" max="5120" width="9.1796875" style="45"/>
    <col min="5121" max="5121" width="0" style="45" hidden="1" customWidth="1"/>
    <col min="5122" max="5122" width="27.54296875" style="45" bestFit="1" customWidth="1"/>
    <col min="5123" max="5123" width="20.1796875" style="45" customWidth="1"/>
    <col min="5124" max="5124" width="21.7265625" style="45" customWidth="1"/>
    <col min="5125" max="5125" width="18.81640625" style="45" customWidth="1"/>
    <col min="5126" max="5126" width="21.453125" style="45" customWidth="1"/>
    <col min="5127" max="5127" width="26.54296875" style="45" customWidth="1"/>
    <col min="5128" max="5376" width="9.1796875" style="45"/>
    <col min="5377" max="5377" width="0" style="45" hidden="1" customWidth="1"/>
    <col min="5378" max="5378" width="27.54296875" style="45" bestFit="1" customWidth="1"/>
    <col min="5379" max="5379" width="20.1796875" style="45" customWidth="1"/>
    <col min="5380" max="5380" width="21.7265625" style="45" customWidth="1"/>
    <col min="5381" max="5381" width="18.81640625" style="45" customWidth="1"/>
    <col min="5382" max="5382" width="21.453125" style="45" customWidth="1"/>
    <col min="5383" max="5383" width="26.54296875" style="45" customWidth="1"/>
    <col min="5384" max="5632" width="9.1796875" style="45"/>
    <col min="5633" max="5633" width="0" style="45" hidden="1" customWidth="1"/>
    <col min="5634" max="5634" width="27.54296875" style="45" bestFit="1" customWidth="1"/>
    <col min="5635" max="5635" width="20.1796875" style="45" customWidth="1"/>
    <col min="5636" max="5636" width="21.7265625" style="45" customWidth="1"/>
    <col min="5637" max="5637" width="18.81640625" style="45" customWidth="1"/>
    <col min="5638" max="5638" width="21.453125" style="45" customWidth="1"/>
    <col min="5639" max="5639" width="26.54296875" style="45" customWidth="1"/>
    <col min="5640" max="5888" width="9.1796875" style="45"/>
    <col min="5889" max="5889" width="0" style="45" hidden="1" customWidth="1"/>
    <col min="5890" max="5890" width="27.54296875" style="45" bestFit="1" customWidth="1"/>
    <col min="5891" max="5891" width="20.1796875" style="45" customWidth="1"/>
    <col min="5892" max="5892" width="21.7265625" style="45" customWidth="1"/>
    <col min="5893" max="5893" width="18.81640625" style="45" customWidth="1"/>
    <col min="5894" max="5894" width="21.453125" style="45" customWidth="1"/>
    <col min="5895" max="5895" width="26.54296875" style="45" customWidth="1"/>
    <col min="5896" max="6144" width="9.1796875" style="45"/>
    <col min="6145" max="6145" width="0" style="45" hidden="1" customWidth="1"/>
    <col min="6146" max="6146" width="27.54296875" style="45" bestFit="1" customWidth="1"/>
    <col min="6147" max="6147" width="20.1796875" style="45" customWidth="1"/>
    <col min="6148" max="6148" width="21.7265625" style="45" customWidth="1"/>
    <col min="6149" max="6149" width="18.81640625" style="45" customWidth="1"/>
    <col min="6150" max="6150" width="21.453125" style="45" customWidth="1"/>
    <col min="6151" max="6151" width="26.54296875" style="45" customWidth="1"/>
    <col min="6152" max="6400" width="9.1796875" style="45"/>
    <col min="6401" max="6401" width="0" style="45" hidden="1" customWidth="1"/>
    <col min="6402" max="6402" width="27.54296875" style="45" bestFit="1" customWidth="1"/>
    <col min="6403" max="6403" width="20.1796875" style="45" customWidth="1"/>
    <col min="6404" max="6404" width="21.7265625" style="45" customWidth="1"/>
    <col min="6405" max="6405" width="18.81640625" style="45" customWidth="1"/>
    <col min="6406" max="6406" width="21.453125" style="45" customWidth="1"/>
    <col min="6407" max="6407" width="26.54296875" style="45" customWidth="1"/>
    <col min="6408" max="6656" width="9.1796875" style="45"/>
    <col min="6657" max="6657" width="0" style="45" hidden="1" customWidth="1"/>
    <col min="6658" max="6658" width="27.54296875" style="45" bestFit="1" customWidth="1"/>
    <col min="6659" max="6659" width="20.1796875" style="45" customWidth="1"/>
    <col min="6660" max="6660" width="21.7265625" style="45" customWidth="1"/>
    <col min="6661" max="6661" width="18.81640625" style="45" customWidth="1"/>
    <col min="6662" max="6662" width="21.453125" style="45" customWidth="1"/>
    <col min="6663" max="6663" width="26.54296875" style="45" customWidth="1"/>
    <col min="6664" max="6912" width="9.1796875" style="45"/>
    <col min="6913" max="6913" width="0" style="45" hidden="1" customWidth="1"/>
    <col min="6914" max="6914" width="27.54296875" style="45" bestFit="1" customWidth="1"/>
    <col min="6915" max="6915" width="20.1796875" style="45" customWidth="1"/>
    <col min="6916" max="6916" width="21.7265625" style="45" customWidth="1"/>
    <col min="6917" max="6917" width="18.81640625" style="45" customWidth="1"/>
    <col min="6918" max="6918" width="21.453125" style="45" customWidth="1"/>
    <col min="6919" max="6919" width="26.54296875" style="45" customWidth="1"/>
    <col min="6920" max="7168" width="9.1796875" style="45"/>
    <col min="7169" max="7169" width="0" style="45" hidden="1" customWidth="1"/>
    <col min="7170" max="7170" width="27.54296875" style="45" bestFit="1" customWidth="1"/>
    <col min="7171" max="7171" width="20.1796875" style="45" customWidth="1"/>
    <col min="7172" max="7172" width="21.7265625" style="45" customWidth="1"/>
    <col min="7173" max="7173" width="18.81640625" style="45" customWidth="1"/>
    <col min="7174" max="7174" width="21.453125" style="45" customWidth="1"/>
    <col min="7175" max="7175" width="26.54296875" style="45" customWidth="1"/>
    <col min="7176" max="7424" width="9.1796875" style="45"/>
    <col min="7425" max="7425" width="0" style="45" hidden="1" customWidth="1"/>
    <col min="7426" max="7426" width="27.54296875" style="45" bestFit="1" customWidth="1"/>
    <col min="7427" max="7427" width="20.1796875" style="45" customWidth="1"/>
    <col min="7428" max="7428" width="21.7265625" style="45" customWidth="1"/>
    <col min="7429" max="7429" width="18.81640625" style="45" customWidth="1"/>
    <col min="7430" max="7430" width="21.453125" style="45" customWidth="1"/>
    <col min="7431" max="7431" width="26.54296875" style="45" customWidth="1"/>
    <col min="7432" max="7680" width="9.1796875" style="45"/>
    <col min="7681" max="7681" width="0" style="45" hidden="1" customWidth="1"/>
    <col min="7682" max="7682" width="27.54296875" style="45" bestFit="1" customWidth="1"/>
    <col min="7683" max="7683" width="20.1796875" style="45" customWidth="1"/>
    <col min="7684" max="7684" width="21.7265625" style="45" customWidth="1"/>
    <col min="7685" max="7685" width="18.81640625" style="45" customWidth="1"/>
    <col min="7686" max="7686" width="21.453125" style="45" customWidth="1"/>
    <col min="7687" max="7687" width="26.54296875" style="45" customWidth="1"/>
    <col min="7688" max="7936" width="9.1796875" style="45"/>
    <col min="7937" max="7937" width="0" style="45" hidden="1" customWidth="1"/>
    <col min="7938" max="7938" width="27.54296875" style="45" bestFit="1" customWidth="1"/>
    <col min="7939" max="7939" width="20.1796875" style="45" customWidth="1"/>
    <col min="7940" max="7940" width="21.7265625" style="45" customWidth="1"/>
    <col min="7941" max="7941" width="18.81640625" style="45" customWidth="1"/>
    <col min="7942" max="7942" width="21.453125" style="45" customWidth="1"/>
    <col min="7943" max="7943" width="26.54296875" style="45" customWidth="1"/>
    <col min="7944" max="8192" width="9.1796875" style="45"/>
    <col min="8193" max="8193" width="0" style="45" hidden="1" customWidth="1"/>
    <col min="8194" max="8194" width="27.54296875" style="45" bestFit="1" customWidth="1"/>
    <col min="8195" max="8195" width="20.1796875" style="45" customWidth="1"/>
    <col min="8196" max="8196" width="21.7265625" style="45" customWidth="1"/>
    <col min="8197" max="8197" width="18.81640625" style="45" customWidth="1"/>
    <col min="8198" max="8198" width="21.453125" style="45" customWidth="1"/>
    <col min="8199" max="8199" width="26.54296875" style="45" customWidth="1"/>
    <col min="8200" max="8448" width="9.1796875" style="45"/>
    <col min="8449" max="8449" width="0" style="45" hidden="1" customWidth="1"/>
    <col min="8450" max="8450" width="27.54296875" style="45" bestFit="1" customWidth="1"/>
    <col min="8451" max="8451" width="20.1796875" style="45" customWidth="1"/>
    <col min="8452" max="8452" width="21.7265625" style="45" customWidth="1"/>
    <col min="8453" max="8453" width="18.81640625" style="45" customWidth="1"/>
    <col min="8454" max="8454" width="21.453125" style="45" customWidth="1"/>
    <col min="8455" max="8455" width="26.54296875" style="45" customWidth="1"/>
    <col min="8456" max="8704" width="9.1796875" style="45"/>
    <col min="8705" max="8705" width="0" style="45" hidden="1" customWidth="1"/>
    <col min="8706" max="8706" width="27.54296875" style="45" bestFit="1" customWidth="1"/>
    <col min="8707" max="8707" width="20.1796875" style="45" customWidth="1"/>
    <col min="8708" max="8708" width="21.7265625" style="45" customWidth="1"/>
    <col min="8709" max="8709" width="18.81640625" style="45" customWidth="1"/>
    <col min="8710" max="8710" width="21.453125" style="45" customWidth="1"/>
    <col min="8711" max="8711" width="26.54296875" style="45" customWidth="1"/>
    <col min="8712" max="8960" width="9.1796875" style="45"/>
    <col min="8961" max="8961" width="0" style="45" hidden="1" customWidth="1"/>
    <col min="8962" max="8962" width="27.54296875" style="45" bestFit="1" customWidth="1"/>
    <col min="8963" max="8963" width="20.1796875" style="45" customWidth="1"/>
    <col min="8964" max="8964" width="21.7265625" style="45" customWidth="1"/>
    <col min="8965" max="8965" width="18.81640625" style="45" customWidth="1"/>
    <col min="8966" max="8966" width="21.453125" style="45" customWidth="1"/>
    <col min="8967" max="8967" width="26.54296875" style="45" customWidth="1"/>
    <col min="8968" max="9216" width="9.1796875" style="45"/>
    <col min="9217" max="9217" width="0" style="45" hidden="1" customWidth="1"/>
    <col min="9218" max="9218" width="27.54296875" style="45" bestFit="1" customWidth="1"/>
    <col min="9219" max="9219" width="20.1796875" style="45" customWidth="1"/>
    <col min="9220" max="9220" width="21.7265625" style="45" customWidth="1"/>
    <col min="9221" max="9221" width="18.81640625" style="45" customWidth="1"/>
    <col min="9222" max="9222" width="21.453125" style="45" customWidth="1"/>
    <col min="9223" max="9223" width="26.54296875" style="45" customWidth="1"/>
    <col min="9224" max="9472" width="9.1796875" style="45"/>
    <col min="9473" max="9473" width="0" style="45" hidden="1" customWidth="1"/>
    <col min="9474" max="9474" width="27.54296875" style="45" bestFit="1" customWidth="1"/>
    <col min="9475" max="9475" width="20.1796875" style="45" customWidth="1"/>
    <col min="9476" max="9476" width="21.7265625" style="45" customWidth="1"/>
    <col min="9477" max="9477" width="18.81640625" style="45" customWidth="1"/>
    <col min="9478" max="9478" width="21.453125" style="45" customWidth="1"/>
    <col min="9479" max="9479" width="26.54296875" style="45" customWidth="1"/>
    <col min="9480" max="9728" width="9.1796875" style="45"/>
    <col min="9729" max="9729" width="0" style="45" hidden="1" customWidth="1"/>
    <col min="9730" max="9730" width="27.54296875" style="45" bestFit="1" customWidth="1"/>
    <col min="9731" max="9731" width="20.1796875" style="45" customWidth="1"/>
    <col min="9732" max="9732" width="21.7265625" style="45" customWidth="1"/>
    <col min="9733" max="9733" width="18.81640625" style="45" customWidth="1"/>
    <col min="9734" max="9734" width="21.453125" style="45" customWidth="1"/>
    <col min="9735" max="9735" width="26.54296875" style="45" customWidth="1"/>
    <col min="9736" max="9984" width="9.1796875" style="45"/>
    <col min="9985" max="9985" width="0" style="45" hidden="1" customWidth="1"/>
    <col min="9986" max="9986" width="27.54296875" style="45" bestFit="1" customWidth="1"/>
    <col min="9987" max="9987" width="20.1796875" style="45" customWidth="1"/>
    <col min="9988" max="9988" width="21.7265625" style="45" customWidth="1"/>
    <col min="9989" max="9989" width="18.81640625" style="45" customWidth="1"/>
    <col min="9990" max="9990" width="21.453125" style="45" customWidth="1"/>
    <col min="9991" max="9991" width="26.54296875" style="45" customWidth="1"/>
    <col min="9992" max="10240" width="9.1796875" style="45"/>
    <col min="10241" max="10241" width="0" style="45" hidden="1" customWidth="1"/>
    <col min="10242" max="10242" width="27.54296875" style="45" bestFit="1" customWidth="1"/>
    <col min="10243" max="10243" width="20.1796875" style="45" customWidth="1"/>
    <col min="10244" max="10244" width="21.7265625" style="45" customWidth="1"/>
    <col min="10245" max="10245" width="18.81640625" style="45" customWidth="1"/>
    <col min="10246" max="10246" width="21.453125" style="45" customWidth="1"/>
    <col min="10247" max="10247" width="26.54296875" style="45" customWidth="1"/>
    <col min="10248" max="10496" width="9.1796875" style="45"/>
    <col min="10497" max="10497" width="0" style="45" hidden="1" customWidth="1"/>
    <col min="10498" max="10498" width="27.54296875" style="45" bestFit="1" customWidth="1"/>
    <col min="10499" max="10499" width="20.1796875" style="45" customWidth="1"/>
    <col min="10500" max="10500" width="21.7265625" style="45" customWidth="1"/>
    <col min="10501" max="10501" width="18.81640625" style="45" customWidth="1"/>
    <col min="10502" max="10502" width="21.453125" style="45" customWidth="1"/>
    <col min="10503" max="10503" width="26.54296875" style="45" customWidth="1"/>
    <col min="10504" max="10752" width="9.1796875" style="45"/>
    <col min="10753" max="10753" width="0" style="45" hidden="1" customWidth="1"/>
    <col min="10754" max="10754" width="27.54296875" style="45" bestFit="1" customWidth="1"/>
    <col min="10755" max="10755" width="20.1796875" style="45" customWidth="1"/>
    <col min="10756" max="10756" width="21.7265625" style="45" customWidth="1"/>
    <col min="10757" max="10757" width="18.81640625" style="45" customWidth="1"/>
    <col min="10758" max="10758" width="21.453125" style="45" customWidth="1"/>
    <col min="10759" max="10759" width="26.54296875" style="45" customWidth="1"/>
    <col min="10760" max="11008" width="9.1796875" style="45"/>
    <col min="11009" max="11009" width="0" style="45" hidden="1" customWidth="1"/>
    <col min="11010" max="11010" width="27.54296875" style="45" bestFit="1" customWidth="1"/>
    <col min="11011" max="11011" width="20.1796875" style="45" customWidth="1"/>
    <col min="11012" max="11012" width="21.7265625" style="45" customWidth="1"/>
    <col min="11013" max="11013" width="18.81640625" style="45" customWidth="1"/>
    <col min="11014" max="11014" width="21.453125" style="45" customWidth="1"/>
    <col min="11015" max="11015" width="26.54296875" style="45" customWidth="1"/>
    <col min="11016" max="11264" width="9.1796875" style="45"/>
    <col min="11265" max="11265" width="0" style="45" hidden="1" customWidth="1"/>
    <col min="11266" max="11266" width="27.54296875" style="45" bestFit="1" customWidth="1"/>
    <col min="11267" max="11267" width="20.1796875" style="45" customWidth="1"/>
    <col min="11268" max="11268" width="21.7265625" style="45" customWidth="1"/>
    <col min="11269" max="11269" width="18.81640625" style="45" customWidth="1"/>
    <col min="11270" max="11270" width="21.453125" style="45" customWidth="1"/>
    <col min="11271" max="11271" width="26.54296875" style="45" customWidth="1"/>
    <col min="11272" max="11520" width="9.1796875" style="45"/>
    <col min="11521" max="11521" width="0" style="45" hidden="1" customWidth="1"/>
    <col min="11522" max="11522" width="27.54296875" style="45" bestFit="1" customWidth="1"/>
    <col min="11523" max="11523" width="20.1796875" style="45" customWidth="1"/>
    <col min="11524" max="11524" width="21.7265625" style="45" customWidth="1"/>
    <col min="11525" max="11525" width="18.81640625" style="45" customWidth="1"/>
    <col min="11526" max="11526" width="21.453125" style="45" customWidth="1"/>
    <col min="11527" max="11527" width="26.54296875" style="45" customWidth="1"/>
    <col min="11528" max="11776" width="9.1796875" style="45"/>
    <col min="11777" max="11777" width="0" style="45" hidden="1" customWidth="1"/>
    <col min="11778" max="11778" width="27.54296875" style="45" bestFit="1" customWidth="1"/>
    <col min="11779" max="11779" width="20.1796875" style="45" customWidth="1"/>
    <col min="11780" max="11780" width="21.7265625" style="45" customWidth="1"/>
    <col min="11781" max="11781" width="18.81640625" style="45" customWidth="1"/>
    <col min="11782" max="11782" width="21.453125" style="45" customWidth="1"/>
    <col min="11783" max="11783" width="26.54296875" style="45" customWidth="1"/>
    <col min="11784" max="12032" width="9.1796875" style="45"/>
    <col min="12033" max="12033" width="0" style="45" hidden="1" customWidth="1"/>
    <col min="12034" max="12034" width="27.54296875" style="45" bestFit="1" customWidth="1"/>
    <col min="12035" max="12035" width="20.1796875" style="45" customWidth="1"/>
    <col min="12036" max="12036" width="21.7265625" style="45" customWidth="1"/>
    <col min="12037" max="12037" width="18.81640625" style="45" customWidth="1"/>
    <col min="12038" max="12038" width="21.453125" style="45" customWidth="1"/>
    <col min="12039" max="12039" width="26.54296875" style="45" customWidth="1"/>
    <col min="12040" max="12288" width="9.1796875" style="45"/>
    <col min="12289" max="12289" width="0" style="45" hidden="1" customWidth="1"/>
    <col min="12290" max="12290" width="27.54296875" style="45" bestFit="1" customWidth="1"/>
    <col min="12291" max="12291" width="20.1796875" style="45" customWidth="1"/>
    <col min="12292" max="12292" width="21.7265625" style="45" customWidth="1"/>
    <col min="12293" max="12293" width="18.81640625" style="45" customWidth="1"/>
    <col min="12294" max="12294" width="21.453125" style="45" customWidth="1"/>
    <col min="12295" max="12295" width="26.54296875" style="45" customWidth="1"/>
    <col min="12296" max="12544" width="9.1796875" style="45"/>
    <col min="12545" max="12545" width="0" style="45" hidden="1" customWidth="1"/>
    <col min="12546" max="12546" width="27.54296875" style="45" bestFit="1" customWidth="1"/>
    <col min="12547" max="12547" width="20.1796875" style="45" customWidth="1"/>
    <col min="12548" max="12548" width="21.7265625" style="45" customWidth="1"/>
    <col min="12549" max="12549" width="18.81640625" style="45" customWidth="1"/>
    <col min="12550" max="12550" width="21.453125" style="45" customWidth="1"/>
    <col min="12551" max="12551" width="26.54296875" style="45" customWidth="1"/>
    <col min="12552" max="12800" width="9.1796875" style="45"/>
    <col min="12801" max="12801" width="0" style="45" hidden="1" customWidth="1"/>
    <col min="12802" max="12802" width="27.54296875" style="45" bestFit="1" customWidth="1"/>
    <col min="12803" max="12803" width="20.1796875" style="45" customWidth="1"/>
    <col min="12804" max="12804" width="21.7265625" style="45" customWidth="1"/>
    <col min="12805" max="12805" width="18.81640625" style="45" customWidth="1"/>
    <col min="12806" max="12806" width="21.453125" style="45" customWidth="1"/>
    <col min="12807" max="12807" width="26.54296875" style="45" customWidth="1"/>
    <col min="12808" max="13056" width="9.1796875" style="45"/>
    <col min="13057" max="13057" width="0" style="45" hidden="1" customWidth="1"/>
    <col min="13058" max="13058" width="27.54296875" style="45" bestFit="1" customWidth="1"/>
    <col min="13059" max="13059" width="20.1796875" style="45" customWidth="1"/>
    <col min="13060" max="13060" width="21.7265625" style="45" customWidth="1"/>
    <col min="13061" max="13061" width="18.81640625" style="45" customWidth="1"/>
    <col min="13062" max="13062" width="21.453125" style="45" customWidth="1"/>
    <col min="13063" max="13063" width="26.54296875" style="45" customWidth="1"/>
    <col min="13064" max="13312" width="9.1796875" style="45"/>
    <col min="13313" max="13313" width="0" style="45" hidden="1" customWidth="1"/>
    <col min="13314" max="13314" width="27.54296875" style="45" bestFit="1" customWidth="1"/>
    <col min="13315" max="13315" width="20.1796875" style="45" customWidth="1"/>
    <col min="13316" max="13316" width="21.7265625" style="45" customWidth="1"/>
    <col min="13317" max="13317" width="18.81640625" style="45" customWidth="1"/>
    <col min="13318" max="13318" width="21.453125" style="45" customWidth="1"/>
    <col min="13319" max="13319" width="26.54296875" style="45" customWidth="1"/>
    <col min="13320" max="13568" width="9.1796875" style="45"/>
    <col min="13569" max="13569" width="0" style="45" hidden="1" customWidth="1"/>
    <col min="13570" max="13570" width="27.54296875" style="45" bestFit="1" customWidth="1"/>
    <col min="13571" max="13571" width="20.1796875" style="45" customWidth="1"/>
    <col min="13572" max="13572" width="21.7265625" style="45" customWidth="1"/>
    <col min="13573" max="13573" width="18.81640625" style="45" customWidth="1"/>
    <col min="13574" max="13574" width="21.453125" style="45" customWidth="1"/>
    <col min="13575" max="13575" width="26.54296875" style="45" customWidth="1"/>
    <col min="13576" max="13824" width="9.1796875" style="45"/>
    <col min="13825" max="13825" width="0" style="45" hidden="1" customWidth="1"/>
    <col min="13826" max="13826" width="27.54296875" style="45" bestFit="1" customWidth="1"/>
    <col min="13827" max="13827" width="20.1796875" style="45" customWidth="1"/>
    <col min="13828" max="13828" width="21.7265625" style="45" customWidth="1"/>
    <col min="13829" max="13829" width="18.81640625" style="45" customWidth="1"/>
    <col min="13830" max="13830" width="21.453125" style="45" customWidth="1"/>
    <col min="13831" max="13831" width="26.54296875" style="45" customWidth="1"/>
    <col min="13832" max="14080" width="9.1796875" style="45"/>
    <col min="14081" max="14081" width="0" style="45" hidden="1" customWidth="1"/>
    <col min="14082" max="14082" width="27.54296875" style="45" bestFit="1" customWidth="1"/>
    <col min="14083" max="14083" width="20.1796875" style="45" customWidth="1"/>
    <col min="14084" max="14084" width="21.7265625" style="45" customWidth="1"/>
    <col min="14085" max="14085" width="18.81640625" style="45" customWidth="1"/>
    <col min="14086" max="14086" width="21.453125" style="45" customWidth="1"/>
    <col min="14087" max="14087" width="26.54296875" style="45" customWidth="1"/>
    <col min="14088" max="14336" width="9.1796875" style="45"/>
    <col min="14337" max="14337" width="0" style="45" hidden="1" customWidth="1"/>
    <col min="14338" max="14338" width="27.54296875" style="45" bestFit="1" customWidth="1"/>
    <col min="14339" max="14339" width="20.1796875" style="45" customWidth="1"/>
    <col min="14340" max="14340" width="21.7265625" style="45" customWidth="1"/>
    <col min="14341" max="14341" width="18.81640625" style="45" customWidth="1"/>
    <col min="14342" max="14342" width="21.453125" style="45" customWidth="1"/>
    <col min="14343" max="14343" width="26.54296875" style="45" customWidth="1"/>
    <col min="14344" max="14592" width="9.1796875" style="45"/>
    <col min="14593" max="14593" width="0" style="45" hidden="1" customWidth="1"/>
    <col min="14594" max="14594" width="27.54296875" style="45" bestFit="1" customWidth="1"/>
    <col min="14595" max="14595" width="20.1796875" style="45" customWidth="1"/>
    <col min="14596" max="14596" width="21.7265625" style="45" customWidth="1"/>
    <col min="14597" max="14597" width="18.81640625" style="45" customWidth="1"/>
    <col min="14598" max="14598" width="21.453125" style="45" customWidth="1"/>
    <col min="14599" max="14599" width="26.54296875" style="45" customWidth="1"/>
    <col min="14600" max="14848" width="9.1796875" style="45"/>
    <col min="14849" max="14849" width="0" style="45" hidden="1" customWidth="1"/>
    <col min="14850" max="14850" width="27.54296875" style="45" bestFit="1" customWidth="1"/>
    <col min="14851" max="14851" width="20.1796875" style="45" customWidth="1"/>
    <col min="14852" max="14852" width="21.7265625" style="45" customWidth="1"/>
    <col min="14853" max="14853" width="18.81640625" style="45" customWidth="1"/>
    <col min="14854" max="14854" width="21.453125" style="45" customWidth="1"/>
    <col min="14855" max="14855" width="26.54296875" style="45" customWidth="1"/>
    <col min="14856" max="15104" width="9.1796875" style="45"/>
    <col min="15105" max="15105" width="0" style="45" hidden="1" customWidth="1"/>
    <col min="15106" max="15106" width="27.54296875" style="45" bestFit="1" customWidth="1"/>
    <col min="15107" max="15107" width="20.1796875" style="45" customWidth="1"/>
    <col min="15108" max="15108" width="21.7265625" style="45" customWidth="1"/>
    <col min="15109" max="15109" width="18.81640625" style="45" customWidth="1"/>
    <col min="15110" max="15110" width="21.453125" style="45" customWidth="1"/>
    <col min="15111" max="15111" width="26.54296875" style="45" customWidth="1"/>
    <col min="15112" max="15360" width="9.1796875" style="45"/>
    <col min="15361" max="15361" width="0" style="45" hidden="1" customWidth="1"/>
    <col min="15362" max="15362" width="27.54296875" style="45" bestFit="1" customWidth="1"/>
    <col min="15363" max="15363" width="20.1796875" style="45" customWidth="1"/>
    <col min="15364" max="15364" width="21.7265625" style="45" customWidth="1"/>
    <col min="15365" max="15365" width="18.81640625" style="45" customWidth="1"/>
    <col min="15366" max="15366" width="21.453125" style="45" customWidth="1"/>
    <col min="15367" max="15367" width="26.54296875" style="45" customWidth="1"/>
    <col min="15368" max="15616" width="9.1796875" style="45"/>
    <col min="15617" max="15617" width="0" style="45" hidden="1" customWidth="1"/>
    <col min="15618" max="15618" width="27.54296875" style="45" bestFit="1" customWidth="1"/>
    <col min="15619" max="15619" width="20.1796875" style="45" customWidth="1"/>
    <col min="15620" max="15620" width="21.7265625" style="45" customWidth="1"/>
    <col min="15621" max="15621" width="18.81640625" style="45" customWidth="1"/>
    <col min="15622" max="15622" width="21.453125" style="45" customWidth="1"/>
    <col min="15623" max="15623" width="26.54296875" style="45" customWidth="1"/>
    <col min="15624" max="15872" width="9.1796875" style="45"/>
    <col min="15873" max="15873" width="0" style="45" hidden="1" customWidth="1"/>
    <col min="15874" max="15874" width="27.54296875" style="45" bestFit="1" customWidth="1"/>
    <col min="15875" max="15875" width="20.1796875" style="45" customWidth="1"/>
    <col min="15876" max="15876" width="21.7265625" style="45" customWidth="1"/>
    <col min="15877" max="15877" width="18.81640625" style="45" customWidth="1"/>
    <col min="15878" max="15878" width="21.453125" style="45" customWidth="1"/>
    <col min="15879" max="15879" width="26.54296875" style="45" customWidth="1"/>
    <col min="15880" max="16128" width="9.1796875" style="45"/>
    <col min="16129" max="16129" width="0" style="45" hidden="1" customWidth="1"/>
    <col min="16130" max="16130" width="27.54296875" style="45" bestFit="1" customWidth="1"/>
    <col min="16131" max="16131" width="20.1796875" style="45" customWidth="1"/>
    <col min="16132" max="16132" width="21.7265625" style="45" customWidth="1"/>
    <col min="16133" max="16133" width="18.81640625" style="45" customWidth="1"/>
    <col min="16134" max="16134" width="21.453125" style="45" customWidth="1"/>
    <col min="16135" max="16135" width="26.54296875" style="45" customWidth="1"/>
    <col min="16136" max="16384" width="9.1796875" style="45"/>
  </cols>
  <sheetData>
    <row r="1" spans="1:13" s="23" customFormat="1" ht="41.25" customHeight="1" x14ac:dyDescent="0.35">
      <c r="B1" s="152" t="s">
        <v>105</v>
      </c>
      <c r="C1" s="153"/>
      <c r="D1" s="153"/>
      <c r="E1" s="153"/>
      <c r="F1" s="153"/>
      <c r="G1" s="154"/>
    </row>
    <row r="2" spans="1:13" s="24" customFormat="1" ht="28.5" customHeight="1" x14ac:dyDescent="0.35">
      <c r="C2" s="25" t="s">
        <v>1</v>
      </c>
      <c r="D2" s="25" t="s">
        <v>59</v>
      </c>
      <c r="E2" s="25" t="s">
        <v>60</v>
      </c>
      <c r="F2" s="25" t="s">
        <v>61</v>
      </c>
      <c r="G2" s="26" t="s">
        <v>5</v>
      </c>
    </row>
    <row r="3" spans="1:13" s="24" customFormat="1" ht="28.5" customHeight="1" x14ac:dyDescent="0.35">
      <c r="B3" s="27" t="s">
        <v>0</v>
      </c>
      <c r="C3" s="28">
        <f>C4+C44</f>
        <v>1643</v>
      </c>
      <c r="D3" s="28">
        <f>D4+D44</f>
        <v>1565.999</v>
      </c>
      <c r="E3" s="28">
        <f>E4+E44</f>
        <v>98</v>
      </c>
      <c r="F3" s="28">
        <f>F4+F44</f>
        <v>1118</v>
      </c>
      <c r="G3" s="28">
        <f>G4+G44</f>
        <v>4424.9989999999998</v>
      </c>
      <c r="I3" s="29"/>
      <c r="J3" s="30"/>
      <c r="K3" s="30"/>
      <c r="L3" s="30"/>
      <c r="M3" s="30"/>
    </row>
    <row r="4" spans="1:13" s="27" customFormat="1" ht="25.5" customHeight="1" x14ac:dyDescent="0.35">
      <c r="A4" s="31"/>
      <c r="B4" s="27" t="s">
        <v>62</v>
      </c>
      <c r="C4" s="32">
        <f>SUM(C5:C43)</f>
        <v>941</v>
      </c>
      <c r="D4" s="32">
        <f>SUM(D5:D43)</f>
        <v>1518</v>
      </c>
      <c r="E4" s="32">
        <f>SUM(E5:E43)</f>
        <v>72</v>
      </c>
      <c r="F4" s="32">
        <f>SUM(F5:F43)</f>
        <v>788</v>
      </c>
      <c r="G4" s="32">
        <f>SUM(G5:G43)</f>
        <v>3319</v>
      </c>
      <c r="I4" s="30"/>
      <c r="J4" s="30"/>
      <c r="K4" s="30"/>
      <c r="L4" s="30"/>
      <c r="M4" s="30"/>
    </row>
    <row r="5" spans="1:13" s="34" customFormat="1" ht="12.75" customHeight="1" x14ac:dyDescent="0.35">
      <c r="A5" s="33">
        <v>51</v>
      </c>
      <c r="B5" s="34" t="s">
        <v>10</v>
      </c>
      <c r="C5" s="80">
        <v>41</v>
      </c>
      <c r="D5" s="80">
        <v>20</v>
      </c>
      <c r="E5" s="80">
        <v>1</v>
      </c>
      <c r="F5" s="80">
        <v>14</v>
      </c>
      <c r="G5" s="32">
        <f>SUM(C5:F5)</f>
        <v>76</v>
      </c>
      <c r="I5" s="30"/>
      <c r="J5" s="30"/>
      <c r="K5" s="30"/>
      <c r="L5" s="30"/>
      <c r="M5" s="30"/>
    </row>
    <row r="6" spans="1:13" s="34" customFormat="1" ht="12.75" customHeight="1" x14ac:dyDescent="0.35">
      <c r="A6" s="33">
        <v>52</v>
      </c>
      <c r="B6" s="34" t="s">
        <v>11</v>
      </c>
      <c r="C6" s="80">
        <v>20</v>
      </c>
      <c r="D6" s="80">
        <v>25</v>
      </c>
      <c r="E6" s="80">
        <v>1</v>
      </c>
      <c r="F6" s="80">
        <v>19</v>
      </c>
      <c r="G6" s="32">
        <f t="shared" ref="G6:G43" si="0">SUM(C6:F6)</f>
        <v>65</v>
      </c>
      <c r="I6" s="30"/>
      <c r="J6" s="30"/>
      <c r="K6" s="30"/>
      <c r="L6" s="30"/>
      <c r="M6" s="30"/>
    </row>
    <row r="7" spans="1:13" s="34" customFormat="1" ht="12.75" customHeight="1" x14ac:dyDescent="0.35">
      <c r="A7" s="33">
        <v>86</v>
      </c>
      <c r="B7" s="34" t="s">
        <v>12</v>
      </c>
      <c r="C7" s="80">
        <v>16</v>
      </c>
      <c r="D7" s="80">
        <v>10</v>
      </c>
      <c r="E7" s="80">
        <v>6</v>
      </c>
      <c r="F7" s="80">
        <v>36</v>
      </c>
      <c r="G7" s="32">
        <f t="shared" si="0"/>
        <v>68</v>
      </c>
      <c r="I7" s="30"/>
      <c r="J7" s="30"/>
      <c r="K7" s="30"/>
      <c r="L7" s="30"/>
      <c r="M7" s="30"/>
    </row>
    <row r="8" spans="1:13" s="34" customFormat="1" ht="14" x14ac:dyDescent="0.35">
      <c r="A8" s="33">
        <v>53</v>
      </c>
      <c r="B8" s="34" t="s">
        <v>13</v>
      </c>
      <c r="C8" s="80">
        <v>18</v>
      </c>
      <c r="D8" s="80">
        <v>23</v>
      </c>
      <c r="E8" s="80">
        <v>0</v>
      </c>
      <c r="F8" s="80">
        <v>9</v>
      </c>
      <c r="G8" s="32">
        <f t="shared" si="0"/>
        <v>50</v>
      </c>
      <c r="I8" s="30"/>
      <c r="J8" s="30"/>
      <c r="K8" s="30"/>
      <c r="L8" s="30"/>
      <c r="M8" s="30"/>
    </row>
    <row r="9" spans="1:13" s="34" customFormat="1" ht="12.75" customHeight="1" x14ac:dyDescent="0.35">
      <c r="A9" s="33">
        <v>54</v>
      </c>
      <c r="B9" s="34" t="s">
        <v>14</v>
      </c>
      <c r="C9" s="80">
        <v>13</v>
      </c>
      <c r="D9" s="80">
        <v>29</v>
      </c>
      <c r="E9" s="80">
        <v>5</v>
      </c>
      <c r="F9" s="80">
        <v>13</v>
      </c>
      <c r="G9" s="32">
        <f t="shared" si="0"/>
        <v>60</v>
      </c>
      <c r="I9" s="30"/>
      <c r="J9" s="30"/>
      <c r="K9" s="30"/>
      <c r="L9" s="30"/>
      <c r="M9" s="30"/>
    </row>
    <row r="10" spans="1:13" s="34" customFormat="1" ht="12.75" customHeight="1" x14ac:dyDescent="0.35">
      <c r="A10" s="33">
        <v>55</v>
      </c>
      <c r="B10" s="34" t="s">
        <v>15</v>
      </c>
      <c r="C10" s="80">
        <v>20</v>
      </c>
      <c r="D10" s="80">
        <v>35</v>
      </c>
      <c r="E10" s="80">
        <v>0</v>
      </c>
      <c r="F10" s="80">
        <v>62</v>
      </c>
      <c r="G10" s="32">
        <f t="shared" si="0"/>
        <v>117</v>
      </c>
      <c r="I10" s="30"/>
      <c r="J10" s="30"/>
      <c r="K10" s="30"/>
      <c r="L10" s="30"/>
      <c r="M10" s="30"/>
    </row>
    <row r="11" spans="1:13" s="34" customFormat="1" ht="13.5" customHeight="1" x14ac:dyDescent="0.35">
      <c r="A11" s="33">
        <v>56</v>
      </c>
      <c r="B11" s="34" t="s">
        <v>16</v>
      </c>
      <c r="C11" s="80">
        <v>24</v>
      </c>
      <c r="D11" s="80">
        <v>5</v>
      </c>
      <c r="E11" s="80">
        <v>0</v>
      </c>
      <c r="F11" s="80">
        <v>10</v>
      </c>
      <c r="G11" s="32">
        <f t="shared" si="0"/>
        <v>39</v>
      </c>
      <c r="I11" s="30"/>
      <c r="J11" s="30"/>
      <c r="K11" s="30"/>
      <c r="L11" s="30"/>
      <c r="M11" s="30"/>
    </row>
    <row r="12" spans="1:13" s="34" customFormat="1" ht="13.5" customHeight="1" x14ac:dyDescent="0.35">
      <c r="A12" s="33">
        <v>57</v>
      </c>
      <c r="B12" s="34" t="s">
        <v>17</v>
      </c>
      <c r="C12" s="80">
        <v>6</v>
      </c>
      <c r="D12" s="80">
        <v>39</v>
      </c>
      <c r="E12" s="80">
        <v>1</v>
      </c>
      <c r="F12" s="80">
        <v>12</v>
      </c>
      <c r="G12" s="32">
        <f t="shared" si="0"/>
        <v>58</v>
      </c>
      <c r="I12" s="30"/>
      <c r="J12" s="30"/>
      <c r="K12" s="30"/>
      <c r="L12" s="30"/>
      <c r="M12" s="30"/>
    </row>
    <row r="13" spans="1:13" s="34" customFormat="1" ht="12.75" customHeight="1" x14ac:dyDescent="0.35">
      <c r="A13" s="33">
        <v>59</v>
      </c>
      <c r="B13" s="34" t="s">
        <v>18</v>
      </c>
      <c r="C13" s="80">
        <v>15</v>
      </c>
      <c r="D13" s="80">
        <v>39</v>
      </c>
      <c r="E13" s="80">
        <v>0</v>
      </c>
      <c r="F13" s="80">
        <v>7</v>
      </c>
      <c r="G13" s="32">
        <f t="shared" si="0"/>
        <v>61</v>
      </c>
      <c r="I13" s="30"/>
      <c r="J13" s="30"/>
      <c r="K13" s="30"/>
      <c r="L13" s="30"/>
      <c r="M13" s="30"/>
    </row>
    <row r="14" spans="1:13" s="34" customFormat="1" ht="12.75" customHeight="1" x14ac:dyDescent="0.35">
      <c r="A14" s="33">
        <v>60</v>
      </c>
      <c r="B14" s="34" t="s">
        <v>19</v>
      </c>
      <c r="C14" s="80">
        <v>22</v>
      </c>
      <c r="D14" s="80">
        <v>52</v>
      </c>
      <c r="E14" s="80">
        <v>1</v>
      </c>
      <c r="F14" s="80">
        <v>24</v>
      </c>
      <c r="G14" s="32">
        <f t="shared" si="0"/>
        <v>99</v>
      </c>
      <c r="I14" s="30"/>
      <c r="J14" s="30"/>
      <c r="K14" s="30"/>
      <c r="L14" s="30"/>
      <c r="M14" s="30"/>
    </row>
    <row r="15" spans="1:13" s="34" customFormat="1" ht="12.75" customHeight="1" x14ac:dyDescent="0.35">
      <c r="A15" s="33">
        <v>61</v>
      </c>
      <c r="B15" s="36" t="s">
        <v>63</v>
      </c>
      <c r="C15" s="80">
        <v>32</v>
      </c>
      <c r="D15" s="80">
        <v>131</v>
      </c>
      <c r="E15" s="80">
        <v>2</v>
      </c>
      <c r="F15" s="80">
        <v>36</v>
      </c>
      <c r="G15" s="32">
        <f t="shared" si="0"/>
        <v>201</v>
      </c>
      <c r="I15" s="30"/>
      <c r="J15" s="30"/>
      <c r="K15" s="30"/>
      <c r="L15" s="30"/>
      <c r="M15" s="30"/>
    </row>
    <row r="16" spans="1:13" s="34" customFormat="1" ht="12.75" customHeight="1" x14ac:dyDescent="0.35">
      <c r="A16" s="33">
        <v>62</v>
      </c>
      <c r="B16" s="34" t="s">
        <v>106</v>
      </c>
      <c r="C16" s="80">
        <v>27</v>
      </c>
      <c r="D16" s="80">
        <v>69</v>
      </c>
      <c r="E16" s="80">
        <v>2</v>
      </c>
      <c r="F16" s="80">
        <v>48</v>
      </c>
      <c r="G16" s="32">
        <f t="shared" si="0"/>
        <v>146</v>
      </c>
      <c r="I16" s="30"/>
      <c r="J16" s="30"/>
      <c r="K16" s="30"/>
      <c r="L16" s="30"/>
      <c r="M16" s="30"/>
    </row>
    <row r="17" spans="1:13" s="34" customFormat="1" ht="12.75" customHeight="1" x14ac:dyDescent="0.35">
      <c r="A17" s="33">
        <v>58</v>
      </c>
      <c r="B17" s="34" t="s">
        <v>22</v>
      </c>
      <c r="C17" s="80">
        <v>19</v>
      </c>
      <c r="D17" s="80">
        <v>18</v>
      </c>
      <c r="E17" s="80">
        <v>7</v>
      </c>
      <c r="F17" s="80">
        <v>14</v>
      </c>
      <c r="G17" s="32">
        <f t="shared" si="0"/>
        <v>58</v>
      </c>
      <c r="I17" s="30"/>
      <c r="J17" s="30"/>
      <c r="K17" s="30"/>
      <c r="L17" s="30"/>
      <c r="M17" s="30"/>
    </row>
    <row r="18" spans="1:13" s="34" customFormat="1" ht="12.75" customHeight="1" x14ac:dyDescent="0.35">
      <c r="A18" s="33">
        <v>63</v>
      </c>
      <c r="B18" s="34" t="s">
        <v>23</v>
      </c>
      <c r="C18" s="80">
        <v>23</v>
      </c>
      <c r="D18" s="80">
        <v>29</v>
      </c>
      <c r="E18" s="80">
        <v>4</v>
      </c>
      <c r="F18" s="80">
        <v>20</v>
      </c>
      <c r="G18" s="32">
        <f t="shared" si="0"/>
        <v>76</v>
      </c>
      <c r="I18" s="30"/>
      <c r="J18" s="30"/>
      <c r="K18" s="30"/>
      <c r="L18" s="30"/>
      <c r="M18" s="30"/>
    </row>
    <row r="19" spans="1:13" s="34" customFormat="1" ht="12.75" customHeight="1" x14ac:dyDescent="0.35">
      <c r="A19" s="33">
        <v>64</v>
      </c>
      <c r="B19" s="34" t="s">
        <v>24</v>
      </c>
      <c r="C19" s="80">
        <v>91</v>
      </c>
      <c r="D19" s="80">
        <v>52</v>
      </c>
      <c r="E19" s="80">
        <v>1</v>
      </c>
      <c r="F19" s="80">
        <v>63</v>
      </c>
      <c r="G19" s="32">
        <f t="shared" si="0"/>
        <v>207</v>
      </c>
      <c r="I19" s="30"/>
      <c r="J19" s="30"/>
      <c r="K19" s="30"/>
      <c r="L19" s="30"/>
      <c r="M19" s="30"/>
    </row>
    <row r="20" spans="1:13" s="34" customFormat="1" ht="12.75" customHeight="1" x14ac:dyDescent="0.35">
      <c r="A20" s="33">
        <v>65</v>
      </c>
      <c r="B20" s="34" t="s">
        <v>25</v>
      </c>
      <c r="C20" s="80">
        <v>17</v>
      </c>
      <c r="D20" s="80">
        <v>37</v>
      </c>
      <c r="E20" s="80">
        <v>0</v>
      </c>
      <c r="F20" s="80">
        <v>4</v>
      </c>
      <c r="G20" s="32">
        <f t="shared" si="0"/>
        <v>58</v>
      </c>
      <c r="I20" s="30"/>
      <c r="J20" s="30"/>
      <c r="K20" s="30"/>
      <c r="L20" s="30"/>
      <c r="M20" s="30"/>
    </row>
    <row r="21" spans="1:13" s="34" customFormat="1" ht="12.75" customHeight="1" x14ac:dyDescent="0.35">
      <c r="A21" s="33">
        <v>67</v>
      </c>
      <c r="B21" s="34" t="s">
        <v>28</v>
      </c>
      <c r="C21" s="80">
        <v>100</v>
      </c>
      <c r="D21" s="80">
        <v>100</v>
      </c>
      <c r="E21" s="80">
        <v>3</v>
      </c>
      <c r="F21" s="80">
        <v>72</v>
      </c>
      <c r="G21" s="32">
        <f t="shared" si="0"/>
        <v>275</v>
      </c>
      <c r="I21" s="30"/>
      <c r="J21" s="30"/>
      <c r="K21" s="30"/>
      <c r="L21" s="30"/>
      <c r="M21" s="30"/>
    </row>
    <row r="22" spans="1:13" s="34" customFormat="1" ht="12.75" customHeight="1" x14ac:dyDescent="0.35">
      <c r="A22" s="33">
        <v>68</v>
      </c>
      <c r="B22" s="34" t="s">
        <v>64</v>
      </c>
      <c r="C22" s="80">
        <v>28</v>
      </c>
      <c r="D22" s="80">
        <v>54</v>
      </c>
      <c r="E22" s="80">
        <v>3</v>
      </c>
      <c r="F22" s="80">
        <v>11</v>
      </c>
      <c r="G22" s="32">
        <f t="shared" si="0"/>
        <v>96</v>
      </c>
      <c r="I22" s="30"/>
      <c r="J22" s="30"/>
      <c r="K22" s="30"/>
      <c r="L22" s="30"/>
      <c r="M22" s="30"/>
    </row>
    <row r="23" spans="1:13" s="34" customFormat="1" ht="12.75" customHeight="1" x14ac:dyDescent="0.35">
      <c r="A23" s="33">
        <v>69</v>
      </c>
      <c r="B23" s="34" t="s">
        <v>30</v>
      </c>
      <c r="C23" s="80">
        <v>33</v>
      </c>
      <c r="D23" s="80">
        <v>31</v>
      </c>
      <c r="E23" s="80">
        <v>0</v>
      </c>
      <c r="F23" s="80">
        <v>21</v>
      </c>
      <c r="G23" s="32">
        <f t="shared" si="0"/>
        <v>85</v>
      </c>
      <c r="I23" s="30"/>
      <c r="J23" s="30"/>
      <c r="K23" s="30"/>
      <c r="L23" s="30"/>
      <c r="M23" s="30"/>
    </row>
    <row r="24" spans="1:13" s="34" customFormat="1" ht="12.75" customHeight="1" x14ac:dyDescent="0.35">
      <c r="A24" s="33">
        <v>70</v>
      </c>
      <c r="B24" s="34" t="s">
        <v>31</v>
      </c>
      <c r="C24" s="80">
        <v>29</v>
      </c>
      <c r="D24" s="80">
        <v>41</v>
      </c>
      <c r="E24" s="80">
        <v>4</v>
      </c>
      <c r="F24" s="80">
        <v>25</v>
      </c>
      <c r="G24" s="32">
        <f t="shared" si="0"/>
        <v>99</v>
      </c>
      <c r="I24" s="30"/>
      <c r="J24" s="30"/>
      <c r="K24" s="30"/>
      <c r="L24" s="30"/>
      <c r="M24" s="30"/>
    </row>
    <row r="25" spans="1:13" s="34" customFormat="1" ht="12.75" customHeight="1" x14ac:dyDescent="0.35">
      <c r="A25" s="33">
        <v>71</v>
      </c>
      <c r="B25" s="34" t="s">
        <v>65</v>
      </c>
      <c r="C25" s="80">
        <v>3</v>
      </c>
      <c r="D25" s="80">
        <v>9</v>
      </c>
      <c r="E25" s="80">
        <v>0</v>
      </c>
      <c r="F25" s="80">
        <v>5</v>
      </c>
      <c r="G25" s="32">
        <f t="shared" si="0"/>
        <v>17</v>
      </c>
      <c r="I25" s="30"/>
      <c r="J25" s="30"/>
      <c r="K25" s="30"/>
      <c r="L25" s="30"/>
      <c r="M25" s="30"/>
    </row>
    <row r="26" spans="1:13" s="34" customFormat="1" ht="12.75" customHeight="1" x14ac:dyDescent="0.35">
      <c r="A26" s="33">
        <v>73</v>
      </c>
      <c r="B26" s="34" t="s">
        <v>34</v>
      </c>
      <c r="C26" s="80">
        <v>46</v>
      </c>
      <c r="D26" s="80">
        <v>44</v>
      </c>
      <c r="E26" s="80">
        <v>3</v>
      </c>
      <c r="F26" s="80">
        <v>27</v>
      </c>
      <c r="G26" s="32">
        <f t="shared" si="0"/>
        <v>120</v>
      </c>
      <c r="I26" s="30"/>
      <c r="J26" s="30"/>
      <c r="K26" s="30"/>
      <c r="L26" s="30"/>
      <c r="M26" s="30"/>
    </row>
    <row r="27" spans="1:13" s="34" customFormat="1" ht="12.75" customHeight="1" x14ac:dyDescent="0.35">
      <c r="A27" s="33">
        <v>74</v>
      </c>
      <c r="B27" s="34" t="s">
        <v>35</v>
      </c>
      <c r="C27" s="80">
        <v>48</v>
      </c>
      <c r="D27" s="80">
        <v>58</v>
      </c>
      <c r="E27" s="80">
        <v>0</v>
      </c>
      <c r="F27" s="80">
        <v>28</v>
      </c>
      <c r="G27" s="32">
        <f t="shared" si="0"/>
        <v>134</v>
      </c>
      <c r="I27" s="30"/>
      <c r="J27" s="30"/>
      <c r="K27" s="30"/>
      <c r="L27" s="30"/>
      <c r="M27" s="30"/>
    </row>
    <row r="28" spans="1:13" s="34" customFormat="1" ht="12.75" customHeight="1" x14ac:dyDescent="0.35">
      <c r="A28" s="33">
        <v>75</v>
      </c>
      <c r="B28" s="34" t="s">
        <v>36</v>
      </c>
      <c r="C28" s="80">
        <v>35</v>
      </c>
      <c r="D28" s="80">
        <v>43</v>
      </c>
      <c r="E28" s="80">
        <v>1</v>
      </c>
      <c r="F28" s="80">
        <v>12</v>
      </c>
      <c r="G28" s="32">
        <f t="shared" si="0"/>
        <v>91</v>
      </c>
      <c r="I28" s="30"/>
      <c r="J28" s="30"/>
      <c r="K28" s="30"/>
      <c r="L28" s="30"/>
      <c r="M28" s="30"/>
    </row>
    <row r="29" spans="1:13" s="34" customFormat="1" ht="12.75" customHeight="1" x14ac:dyDescent="0.35">
      <c r="A29" s="33">
        <v>76</v>
      </c>
      <c r="B29" s="34" t="s">
        <v>37</v>
      </c>
      <c r="C29" s="80">
        <v>9</v>
      </c>
      <c r="D29" s="80">
        <v>58</v>
      </c>
      <c r="E29" s="80">
        <v>3</v>
      </c>
      <c r="F29" s="80">
        <v>13</v>
      </c>
      <c r="G29" s="32">
        <f t="shared" si="0"/>
        <v>83</v>
      </c>
      <c r="I29" s="30"/>
      <c r="J29" s="30"/>
      <c r="K29" s="30"/>
      <c r="L29" s="30"/>
      <c r="M29" s="30"/>
    </row>
    <row r="30" spans="1:13" s="34" customFormat="1" ht="12.75" customHeight="1" x14ac:dyDescent="0.35">
      <c r="A30" s="33">
        <v>79</v>
      </c>
      <c r="B30" s="34" t="s">
        <v>39</v>
      </c>
      <c r="C30" s="80">
        <v>5</v>
      </c>
      <c r="D30" s="80">
        <v>57</v>
      </c>
      <c r="E30" s="80">
        <v>0</v>
      </c>
      <c r="F30" s="80">
        <v>38</v>
      </c>
      <c r="G30" s="32">
        <f t="shared" si="0"/>
        <v>100</v>
      </c>
      <c r="I30" s="30"/>
      <c r="J30" s="30"/>
      <c r="K30" s="30"/>
      <c r="L30" s="30"/>
      <c r="M30" s="30"/>
    </row>
    <row r="31" spans="1:13" s="34" customFormat="1" ht="12.75" customHeight="1" x14ac:dyDescent="0.35">
      <c r="A31" s="33"/>
      <c r="B31" s="34" t="s">
        <v>40</v>
      </c>
      <c r="C31" s="80">
        <v>0</v>
      </c>
      <c r="D31" s="80">
        <v>0</v>
      </c>
      <c r="E31" s="80">
        <v>4</v>
      </c>
      <c r="F31" s="80">
        <v>0</v>
      </c>
      <c r="G31" s="32">
        <f>SUM(C31:F31)</f>
        <v>4</v>
      </c>
      <c r="I31" s="30"/>
      <c r="J31" s="30"/>
      <c r="K31" s="30"/>
      <c r="L31" s="30"/>
      <c r="M31" s="30"/>
    </row>
    <row r="32" spans="1:13" s="34" customFormat="1" ht="12.75" customHeight="1" x14ac:dyDescent="0.35">
      <c r="A32" s="33">
        <v>80</v>
      </c>
      <c r="B32" s="34" t="s">
        <v>41</v>
      </c>
      <c r="C32" s="80">
        <v>12</v>
      </c>
      <c r="D32" s="80">
        <v>61</v>
      </c>
      <c r="E32" s="80">
        <v>7</v>
      </c>
      <c r="F32" s="80">
        <v>16</v>
      </c>
      <c r="G32" s="32">
        <f t="shared" si="0"/>
        <v>96</v>
      </c>
      <c r="I32" s="30"/>
      <c r="J32" s="30"/>
      <c r="K32" s="30"/>
      <c r="L32" s="30"/>
      <c r="M32" s="30"/>
    </row>
    <row r="33" spans="1:13" s="34" customFormat="1" ht="13.5" customHeight="1" x14ac:dyDescent="0.35">
      <c r="A33" s="33">
        <v>81</v>
      </c>
      <c r="B33" s="34" t="s">
        <v>42</v>
      </c>
      <c r="C33" s="80">
        <v>28</v>
      </c>
      <c r="D33" s="80">
        <v>25</v>
      </c>
      <c r="E33" s="80">
        <v>0</v>
      </c>
      <c r="F33" s="80">
        <v>10</v>
      </c>
      <c r="G33" s="32">
        <f t="shared" si="0"/>
        <v>63</v>
      </c>
      <c r="I33" s="30"/>
      <c r="J33" s="30"/>
      <c r="K33" s="30"/>
      <c r="L33" s="30"/>
      <c r="M33" s="30"/>
    </row>
    <row r="34" spans="1:13" s="34" customFormat="1" ht="13.5" customHeight="1" x14ac:dyDescent="0.35">
      <c r="A34" s="33">
        <v>83</v>
      </c>
      <c r="B34" s="34" t="s">
        <v>43</v>
      </c>
      <c r="C34" s="80">
        <v>4</v>
      </c>
      <c r="D34" s="80">
        <v>42</v>
      </c>
      <c r="E34" s="80">
        <v>1</v>
      </c>
      <c r="F34" s="80">
        <v>3</v>
      </c>
      <c r="G34" s="32">
        <f t="shared" si="0"/>
        <v>50</v>
      </c>
      <c r="I34" s="30"/>
      <c r="J34" s="30"/>
      <c r="K34" s="30"/>
      <c r="L34" s="30"/>
      <c r="M34" s="30"/>
    </row>
    <row r="35" spans="1:13" s="34" customFormat="1" ht="14.25" customHeight="1" x14ac:dyDescent="0.35">
      <c r="A35" s="33">
        <v>84</v>
      </c>
      <c r="B35" s="34" t="s">
        <v>44</v>
      </c>
      <c r="C35" s="80">
        <v>31</v>
      </c>
      <c r="D35" s="80">
        <v>37</v>
      </c>
      <c r="E35" s="80">
        <v>2</v>
      </c>
      <c r="F35" s="80">
        <v>15</v>
      </c>
      <c r="G35" s="32">
        <f t="shared" si="0"/>
        <v>85</v>
      </c>
      <c r="I35" s="30"/>
      <c r="J35" s="30"/>
      <c r="K35" s="30"/>
      <c r="L35" s="30"/>
      <c r="M35" s="30"/>
    </row>
    <row r="36" spans="1:13" s="34" customFormat="1" ht="12.75" customHeight="1" x14ac:dyDescent="0.35">
      <c r="A36" s="33">
        <v>85</v>
      </c>
      <c r="B36" s="34" t="s">
        <v>45</v>
      </c>
      <c r="C36" s="80">
        <v>11</v>
      </c>
      <c r="D36" s="80">
        <v>30</v>
      </c>
      <c r="E36" s="80">
        <v>0</v>
      </c>
      <c r="F36" s="80">
        <v>9</v>
      </c>
      <c r="G36" s="32">
        <f t="shared" si="0"/>
        <v>50</v>
      </c>
      <c r="I36" s="30"/>
      <c r="J36" s="30"/>
      <c r="K36" s="30"/>
      <c r="L36" s="30"/>
      <c r="M36" s="30"/>
    </row>
    <row r="37" spans="1:13" s="34" customFormat="1" ht="12.75" customHeight="1" x14ac:dyDescent="0.35">
      <c r="A37" s="33">
        <v>87</v>
      </c>
      <c r="B37" s="34" t="s">
        <v>46</v>
      </c>
      <c r="C37" s="80">
        <v>7</v>
      </c>
      <c r="D37" s="80">
        <v>16</v>
      </c>
      <c r="E37" s="80">
        <v>1</v>
      </c>
      <c r="F37" s="80">
        <v>7</v>
      </c>
      <c r="G37" s="32">
        <f t="shared" si="0"/>
        <v>31</v>
      </c>
      <c r="I37" s="30"/>
      <c r="J37" s="30"/>
      <c r="K37" s="30"/>
      <c r="L37" s="30"/>
      <c r="M37" s="30"/>
    </row>
    <row r="38" spans="1:13" s="34" customFormat="1" ht="12.75" customHeight="1" x14ac:dyDescent="0.35">
      <c r="A38" s="33">
        <v>90</v>
      </c>
      <c r="B38" s="34" t="s">
        <v>48</v>
      </c>
      <c r="C38" s="80">
        <v>22</v>
      </c>
      <c r="D38" s="80">
        <v>69</v>
      </c>
      <c r="E38" s="80">
        <v>0</v>
      </c>
      <c r="F38" s="80">
        <v>39</v>
      </c>
      <c r="G38" s="32">
        <f t="shared" si="0"/>
        <v>130</v>
      </c>
      <c r="I38" s="30"/>
      <c r="J38" s="30"/>
      <c r="K38" s="30"/>
      <c r="L38" s="30"/>
      <c r="M38" s="30"/>
    </row>
    <row r="39" spans="1:13" s="34" customFormat="1" ht="12.75" customHeight="1" x14ac:dyDescent="0.35">
      <c r="A39" s="33">
        <v>91</v>
      </c>
      <c r="B39" s="34" t="s">
        <v>49</v>
      </c>
      <c r="C39" s="80">
        <v>12</v>
      </c>
      <c r="D39" s="80">
        <v>40</v>
      </c>
      <c r="E39" s="80">
        <v>0</v>
      </c>
      <c r="F39" s="80">
        <v>12</v>
      </c>
      <c r="G39" s="32">
        <f t="shared" si="0"/>
        <v>64</v>
      </c>
      <c r="I39" s="30"/>
      <c r="J39" s="30"/>
      <c r="K39" s="30"/>
      <c r="L39" s="30"/>
      <c r="M39" s="30"/>
    </row>
    <row r="40" spans="1:13" s="34" customFormat="1" ht="12.75" customHeight="1" x14ac:dyDescent="0.35">
      <c r="A40" s="33">
        <v>92</v>
      </c>
      <c r="B40" s="34" t="s">
        <v>50</v>
      </c>
      <c r="C40" s="80">
        <v>39</v>
      </c>
      <c r="D40" s="80">
        <v>13</v>
      </c>
      <c r="E40" s="80">
        <v>3</v>
      </c>
      <c r="F40" s="80">
        <v>13</v>
      </c>
      <c r="G40" s="32">
        <f t="shared" si="0"/>
        <v>68</v>
      </c>
      <c r="I40" s="30"/>
      <c r="J40" s="30"/>
      <c r="K40" s="30"/>
      <c r="L40" s="30"/>
      <c r="M40" s="30"/>
    </row>
    <row r="41" spans="1:13" s="34" customFormat="1" ht="12.75" customHeight="1" x14ac:dyDescent="0.35">
      <c r="A41" s="33">
        <v>94</v>
      </c>
      <c r="B41" s="34" t="s">
        <v>52</v>
      </c>
      <c r="C41" s="80">
        <v>18</v>
      </c>
      <c r="D41" s="80">
        <v>28</v>
      </c>
      <c r="E41" s="80">
        <v>5</v>
      </c>
      <c r="F41" s="80">
        <v>7</v>
      </c>
      <c r="G41" s="32">
        <f t="shared" si="0"/>
        <v>58</v>
      </c>
      <c r="I41" s="30"/>
      <c r="J41" s="30"/>
      <c r="K41" s="30"/>
      <c r="L41" s="30"/>
      <c r="M41" s="30"/>
    </row>
    <row r="42" spans="1:13" s="34" customFormat="1" ht="12.75" customHeight="1" x14ac:dyDescent="0.35">
      <c r="A42" s="33">
        <v>96</v>
      </c>
      <c r="B42" s="34" t="s">
        <v>54</v>
      </c>
      <c r="C42" s="80">
        <v>17</v>
      </c>
      <c r="D42" s="80">
        <v>48</v>
      </c>
      <c r="E42" s="80">
        <v>1</v>
      </c>
      <c r="F42" s="80">
        <v>14</v>
      </c>
      <c r="G42" s="32">
        <f t="shared" si="0"/>
        <v>80</v>
      </c>
      <c r="H42" s="37"/>
      <c r="I42" s="30"/>
      <c r="J42" s="30"/>
      <c r="K42" s="30"/>
      <c r="L42" s="30"/>
      <c r="M42" s="30"/>
    </row>
    <row r="43" spans="1:13" s="34" customFormat="1" ht="12.75" customHeight="1" x14ac:dyDescent="0.35">
      <c r="A43" s="33">
        <v>72</v>
      </c>
      <c r="B43" s="34" t="s">
        <v>33</v>
      </c>
      <c r="C43" s="80">
        <v>0</v>
      </c>
      <c r="D43" s="80">
        <v>1</v>
      </c>
      <c r="E43" s="80">
        <v>0</v>
      </c>
      <c r="F43" s="80">
        <v>0</v>
      </c>
      <c r="G43" s="32">
        <f t="shared" si="0"/>
        <v>1</v>
      </c>
      <c r="I43" s="30"/>
      <c r="J43" s="30"/>
      <c r="K43" s="30"/>
      <c r="L43" s="30"/>
      <c r="M43" s="30"/>
    </row>
    <row r="44" spans="1:13" s="27" customFormat="1" ht="25.5" customHeight="1" x14ac:dyDescent="0.35">
      <c r="B44" s="27" t="s">
        <v>66</v>
      </c>
      <c r="C44" s="32">
        <f>SUM(C45:C51)</f>
        <v>702</v>
      </c>
      <c r="D44" s="32">
        <f>SUM(D45:D51)</f>
        <v>47.998999999999995</v>
      </c>
      <c r="E44" s="32">
        <f>SUM(E45:E51)</f>
        <v>26</v>
      </c>
      <c r="F44" s="32">
        <f>SUM(F45:F51)</f>
        <v>330</v>
      </c>
      <c r="G44" s="32">
        <f>SUM(G45:G51)</f>
        <v>1105.999</v>
      </c>
      <c r="I44" s="30"/>
      <c r="J44" s="30"/>
      <c r="K44" s="30"/>
      <c r="L44" s="30"/>
      <c r="M44" s="30"/>
    </row>
    <row r="45" spans="1:13" s="34" customFormat="1" ht="12.75" customHeight="1" x14ac:dyDescent="0.35">
      <c r="A45" s="33">
        <v>66</v>
      </c>
      <c r="B45" s="34" t="s">
        <v>27</v>
      </c>
      <c r="C45" s="80">
        <v>119</v>
      </c>
      <c r="D45" s="80">
        <v>4.9989999999999997</v>
      </c>
      <c r="E45" s="80">
        <v>0</v>
      </c>
      <c r="F45" s="80">
        <v>122</v>
      </c>
      <c r="G45" s="32">
        <f>SUM(C45:F45)</f>
        <v>245.999</v>
      </c>
      <c r="I45" s="30"/>
      <c r="J45" s="30"/>
      <c r="K45" s="30"/>
      <c r="L45" s="30"/>
      <c r="M45" s="30"/>
    </row>
    <row r="46" spans="1:13" s="34" customFormat="1" ht="14.25" customHeight="1" x14ac:dyDescent="0.35">
      <c r="A46" s="33">
        <v>78</v>
      </c>
      <c r="B46" s="34" t="s">
        <v>38</v>
      </c>
      <c r="C46" s="80">
        <v>71</v>
      </c>
      <c r="D46" s="80">
        <v>12</v>
      </c>
      <c r="E46" s="80">
        <v>4</v>
      </c>
      <c r="F46" s="80">
        <v>29</v>
      </c>
      <c r="G46" s="32">
        <f t="shared" ref="G46:G51" si="1">SUM(C46:F46)</f>
        <v>116</v>
      </c>
      <c r="I46" s="30"/>
      <c r="J46" s="30"/>
      <c r="K46" s="30"/>
      <c r="L46" s="30"/>
      <c r="M46" s="30"/>
    </row>
    <row r="47" spans="1:13" s="34" customFormat="1" ht="12.75" customHeight="1" x14ac:dyDescent="0.35">
      <c r="A47" s="33">
        <v>89</v>
      </c>
      <c r="B47" s="34" t="s">
        <v>47</v>
      </c>
      <c r="C47" s="80">
        <v>35</v>
      </c>
      <c r="D47" s="80">
        <v>9</v>
      </c>
      <c r="E47" s="80">
        <v>4</v>
      </c>
      <c r="F47" s="80">
        <v>30</v>
      </c>
      <c r="G47" s="32">
        <f t="shared" si="1"/>
        <v>78</v>
      </c>
      <c r="I47" s="30"/>
      <c r="J47" s="30"/>
      <c r="K47" s="30"/>
      <c r="L47" s="30"/>
      <c r="M47" s="30"/>
    </row>
    <row r="48" spans="1:13" s="34" customFormat="1" ht="12.75" customHeight="1" x14ac:dyDescent="0.35">
      <c r="A48" s="33">
        <v>93</v>
      </c>
      <c r="B48" s="34" t="s">
        <v>67</v>
      </c>
      <c r="C48" s="80">
        <v>43</v>
      </c>
      <c r="D48" s="80">
        <v>1</v>
      </c>
      <c r="E48" s="80">
        <v>2</v>
      </c>
      <c r="F48" s="80">
        <v>32</v>
      </c>
      <c r="G48" s="32">
        <f t="shared" si="1"/>
        <v>78</v>
      </c>
      <c r="I48" s="30"/>
      <c r="J48" s="30"/>
      <c r="K48" s="30"/>
      <c r="L48" s="30"/>
      <c r="M48" s="30"/>
    </row>
    <row r="49" spans="1:13" s="34" customFormat="1" ht="12.75" customHeight="1" x14ac:dyDescent="0.35">
      <c r="A49" s="33">
        <v>95</v>
      </c>
      <c r="B49" s="34" t="s">
        <v>53</v>
      </c>
      <c r="C49" s="80">
        <v>108</v>
      </c>
      <c r="D49" s="80">
        <v>0</v>
      </c>
      <c r="E49" s="80">
        <v>4</v>
      </c>
      <c r="F49" s="80">
        <v>36</v>
      </c>
      <c r="G49" s="32">
        <f t="shared" si="1"/>
        <v>148</v>
      </c>
      <c r="I49" s="30"/>
      <c r="J49" s="30"/>
      <c r="K49" s="30"/>
      <c r="L49" s="30"/>
      <c r="M49" s="30"/>
    </row>
    <row r="50" spans="1:13" s="34" customFormat="1" ht="12.75" customHeight="1" x14ac:dyDescent="0.35">
      <c r="A50" s="33">
        <v>97</v>
      </c>
      <c r="B50" s="34" t="s">
        <v>55</v>
      </c>
      <c r="C50" s="80">
        <v>74</v>
      </c>
      <c r="D50" s="80">
        <v>21</v>
      </c>
      <c r="E50" s="80">
        <v>0</v>
      </c>
      <c r="F50" s="80">
        <v>24</v>
      </c>
      <c r="G50" s="32">
        <f t="shared" si="1"/>
        <v>119</v>
      </c>
      <c r="I50" s="30"/>
      <c r="J50" s="30"/>
      <c r="K50" s="30"/>
      <c r="L50" s="30"/>
      <c r="M50" s="30"/>
    </row>
    <row r="51" spans="1:13" s="43" customFormat="1" ht="12.75" customHeight="1" x14ac:dyDescent="0.35">
      <c r="A51" s="33">
        <v>77</v>
      </c>
      <c r="B51" s="39" t="s">
        <v>26</v>
      </c>
      <c r="C51" s="80">
        <v>252</v>
      </c>
      <c r="D51" s="80">
        <v>0</v>
      </c>
      <c r="E51" s="80">
        <v>12</v>
      </c>
      <c r="F51" s="80">
        <v>57</v>
      </c>
      <c r="G51" s="32">
        <f t="shared" si="1"/>
        <v>321</v>
      </c>
      <c r="I51" s="30"/>
      <c r="J51" s="30"/>
      <c r="K51" s="30"/>
      <c r="L51" s="30"/>
      <c r="M51" s="30"/>
    </row>
    <row r="52" spans="1:13" s="34" customFormat="1" ht="10.5" customHeight="1" x14ac:dyDescent="0.35">
      <c r="A52" s="33"/>
      <c r="C52" s="44"/>
      <c r="D52" s="44"/>
      <c r="E52" s="44"/>
      <c r="F52" s="44"/>
      <c r="G52" s="44"/>
      <c r="I52" s="45"/>
      <c r="J52" s="30"/>
    </row>
    <row r="53" spans="1:13" s="34" customFormat="1" ht="13.5" customHeight="1" x14ac:dyDescent="0.35">
      <c r="A53" s="33"/>
      <c r="H53" s="45"/>
      <c r="I53" s="45"/>
    </row>
    <row r="54" spans="1:13" s="34" customFormat="1" ht="13.5" customHeight="1" x14ac:dyDescent="0.35">
      <c r="A54" s="33"/>
      <c r="H54" s="45"/>
      <c r="I54" s="45"/>
    </row>
    <row r="55" spans="1:13" s="34" customFormat="1" x14ac:dyDescent="0.35">
      <c r="A55" s="33"/>
      <c r="B55" s="46"/>
      <c r="H55" s="45"/>
      <c r="I55" s="45"/>
    </row>
    <row r="56" spans="1:13" x14ac:dyDescent="0.35">
      <c r="A56" s="33"/>
      <c r="F56" s="47"/>
      <c r="G56" s="47"/>
    </row>
    <row r="57" spans="1:13" x14ac:dyDescent="0.35">
      <c r="A57" s="33"/>
    </row>
    <row r="58" spans="1:13" x14ac:dyDescent="0.35">
      <c r="A58" s="33"/>
    </row>
    <row r="59" spans="1:13" x14ac:dyDescent="0.35">
      <c r="A59" s="33"/>
      <c r="E59" s="48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59"/>
  <sheetViews>
    <sheetView topLeftCell="B1" workbookViewId="0">
      <selection activeCell="A57" sqref="A57:F57"/>
    </sheetView>
  </sheetViews>
  <sheetFormatPr defaultRowHeight="13" x14ac:dyDescent="0.35"/>
  <cols>
    <col min="1" max="1" width="3.54296875" style="45" hidden="1" customWidth="1"/>
    <col min="2" max="2" width="27.54296875" style="45" customWidth="1"/>
    <col min="3" max="3" width="20.1796875" style="45" customWidth="1"/>
    <col min="4" max="4" width="21.7265625" style="45" customWidth="1"/>
    <col min="5" max="5" width="18.81640625" style="45" customWidth="1"/>
    <col min="6" max="6" width="21.453125" style="45" customWidth="1"/>
    <col min="7" max="7" width="26.54296875" style="45" customWidth="1"/>
    <col min="8" max="8" width="9.1796875" style="45"/>
    <col min="9" max="9" width="10.1796875" style="45" customWidth="1"/>
    <col min="10" max="256" width="9.1796875" style="45"/>
    <col min="257" max="257" width="0" style="45" hidden="1" customWidth="1"/>
    <col min="258" max="258" width="27.54296875" style="45" customWidth="1"/>
    <col min="259" max="259" width="20.1796875" style="45" customWidth="1"/>
    <col min="260" max="260" width="21.7265625" style="45" customWidth="1"/>
    <col min="261" max="261" width="18.81640625" style="45" customWidth="1"/>
    <col min="262" max="262" width="21.453125" style="45" customWidth="1"/>
    <col min="263" max="263" width="26.54296875" style="45" customWidth="1"/>
    <col min="264" max="512" width="9.1796875" style="45"/>
    <col min="513" max="513" width="0" style="45" hidden="1" customWidth="1"/>
    <col min="514" max="514" width="27.54296875" style="45" customWidth="1"/>
    <col min="515" max="515" width="20.1796875" style="45" customWidth="1"/>
    <col min="516" max="516" width="21.7265625" style="45" customWidth="1"/>
    <col min="517" max="517" width="18.81640625" style="45" customWidth="1"/>
    <col min="518" max="518" width="21.453125" style="45" customWidth="1"/>
    <col min="519" max="519" width="26.54296875" style="45" customWidth="1"/>
    <col min="520" max="768" width="9.1796875" style="45"/>
    <col min="769" max="769" width="0" style="45" hidden="1" customWidth="1"/>
    <col min="770" max="770" width="27.54296875" style="45" customWidth="1"/>
    <col min="771" max="771" width="20.1796875" style="45" customWidth="1"/>
    <col min="772" max="772" width="21.7265625" style="45" customWidth="1"/>
    <col min="773" max="773" width="18.81640625" style="45" customWidth="1"/>
    <col min="774" max="774" width="21.453125" style="45" customWidth="1"/>
    <col min="775" max="775" width="26.54296875" style="45" customWidth="1"/>
    <col min="776" max="1024" width="9.1796875" style="45"/>
    <col min="1025" max="1025" width="0" style="45" hidden="1" customWidth="1"/>
    <col min="1026" max="1026" width="27.54296875" style="45" customWidth="1"/>
    <col min="1027" max="1027" width="20.1796875" style="45" customWidth="1"/>
    <col min="1028" max="1028" width="21.7265625" style="45" customWidth="1"/>
    <col min="1029" max="1029" width="18.81640625" style="45" customWidth="1"/>
    <col min="1030" max="1030" width="21.453125" style="45" customWidth="1"/>
    <col min="1031" max="1031" width="26.54296875" style="45" customWidth="1"/>
    <col min="1032" max="1280" width="9.1796875" style="45"/>
    <col min="1281" max="1281" width="0" style="45" hidden="1" customWidth="1"/>
    <col min="1282" max="1282" width="27.54296875" style="45" customWidth="1"/>
    <col min="1283" max="1283" width="20.1796875" style="45" customWidth="1"/>
    <col min="1284" max="1284" width="21.7265625" style="45" customWidth="1"/>
    <col min="1285" max="1285" width="18.81640625" style="45" customWidth="1"/>
    <col min="1286" max="1286" width="21.453125" style="45" customWidth="1"/>
    <col min="1287" max="1287" width="26.54296875" style="45" customWidth="1"/>
    <col min="1288" max="1536" width="9.1796875" style="45"/>
    <col min="1537" max="1537" width="0" style="45" hidden="1" customWidth="1"/>
    <col min="1538" max="1538" width="27.54296875" style="45" customWidth="1"/>
    <col min="1539" max="1539" width="20.1796875" style="45" customWidth="1"/>
    <col min="1540" max="1540" width="21.7265625" style="45" customWidth="1"/>
    <col min="1541" max="1541" width="18.81640625" style="45" customWidth="1"/>
    <col min="1542" max="1542" width="21.453125" style="45" customWidth="1"/>
    <col min="1543" max="1543" width="26.54296875" style="45" customWidth="1"/>
    <col min="1544" max="1792" width="9.1796875" style="45"/>
    <col min="1793" max="1793" width="0" style="45" hidden="1" customWidth="1"/>
    <col min="1794" max="1794" width="27.54296875" style="45" customWidth="1"/>
    <col min="1795" max="1795" width="20.1796875" style="45" customWidth="1"/>
    <col min="1796" max="1796" width="21.7265625" style="45" customWidth="1"/>
    <col min="1797" max="1797" width="18.81640625" style="45" customWidth="1"/>
    <col min="1798" max="1798" width="21.453125" style="45" customWidth="1"/>
    <col min="1799" max="1799" width="26.54296875" style="45" customWidth="1"/>
    <col min="1800" max="2048" width="9.1796875" style="45"/>
    <col min="2049" max="2049" width="0" style="45" hidden="1" customWidth="1"/>
    <col min="2050" max="2050" width="27.54296875" style="45" customWidth="1"/>
    <col min="2051" max="2051" width="20.1796875" style="45" customWidth="1"/>
    <col min="2052" max="2052" width="21.7265625" style="45" customWidth="1"/>
    <col min="2053" max="2053" width="18.81640625" style="45" customWidth="1"/>
    <col min="2054" max="2054" width="21.453125" style="45" customWidth="1"/>
    <col min="2055" max="2055" width="26.54296875" style="45" customWidth="1"/>
    <col min="2056" max="2304" width="9.1796875" style="45"/>
    <col min="2305" max="2305" width="0" style="45" hidden="1" customWidth="1"/>
    <col min="2306" max="2306" width="27.54296875" style="45" customWidth="1"/>
    <col min="2307" max="2307" width="20.1796875" style="45" customWidth="1"/>
    <col min="2308" max="2308" width="21.7265625" style="45" customWidth="1"/>
    <col min="2309" max="2309" width="18.81640625" style="45" customWidth="1"/>
    <col min="2310" max="2310" width="21.453125" style="45" customWidth="1"/>
    <col min="2311" max="2311" width="26.54296875" style="45" customWidth="1"/>
    <col min="2312" max="2560" width="9.1796875" style="45"/>
    <col min="2561" max="2561" width="0" style="45" hidden="1" customWidth="1"/>
    <col min="2562" max="2562" width="27.54296875" style="45" customWidth="1"/>
    <col min="2563" max="2563" width="20.1796875" style="45" customWidth="1"/>
    <col min="2564" max="2564" width="21.7265625" style="45" customWidth="1"/>
    <col min="2565" max="2565" width="18.81640625" style="45" customWidth="1"/>
    <col min="2566" max="2566" width="21.453125" style="45" customWidth="1"/>
    <col min="2567" max="2567" width="26.54296875" style="45" customWidth="1"/>
    <col min="2568" max="2816" width="9.1796875" style="45"/>
    <col min="2817" max="2817" width="0" style="45" hidden="1" customWidth="1"/>
    <col min="2818" max="2818" width="27.54296875" style="45" customWidth="1"/>
    <col min="2819" max="2819" width="20.1796875" style="45" customWidth="1"/>
    <col min="2820" max="2820" width="21.7265625" style="45" customWidth="1"/>
    <col min="2821" max="2821" width="18.81640625" style="45" customWidth="1"/>
    <col min="2822" max="2822" width="21.453125" style="45" customWidth="1"/>
    <col min="2823" max="2823" width="26.54296875" style="45" customWidth="1"/>
    <col min="2824" max="3072" width="9.1796875" style="45"/>
    <col min="3073" max="3073" width="0" style="45" hidden="1" customWidth="1"/>
    <col min="3074" max="3074" width="27.54296875" style="45" customWidth="1"/>
    <col min="3075" max="3075" width="20.1796875" style="45" customWidth="1"/>
    <col min="3076" max="3076" width="21.7265625" style="45" customWidth="1"/>
    <col min="3077" max="3077" width="18.81640625" style="45" customWidth="1"/>
    <col min="3078" max="3078" width="21.453125" style="45" customWidth="1"/>
    <col min="3079" max="3079" width="26.54296875" style="45" customWidth="1"/>
    <col min="3080" max="3328" width="9.1796875" style="45"/>
    <col min="3329" max="3329" width="0" style="45" hidden="1" customWidth="1"/>
    <col min="3330" max="3330" width="27.54296875" style="45" customWidth="1"/>
    <col min="3331" max="3331" width="20.1796875" style="45" customWidth="1"/>
    <col min="3332" max="3332" width="21.7265625" style="45" customWidth="1"/>
    <col min="3333" max="3333" width="18.81640625" style="45" customWidth="1"/>
    <col min="3334" max="3334" width="21.453125" style="45" customWidth="1"/>
    <col min="3335" max="3335" width="26.54296875" style="45" customWidth="1"/>
    <col min="3336" max="3584" width="9.1796875" style="45"/>
    <col min="3585" max="3585" width="0" style="45" hidden="1" customWidth="1"/>
    <col min="3586" max="3586" width="27.54296875" style="45" customWidth="1"/>
    <col min="3587" max="3587" width="20.1796875" style="45" customWidth="1"/>
    <col min="3588" max="3588" width="21.7265625" style="45" customWidth="1"/>
    <col min="3589" max="3589" width="18.81640625" style="45" customWidth="1"/>
    <col min="3590" max="3590" width="21.453125" style="45" customWidth="1"/>
    <col min="3591" max="3591" width="26.54296875" style="45" customWidth="1"/>
    <col min="3592" max="3840" width="9.1796875" style="45"/>
    <col min="3841" max="3841" width="0" style="45" hidden="1" customWidth="1"/>
    <col min="3842" max="3842" width="27.54296875" style="45" customWidth="1"/>
    <col min="3843" max="3843" width="20.1796875" style="45" customWidth="1"/>
    <col min="3844" max="3844" width="21.7265625" style="45" customWidth="1"/>
    <col min="3845" max="3845" width="18.81640625" style="45" customWidth="1"/>
    <col min="3846" max="3846" width="21.453125" style="45" customWidth="1"/>
    <col min="3847" max="3847" width="26.54296875" style="45" customWidth="1"/>
    <col min="3848" max="4096" width="9.1796875" style="45"/>
    <col min="4097" max="4097" width="0" style="45" hidden="1" customWidth="1"/>
    <col min="4098" max="4098" width="27.54296875" style="45" customWidth="1"/>
    <col min="4099" max="4099" width="20.1796875" style="45" customWidth="1"/>
    <col min="4100" max="4100" width="21.7265625" style="45" customWidth="1"/>
    <col min="4101" max="4101" width="18.81640625" style="45" customWidth="1"/>
    <col min="4102" max="4102" width="21.453125" style="45" customWidth="1"/>
    <col min="4103" max="4103" width="26.54296875" style="45" customWidth="1"/>
    <col min="4104" max="4352" width="9.1796875" style="45"/>
    <col min="4353" max="4353" width="0" style="45" hidden="1" customWidth="1"/>
    <col min="4354" max="4354" width="27.54296875" style="45" customWidth="1"/>
    <col min="4355" max="4355" width="20.1796875" style="45" customWidth="1"/>
    <col min="4356" max="4356" width="21.7265625" style="45" customWidth="1"/>
    <col min="4357" max="4357" width="18.81640625" style="45" customWidth="1"/>
    <col min="4358" max="4358" width="21.453125" style="45" customWidth="1"/>
    <col min="4359" max="4359" width="26.54296875" style="45" customWidth="1"/>
    <col min="4360" max="4608" width="9.1796875" style="45"/>
    <col min="4609" max="4609" width="0" style="45" hidden="1" customWidth="1"/>
    <col min="4610" max="4610" width="27.54296875" style="45" customWidth="1"/>
    <col min="4611" max="4611" width="20.1796875" style="45" customWidth="1"/>
    <col min="4612" max="4612" width="21.7265625" style="45" customWidth="1"/>
    <col min="4613" max="4613" width="18.81640625" style="45" customWidth="1"/>
    <col min="4614" max="4614" width="21.453125" style="45" customWidth="1"/>
    <col min="4615" max="4615" width="26.54296875" style="45" customWidth="1"/>
    <col min="4616" max="4864" width="9.1796875" style="45"/>
    <col min="4865" max="4865" width="0" style="45" hidden="1" customWidth="1"/>
    <col min="4866" max="4866" width="27.54296875" style="45" customWidth="1"/>
    <col min="4867" max="4867" width="20.1796875" style="45" customWidth="1"/>
    <col min="4868" max="4868" width="21.7265625" style="45" customWidth="1"/>
    <col min="4869" max="4869" width="18.81640625" style="45" customWidth="1"/>
    <col min="4870" max="4870" width="21.453125" style="45" customWidth="1"/>
    <col min="4871" max="4871" width="26.54296875" style="45" customWidth="1"/>
    <col min="4872" max="5120" width="9.1796875" style="45"/>
    <col min="5121" max="5121" width="0" style="45" hidden="1" customWidth="1"/>
    <col min="5122" max="5122" width="27.54296875" style="45" customWidth="1"/>
    <col min="5123" max="5123" width="20.1796875" style="45" customWidth="1"/>
    <col min="5124" max="5124" width="21.7265625" style="45" customWidth="1"/>
    <col min="5125" max="5125" width="18.81640625" style="45" customWidth="1"/>
    <col min="5126" max="5126" width="21.453125" style="45" customWidth="1"/>
    <col min="5127" max="5127" width="26.54296875" style="45" customWidth="1"/>
    <col min="5128" max="5376" width="9.1796875" style="45"/>
    <col min="5377" max="5377" width="0" style="45" hidden="1" customWidth="1"/>
    <col min="5378" max="5378" width="27.54296875" style="45" customWidth="1"/>
    <col min="5379" max="5379" width="20.1796875" style="45" customWidth="1"/>
    <col min="5380" max="5380" width="21.7265625" style="45" customWidth="1"/>
    <col min="5381" max="5381" width="18.81640625" style="45" customWidth="1"/>
    <col min="5382" max="5382" width="21.453125" style="45" customWidth="1"/>
    <col min="5383" max="5383" width="26.54296875" style="45" customWidth="1"/>
    <col min="5384" max="5632" width="9.1796875" style="45"/>
    <col min="5633" max="5633" width="0" style="45" hidden="1" customWidth="1"/>
    <col min="5634" max="5634" width="27.54296875" style="45" customWidth="1"/>
    <col min="5635" max="5635" width="20.1796875" style="45" customWidth="1"/>
    <col min="5636" max="5636" width="21.7265625" style="45" customWidth="1"/>
    <col min="5637" max="5637" width="18.81640625" style="45" customWidth="1"/>
    <col min="5638" max="5638" width="21.453125" style="45" customWidth="1"/>
    <col min="5639" max="5639" width="26.54296875" style="45" customWidth="1"/>
    <col min="5640" max="5888" width="9.1796875" style="45"/>
    <col min="5889" max="5889" width="0" style="45" hidden="1" customWidth="1"/>
    <col min="5890" max="5890" width="27.54296875" style="45" customWidth="1"/>
    <col min="5891" max="5891" width="20.1796875" style="45" customWidth="1"/>
    <col min="5892" max="5892" width="21.7265625" style="45" customWidth="1"/>
    <col min="5893" max="5893" width="18.81640625" style="45" customWidth="1"/>
    <col min="5894" max="5894" width="21.453125" style="45" customWidth="1"/>
    <col min="5895" max="5895" width="26.54296875" style="45" customWidth="1"/>
    <col min="5896" max="6144" width="9.1796875" style="45"/>
    <col min="6145" max="6145" width="0" style="45" hidden="1" customWidth="1"/>
    <col min="6146" max="6146" width="27.54296875" style="45" customWidth="1"/>
    <col min="6147" max="6147" width="20.1796875" style="45" customWidth="1"/>
    <col min="6148" max="6148" width="21.7265625" style="45" customWidth="1"/>
    <col min="6149" max="6149" width="18.81640625" style="45" customWidth="1"/>
    <col min="6150" max="6150" width="21.453125" style="45" customWidth="1"/>
    <col min="6151" max="6151" width="26.54296875" style="45" customWidth="1"/>
    <col min="6152" max="6400" width="9.1796875" style="45"/>
    <col min="6401" max="6401" width="0" style="45" hidden="1" customWidth="1"/>
    <col min="6402" max="6402" width="27.54296875" style="45" customWidth="1"/>
    <col min="6403" max="6403" width="20.1796875" style="45" customWidth="1"/>
    <col min="6404" max="6404" width="21.7265625" style="45" customWidth="1"/>
    <col min="6405" max="6405" width="18.81640625" style="45" customWidth="1"/>
    <col min="6406" max="6406" width="21.453125" style="45" customWidth="1"/>
    <col min="6407" max="6407" width="26.54296875" style="45" customWidth="1"/>
    <col min="6408" max="6656" width="9.1796875" style="45"/>
    <col min="6657" max="6657" width="0" style="45" hidden="1" customWidth="1"/>
    <col min="6658" max="6658" width="27.54296875" style="45" customWidth="1"/>
    <col min="6659" max="6659" width="20.1796875" style="45" customWidth="1"/>
    <col min="6660" max="6660" width="21.7265625" style="45" customWidth="1"/>
    <col min="6661" max="6661" width="18.81640625" style="45" customWidth="1"/>
    <col min="6662" max="6662" width="21.453125" style="45" customWidth="1"/>
    <col min="6663" max="6663" width="26.54296875" style="45" customWidth="1"/>
    <col min="6664" max="6912" width="9.1796875" style="45"/>
    <col min="6913" max="6913" width="0" style="45" hidden="1" customWidth="1"/>
    <col min="6914" max="6914" width="27.54296875" style="45" customWidth="1"/>
    <col min="6915" max="6915" width="20.1796875" style="45" customWidth="1"/>
    <col min="6916" max="6916" width="21.7265625" style="45" customWidth="1"/>
    <col min="6917" max="6917" width="18.81640625" style="45" customWidth="1"/>
    <col min="6918" max="6918" width="21.453125" style="45" customWidth="1"/>
    <col min="6919" max="6919" width="26.54296875" style="45" customWidth="1"/>
    <col min="6920" max="7168" width="9.1796875" style="45"/>
    <col min="7169" max="7169" width="0" style="45" hidden="1" customWidth="1"/>
    <col min="7170" max="7170" width="27.54296875" style="45" customWidth="1"/>
    <col min="7171" max="7171" width="20.1796875" style="45" customWidth="1"/>
    <col min="7172" max="7172" width="21.7265625" style="45" customWidth="1"/>
    <col min="7173" max="7173" width="18.81640625" style="45" customWidth="1"/>
    <col min="7174" max="7174" width="21.453125" style="45" customWidth="1"/>
    <col min="7175" max="7175" width="26.54296875" style="45" customWidth="1"/>
    <col min="7176" max="7424" width="9.1796875" style="45"/>
    <col min="7425" max="7425" width="0" style="45" hidden="1" customWidth="1"/>
    <col min="7426" max="7426" width="27.54296875" style="45" customWidth="1"/>
    <col min="7427" max="7427" width="20.1796875" style="45" customWidth="1"/>
    <col min="7428" max="7428" width="21.7265625" style="45" customWidth="1"/>
    <col min="7429" max="7429" width="18.81640625" style="45" customWidth="1"/>
    <col min="7430" max="7430" width="21.453125" style="45" customWidth="1"/>
    <col min="7431" max="7431" width="26.54296875" style="45" customWidth="1"/>
    <col min="7432" max="7680" width="9.1796875" style="45"/>
    <col min="7681" max="7681" width="0" style="45" hidden="1" customWidth="1"/>
    <col min="7682" max="7682" width="27.54296875" style="45" customWidth="1"/>
    <col min="7683" max="7683" width="20.1796875" style="45" customWidth="1"/>
    <col min="7684" max="7684" width="21.7265625" style="45" customWidth="1"/>
    <col min="7685" max="7685" width="18.81640625" style="45" customWidth="1"/>
    <col min="7686" max="7686" width="21.453125" style="45" customWidth="1"/>
    <col min="7687" max="7687" width="26.54296875" style="45" customWidth="1"/>
    <col min="7688" max="7936" width="9.1796875" style="45"/>
    <col min="7937" max="7937" width="0" style="45" hidden="1" customWidth="1"/>
    <col min="7938" max="7938" width="27.54296875" style="45" customWidth="1"/>
    <col min="7939" max="7939" width="20.1796875" style="45" customWidth="1"/>
    <col min="7940" max="7940" width="21.7265625" style="45" customWidth="1"/>
    <col min="7941" max="7941" width="18.81640625" style="45" customWidth="1"/>
    <col min="7942" max="7942" width="21.453125" style="45" customWidth="1"/>
    <col min="7943" max="7943" width="26.54296875" style="45" customWidth="1"/>
    <col min="7944" max="8192" width="9.1796875" style="45"/>
    <col min="8193" max="8193" width="0" style="45" hidden="1" customWidth="1"/>
    <col min="8194" max="8194" width="27.54296875" style="45" customWidth="1"/>
    <col min="8195" max="8195" width="20.1796875" style="45" customWidth="1"/>
    <col min="8196" max="8196" width="21.7265625" style="45" customWidth="1"/>
    <col min="8197" max="8197" width="18.81640625" style="45" customWidth="1"/>
    <col min="8198" max="8198" width="21.453125" style="45" customWidth="1"/>
    <col min="8199" max="8199" width="26.54296875" style="45" customWidth="1"/>
    <col min="8200" max="8448" width="9.1796875" style="45"/>
    <col min="8449" max="8449" width="0" style="45" hidden="1" customWidth="1"/>
    <col min="8450" max="8450" width="27.54296875" style="45" customWidth="1"/>
    <col min="8451" max="8451" width="20.1796875" style="45" customWidth="1"/>
    <col min="8452" max="8452" width="21.7265625" style="45" customWidth="1"/>
    <col min="8453" max="8453" width="18.81640625" style="45" customWidth="1"/>
    <col min="8454" max="8454" width="21.453125" style="45" customWidth="1"/>
    <col min="8455" max="8455" width="26.54296875" style="45" customWidth="1"/>
    <col min="8456" max="8704" width="9.1796875" style="45"/>
    <col min="8705" max="8705" width="0" style="45" hidden="1" customWidth="1"/>
    <col min="8706" max="8706" width="27.54296875" style="45" customWidth="1"/>
    <col min="8707" max="8707" width="20.1796875" style="45" customWidth="1"/>
    <col min="8708" max="8708" width="21.7265625" style="45" customWidth="1"/>
    <col min="8709" max="8709" width="18.81640625" style="45" customWidth="1"/>
    <col min="8710" max="8710" width="21.453125" style="45" customWidth="1"/>
    <col min="8711" max="8711" width="26.54296875" style="45" customWidth="1"/>
    <col min="8712" max="8960" width="9.1796875" style="45"/>
    <col min="8961" max="8961" width="0" style="45" hidden="1" customWidth="1"/>
    <col min="8962" max="8962" width="27.54296875" style="45" customWidth="1"/>
    <col min="8963" max="8963" width="20.1796875" style="45" customWidth="1"/>
    <col min="8964" max="8964" width="21.7265625" style="45" customWidth="1"/>
    <col min="8965" max="8965" width="18.81640625" style="45" customWidth="1"/>
    <col min="8966" max="8966" width="21.453125" style="45" customWidth="1"/>
    <col min="8967" max="8967" width="26.54296875" style="45" customWidth="1"/>
    <col min="8968" max="9216" width="9.1796875" style="45"/>
    <col min="9217" max="9217" width="0" style="45" hidden="1" customWidth="1"/>
    <col min="9218" max="9218" width="27.54296875" style="45" customWidth="1"/>
    <col min="9219" max="9219" width="20.1796875" style="45" customWidth="1"/>
    <col min="9220" max="9220" width="21.7265625" style="45" customWidth="1"/>
    <col min="9221" max="9221" width="18.81640625" style="45" customWidth="1"/>
    <col min="9222" max="9222" width="21.453125" style="45" customWidth="1"/>
    <col min="9223" max="9223" width="26.54296875" style="45" customWidth="1"/>
    <col min="9224" max="9472" width="9.1796875" style="45"/>
    <col min="9473" max="9473" width="0" style="45" hidden="1" customWidth="1"/>
    <col min="9474" max="9474" width="27.54296875" style="45" customWidth="1"/>
    <col min="9475" max="9475" width="20.1796875" style="45" customWidth="1"/>
    <col min="9476" max="9476" width="21.7265625" style="45" customWidth="1"/>
    <col min="9477" max="9477" width="18.81640625" style="45" customWidth="1"/>
    <col min="9478" max="9478" width="21.453125" style="45" customWidth="1"/>
    <col min="9479" max="9479" width="26.54296875" style="45" customWidth="1"/>
    <col min="9480" max="9728" width="9.1796875" style="45"/>
    <col min="9729" max="9729" width="0" style="45" hidden="1" customWidth="1"/>
    <col min="9730" max="9730" width="27.54296875" style="45" customWidth="1"/>
    <col min="9731" max="9731" width="20.1796875" style="45" customWidth="1"/>
    <col min="9732" max="9732" width="21.7265625" style="45" customWidth="1"/>
    <col min="9733" max="9733" width="18.81640625" style="45" customWidth="1"/>
    <col min="9734" max="9734" width="21.453125" style="45" customWidth="1"/>
    <col min="9735" max="9735" width="26.54296875" style="45" customWidth="1"/>
    <col min="9736" max="9984" width="9.1796875" style="45"/>
    <col min="9985" max="9985" width="0" style="45" hidden="1" customWidth="1"/>
    <col min="9986" max="9986" width="27.54296875" style="45" customWidth="1"/>
    <col min="9987" max="9987" width="20.1796875" style="45" customWidth="1"/>
    <col min="9988" max="9988" width="21.7265625" style="45" customWidth="1"/>
    <col min="9989" max="9989" width="18.81640625" style="45" customWidth="1"/>
    <col min="9990" max="9990" width="21.453125" style="45" customWidth="1"/>
    <col min="9991" max="9991" width="26.54296875" style="45" customWidth="1"/>
    <col min="9992" max="10240" width="9.1796875" style="45"/>
    <col min="10241" max="10241" width="0" style="45" hidden="1" customWidth="1"/>
    <col min="10242" max="10242" width="27.54296875" style="45" customWidth="1"/>
    <col min="10243" max="10243" width="20.1796875" style="45" customWidth="1"/>
    <col min="10244" max="10244" width="21.7265625" style="45" customWidth="1"/>
    <col min="10245" max="10245" width="18.81640625" style="45" customWidth="1"/>
    <col min="10246" max="10246" width="21.453125" style="45" customWidth="1"/>
    <col min="10247" max="10247" width="26.54296875" style="45" customWidth="1"/>
    <col min="10248" max="10496" width="9.1796875" style="45"/>
    <col min="10497" max="10497" width="0" style="45" hidden="1" customWidth="1"/>
    <col min="10498" max="10498" width="27.54296875" style="45" customWidth="1"/>
    <col min="10499" max="10499" width="20.1796875" style="45" customWidth="1"/>
    <col min="10500" max="10500" width="21.7265625" style="45" customWidth="1"/>
    <col min="10501" max="10501" width="18.81640625" style="45" customWidth="1"/>
    <col min="10502" max="10502" width="21.453125" style="45" customWidth="1"/>
    <col min="10503" max="10503" width="26.54296875" style="45" customWidth="1"/>
    <col min="10504" max="10752" width="9.1796875" style="45"/>
    <col min="10753" max="10753" width="0" style="45" hidden="1" customWidth="1"/>
    <col min="10754" max="10754" width="27.54296875" style="45" customWidth="1"/>
    <col min="10755" max="10755" width="20.1796875" style="45" customWidth="1"/>
    <col min="10756" max="10756" width="21.7265625" style="45" customWidth="1"/>
    <col min="10757" max="10757" width="18.81640625" style="45" customWidth="1"/>
    <col min="10758" max="10758" width="21.453125" style="45" customWidth="1"/>
    <col min="10759" max="10759" width="26.54296875" style="45" customWidth="1"/>
    <col min="10760" max="11008" width="9.1796875" style="45"/>
    <col min="11009" max="11009" width="0" style="45" hidden="1" customWidth="1"/>
    <col min="11010" max="11010" width="27.54296875" style="45" customWidth="1"/>
    <col min="11011" max="11011" width="20.1796875" style="45" customWidth="1"/>
    <col min="11012" max="11012" width="21.7265625" style="45" customWidth="1"/>
    <col min="11013" max="11013" width="18.81640625" style="45" customWidth="1"/>
    <col min="11014" max="11014" width="21.453125" style="45" customWidth="1"/>
    <col min="11015" max="11015" width="26.54296875" style="45" customWidth="1"/>
    <col min="11016" max="11264" width="9.1796875" style="45"/>
    <col min="11265" max="11265" width="0" style="45" hidden="1" customWidth="1"/>
    <col min="11266" max="11266" width="27.54296875" style="45" customWidth="1"/>
    <col min="11267" max="11267" width="20.1796875" style="45" customWidth="1"/>
    <col min="11268" max="11268" width="21.7265625" style="45" customWidth="1"/>
    <col min="11269" max="11269" width="18.81640625" style="45" customWidth="1"/>
    <col min="11270" max="11270" width="21.453125" style="45" customWidth="1"/>
    <col min="11271" max="11271" width="26.54296875" style="45" customWidth="1"/>
    <col min="11272" max="11520" width="9.1796875" style="45"/>
    <col min="11521" max="11521" width="0" style="45" hidden="1" customWidth="1"/>
    <col min="11522" max="11522" width="27.54296875" style="45" customWidth="1"/>
    <col min="11523" max="11523" width="20.1796875" style="45" customWidth="1"/>
    <col min="11524" max="11524" width="21.7265625" style="45" customWidth="1"/>
    <col min="11525" max="11525" width="18.81640625" style="45" customWidth="1"/>
    <col min="11526" max="11526" width="21.453125" style="45" customWidth="1"/>
    <col min="11527" max="11527" width="26.54296875" style="45" customWidth="1"/>
    <col min="11528" max="11776" width="9.1796875" style="45"/>
    <col min="11777" max="11777" width="0" style="45" hidden="1" customWidth="1"/>
    <col min="11778" max="11778" width="27.54296875" style="45" customWidth="1"/>
    <col min="11779" max="11779" width="20.1796875" style="45" customWidth="1"/>
    <col min="11780" max="11780" width="21.7265625" style="45" customWidth="1"/>
    <col min="11781" max="11781" width="18.81640625" style="45" customWidth="1"/>
    <col min="11782" max="11782" width="21.453125" style="45" customWidth="1"/>
    <col min="11783" max="11783" width="26.54296875" style="45" customWidth="1"/>
    <col min="11784" max="12032" width="9.1796875" style="45"/>
    <col min="12033" max="12033" width="0" style="45" hidden="1" customWidth="1"/>
    <col min="12034" max="12034" width="27.54296875" style="45" customWidth="1"/>
    <col min="12035" max="12035" width="20.1796875" style="45" customWidth="1"/>
    <col min="12036" max="12036" width="21.7265625" style="45" customWidth="1"/>
    <col min="12037" max="12037" width="18.81640625" style="45" customWidth="1"/>
    <col min="12038" max="12038" width="21.453125" style="45" customWidth="1"/>
    <col min="12039" max="12039" width="26.54296875" style="45" customWidth="1"/>
    <col min="12040" max="12288" width="9.1796875" style="45"/>
    <col min="12289" max="12289" width="0" style="45" hidden="1" customWidth="1"/>
    <col min="12290" max="12290" width="27.54296875" style="45" customWidth="1"/>
    <col min="12291" max="12291" width="20.1796875" style="45" customWidth="1"/>
    <col min="12292" max="12292" width="21.7265625" style="45" customWidth="1"/>
    <col min="12293" max="12293" width="18.81640625" style="45" customWidth="1"/>
    <col min="12294" max="12294" width="21.453125" style="45" customWidth="1"/>
    <col min="12295" max="12295" width="26.54296875" style="45" customWidth="1"/>
    <col min="12296" max="12544" width="9.1796875" style="45"/>
    <col min="12545" max="12545" width="0" style="45" hidden="1" customWidth="1"/>
    <col min="12546" max="12546" width="27.54296875" style="45" customWidth="1"/>
    <col min="12547" max="12547" width="20.1796875" style="45" customWidth="1"/>
    <col min="12548" max="12548" width="21.7265625" style="45" customWidth="1"/>
    <col min="12549" max="12549" width="18.81640625" style="45" customWidth="1"/>
    <col min="12550" max="12550" width="21.453125" style="45" customWidth="1"/>
    <col min="12551" max="12551" width="26.54296875" style="45" customWidth="1"/>
    <col min="12552" max="12800" width="9.1796875" style="45"/>
    <col min="12801" max="12801" width="0" style="45" hidden="1" customWidth="1"/>
    <col min="12802" max="12802" width="27.54296875" style="45" customWidth="1"/>
    <col min="12803" max="12803" width="20.1796875" style="45" customWidth="1"/>
    <col min="12804" max="12804" width="21.7265625" style="45" customWidth="1"/>
    <col min="12805" max="12805" width="18.81640625" style="45" customWidth="1"/>
    <col min="12806" max="12806" width="21.453125" style="45" customWidth="1"/>
    <col min="12807" max="12807" width="26.54296875" style="45" customWidth="1"/>
    <col min="12808" max="13056" width="9.1796875" style="45"/>
    <col min="13057" max="13057" width="0" style="45" hidden="1" customWidth="1"/>
    <col min="13058" max="13058" width="27.54296875" style="45" customWidth="1"/>
    <col min="13059" max="13059" width="20.1796875" style="45" customWidth="1"/>
    <col min="13060" max="13060" width="21.7265625" style="45" customWidth="1"/>
    <col min="13061" max="13061" width="18.81640625" style="45" customWidth="1"/>
    <col min="13062" max="13062" width="21.453125" style="45" customWidth="1"/>
    <col min="13063" max="13063" width="26.54296875" style="45" customWidth="1"/>
    <col min="13064" max="13312" width="9.1796875" style="45"/>
    <col min="13313" max="13313" width="0" style="45" hidden="1" customWidth="1"/>
    <col min="13314" max="13314" width="27.54296875" style="45" customWidth="1"/>
    <col min="13315" max="13315" width="20.1796875" style="45" customWidth="1"/>
    <col min="13316" max="13316" width="21.7265625" style="45" customWidth="1"/>
    <col min="13317" max="13317" width="18.81640625" style="45" customWidth="1"/>
    <col min="13318" max="13318" width="21.453125" style="45" customWidth="1"/>
    <col min="13319" max="13319" width="26.54296875" style="45" customWidth="1"/>
    <col min="13320" max="13568" width="9.1796875" style="45"/>
    <col min="13569" max="13569" width="0" style="45" hidden="1" customWidth="1"/>
    <col min="13570" max="13570" width="27.54296875" style="45" customWidth="1"/>
    <col min="13571" max="13571" width="20.1796875" style="45" customWidth="1"/>
    <col min="13572" max="13572" width="21.7265625" style="45" customWidth="1"/>
    <col min="13573" max="13573" width="18.81640625" style="45" customWidth="1"/>
    <col min="13574" max="13574" width="21.453125" style="45" customWidth="1"/>
    <col min="13575" max="13575" width="26.54296875" style="45" customWidth="1"/>
    <col min="13576" max="13824" width="9.1796875" style="45"/>
    <col min="13825" max="13825" width="0" style="45" hidden="1" customWidth="1"/>
    <col min="13826" max="13826" width="27.54296875" style="45" customWidth="1"/>
    <col min="13827" max="13827" width="20.1796875" style="45" customWidth="1"/>
    <col min="13828" max="13828" width="21.7265625" style="45" customWidth="1"/>
    <col min="13829" max="13829" width="18.81640625" style="45" customWidth="1"/>
    <col min="13830" max="13830" width="21.453125" style="45" customWidth="1"/>
    <col min="13831" max="13831" width="26.54296875" style="45" customWidth="1"/>
    <col min="13832" max="14080" width="9.1796875" style="45"/>
    <col min="14081" max="14081" width="0" style="45" hidden="1" customWidth="1"/>
    <col min="14082" max="14082" width="27.54296875" style="45" customWidth="1"/>
    <col min="14083" max="14083" width="20.1796875" style="45" customWidth="1"/>
    <col min="14084" max="14084" width="21.7265625" style="45" customWidth="1"/>
    <col min="14085" max="14085" width="18.81640625" style="45" customWidth="1"/>
    <col min="14086" max="14086" width="21.453125" style="45" customWidth="1"/>
    <col min="14087" max="14087" width="26.54296875" style="45" customWidth="1"/>
    <col min="14088" max="14336" width="9.1796875" style="45"/>
    <col min="14337" max="14337" width="0" style="45" hidden="1" customWidth="1"/>
    <col min="14338" max="14338" width="27.54296875" style="45" customWidth="1"/>
    <col min="14339" max="14339" width="20.1796875" style="45" customWidth="1"/>
    <col min="14340" max="14340" width="21.7265625" style="45" customWidth="1"/>
    <col min="14341" max="14341" width="18.81640625" style="45" customWidth="1"/>
    <col min="14342" max="14342" width="21.453125" style="45" customWidth="1"/>
    <col min="14343" max="14343" width="26.54296875" style="45" customWidth="1"/>
    <col min="14344" max="14592" width="9.1796875" style="45"/>
    <col min="14593" max="14593" width="0" style="45" hidden="1" customWidth="1"/>
    <col min="14594" max="14594" width="27.54296875" style="45" customWidth="1"/>
    <col min="14595" max="14595" width="20.1796875" style="45" customWidth="1"/>
    <col min="14596" max="14596" width="21.7265625" style="45" customWidth="1"/>
    <col min="14597" max="14597" width="18.81640625" style="45" customWidth="1"/>
    <col min="14598" max="14598" width="21.453125" style="45" customWidth="1"/>
    <col min="14599" max="14599" width="26.54296875" style="45" customWidth="1"/>
    <col min="14600" max="14848" width="9.1796875" style="45"/>
    <col min="14849" max="14849" width="0" style="45" hidden="1" customWidth="1"/>
    <col min="14850" max="14850" width="27.54296875" style="45" customWidth="1"/>
    <col min="14851" max="14851" width="20.1796875" style="45" customWidth="1"/>
    <col min="14852" max="14852" width="21.7265625" style="45" customWidth="1"/>
    <col min="14853" max="14853" width="18.81640625" style="45" customWidth="1"/>
    <col min="14854" max="14854" width="21.453125" style="45" customWidth="1"/>
    <col min="14855" max="14855" width="26.54296875" style="45" customWidth="1"/>
    <col min="14856" max="15104" width="9.1796875" style="45"/>
    <col min="15105" max="15105" width="0" style="45" hidden="1" customWidth="1"/>
    <col min="15106" max="15106" width="27.54296875" style="45" customWidth="1"/>
    <col min="15107" max="15107" width="20.1796875" style="45" customWidth="1"/>
    <col min="15108" max="15108" width="21.7265625" style="45" customWidth="1"/>
    <col min="15109" max="15109" width="18.81640625" style="45" customWidth="1"/>
    <col min="15110" max="15110" width="21.453125" style="45" customWidth="1"/>
    <col min="15111" max="15111" width="26.54296875" style="45" customWidth="1"/>
    <col min="15112" max="15360" width="9.1796875" style="45"/>
    <col min="15361" max="15361" width="0" style="45" hidden="1" customWidth="1"/>
    <col min="15362" max="15362" width="27.54296875" style="45" customWidth="1"/>
    <col min="15363" max="15363" width="20.1796875" style="45" customWidth="1"/>
    <col min="15364" max="15364" width="21.7265625" style="45" customWidth="1"/>
    <col min="15365" max="15365" width="18.81640625" style="45" customWidth="1"/>
    <col min="15366" max="15366" width="21.453125" style="45" customWidth="1"/>
    <col min="15367" max="15367" width="26.54296875" style="45" customWidth="1"/>
    <col min="15368" max="15616" width="9.1796875" style="45"/>
    <col min="15617" max="15617" width="0" style="45" hidden="1" customWidth="1"/>
    <col min="15618" max="15618" width="27.54296875" style="45" customWidth="1"/>
    <col min="15619" max="15619" width="20.1796875" style="45" customWidth="1"/>
    <col min="15620" max="15620" width="21.7265625" style="45" customWidth="1"/>
    <col min="15621" max="15621" width="18.81640625" style="45" customWidth="1"/>
    <col min="15622" max="15622" width="21.453125" style="45" customWidth="1"/>
    <col min="15623" max="15623" width="26.54296875" style="45" customWidth="1"/>
    <col min="15624" max="15872" width="9.1796875" style="45"/>
    <col min="15873" max="15873" width="0" style="45" hidden="1" customWidth="1"/>
    <col min="15874" max="15874" width="27.54296875" style="45" customWidth="1"/>
    <col min="15875" max="15875" width="20.1796875" style="45" customWidth="1"/>
    <col min="15876" max="15876" width="21.7265625" style="45" customWidth="1"/>
    <col min="15877" max="15877" width="18.81640625" style="45" customWidth="1"/>
    <col min="15878" max="15878" width="21.453125" style="45" customWidth="1"/>
    <col min="15879" max="15879" width="26.54296875" style="45" customWidth="1"/>
    <col min="15880" max="16128" width="9.1796875" style="45"/>
    <col min="16129" max="16129" width="0" style="45" hidden="1" customWidth="1"/>
    <col min="16130" max="16130" width="27.54296875" style="45" customWidth="1"/>
    <col min="16131" max="16131" width="20.1796875" style="45" customWidth="1"/>
    <col min="16132" max="16132" width="21.7265625" style="45" customWidth="1"/>
    <col min="16133" max="16133" width="18.81640625" style="45" customWidth="1"/>
    <col min="16134" max="16134" width="21.453125" style="45" customWidth="1"/>
    <col min="16135" max="16135" width="26.54296875" style="45" customWidth="1"/>
    <col min="16136" max="16384" width="9.1796875" style="45"/>
  </cols>
  <sheetData>
    <row r="1" spans="1:13" s="23" customFormat="1" ht="41.25" customHeight="1" x14ac:dyDescent="0.35">
      <c r="B1" s="152" t="s">
        <v>112</v>
      </c>
      <c r="C1" s="153"/>
      <c r="D1" s="153"/>
      <c r="E1" s="153"/>
      <c r="F1" s="153"/>
      <c r="G1" s="154"/>
    </row>
    <row r="2" spans="1:13" s="24" customFormat="1" ht="28.5" customHeight="1" x14ac:dyDescent="0.35">
      <c r="C2" s="25" t="s">
        <v>1</v>
      </c>
      <c r="D2" s="25" t="s">
        <v>59</v>
      </c>
      <c r="E2" s="25" t="s">
        <v>60</v>
      </c>
      <c r="F2" s="25" t="s">
        <v>61</v>
      </c>
      <c r="G2" s="26" t="s">
        <v>5</v>
      </c>
    </row>
    <row r="3" spans="1:13" s="24" customFormat="1" ht="28.5" customHeight="1" x14ac:dyDescent="0.35">
      <c r="B3" s="27" t="s">
        <v>0</v>
      </c>
      <c r="C3" s="28">
        <f>C4+C44</f>
        <v>1446</v>
      </c>
      <c r="D3" s="28">
        <f>D4+D44</f>
        <v>1424</v>
      </c>
      <c r="E3" s="28">
        <f>E4+E44</f>
        <v>92</v>
      </c>
      <c r="F3" s="28">
        <f>F4+F44</f>
        <v>1026</v>
      </c>
      <c r="G3" s="28">
        <f>G4+G44</f>
        <v>3988</v>
      </c>
      <c r="I3" s="29"/>
      <c r="J3" s="30"/>
      <c r="K3" s="30"/>
      <c r="L3" s="30"/>
      <c r="M3" s="30"/>
    </row>
    <row r="4" spans="1:13" s="27" customFormat="1" ht="25.5" customHeight="1" x14ac:dyDescent="0.35">
      <c r="A4" s="31"/>
      <c r="B4" s="27" t="s">
        <v>62</v>
      </c>
      <c r="C4" s="32">
        <f>SUM(C5:C43)</f>
        <v>853</v>
      </c>
      <c r="D4" s="32">
        <f>SUM(D5:D43)</f>
        <v>1383</v>
      </c>
      <c r="E4" s="32">
        <f>SUM(E5:E43)</f>
        <v>72</v>
      </c>
      <c r="F4" s="32">
        <f>SUM(F5:F43)</f>
        <v>757</v>
      </c>
      <c r="G4" s="32">
        <f>SUM(G5:G43)</f>
        <v>3065</v>
      </c>
      <c r="I4" s="30"/>
      <c r="J4" s="30"/>
      <c r="K4" s="30"/>
      <c r="L4" s="30"/>
      <c r="M4" s="30"/>
    </row>
    <row r="5" spans="1:13" s="34" customFormat="1" ht="12.75" customHeight="1" x14ac:dyDescent="0.35">
      <c r="A5" s="33">
        <v>51</v>
      </c>
      <c r="B5" s="34" t="s">
        <v>10</v>
      </c>
      <c r="C5" s="80">
        <v>26</v>
      </c>
      <c r="D5" s="80">
        <v>8</v>
      </c>
      <c r="E5" s="80">
        <v>8</v>
      </c>
      <c r="F5" s="80">
        <v>23</v>
      </c>
      <c r="G5" s="32">
        <f>SUM(C5:F5)</f>
        <v>65</v>
      </c>
      <c r="I5" s="30"/>
      <c r="J5" s="30"/>
      <c r="K5" s="30"/>
      <c r="L5" s="30"/>
      <c r="M5" s="30"/>
    </row>
    <row r="6" spans="1:13" s="34" customFormat="1" ht="12.75" customHeight="1" x14ac:dyDescent="0.35">
      <c r="A6" s="33">
        <v>52</v>
      </c>
      <c r="B6" s="34" t="s">
        <v>11</v>
      </c>
      <c r="C6" s="80">
        <v>18</v>
      </c>
      <c r="D6" s="80">
        <v>22</v>
      </c>
      <c r="E6" s="80">
        <v>3</v>
      </c>
      <c r="F6" s="80">
        <v>15</v>
      </c>
      <c r="G6" s="32">
        <f t="shared" ref="G6:G43" si="0">SUM(C6:F6)</f>
        <v>58</v>
      </c>
      <c r="I6" s="30"/>
      <c r="J6" s="30"/>
      <c r="K6" s="30"/>
      <c r="L6" s="30"/>
      <c r="M6" s="30"/>
    </row>
    <row r="7" spans="1:13" s="34" customFormat="1" ht="12.75" customHeight="1" x14ac:dyDescent="0.35">
      <c r="A7" s="33">
        <v>86</v>
      </c>
      <c r="B7" s="34" t="s">
        <v>12</v>
      </c>
      <c r="C7" s="80">
        <v>24</v>
      </c>
      <c r="D7" s="80">
        <v>11</v>
      </c>
      <c r="E7" s="80">
        <v>4</v>
      </c>
      <c r="F7" s="80">
        <v>22</v>
      </c>
      <c r="G7" s="32">
        <f t="shared" si="0"/>
        <v>61</v>
      </c>
      <c r="I7" s="30"/>
      <c r="J7" s="30"/>
      <c r="K7" s="30"/>
      <c r="L7" s="30"/>
      <c r="M7" s="30"/>
    </row>
    <row r="8" spans="1:13" s="34" customFormat="1" ht="14" x14ac:dyDescent="0.35">
      <c r="A8" s="33">
        <v>53</v>
      </c>
      <c r="B8" s="34" t="s">
        <v>13</v>
      </c>
      <c r="C8" s="80">
        <v>18</v>
      </c>
      <c r="D8" s="80">
        <v>32</v>
      </c>
      <c r="E8" s="80">
        <v>0</v>
      </c>
      <c r="F8" s="80">
        <v>12</v>
      </c>
      <c r="G8" s="32">
        <f t="shared" si="0"/>
        <v>62</v>
      </c>
      <c r="I8" s="30"/>
      <c r="J8" s="30"/>
      <c r="K8" s="30"/>
      <c r="L8" s="30"/>
      <c r="M8" s="30"/>
    </row>
    <row r="9" spans="1:13" s="34" customFormat="1" ht="12.75" customHeight="1" x14ac:dyDescent="0.35">
      <c r="A9" s="33">
        <v>54</v>
      </c>
      <c r="B9" s="34" t="s">
        <v>14</v>
      </c>
      <c r="C9" s="80">
        <v>13</v>
      </c>
      <c r="D9" s="80">
        <v>32</v>
      </c>
      <c r="E9" s="80">
        <v>5</v>
      </c>
      <c r="F9" s="80">
        <v>13</v>
      </c>
      <c r="G9" s="32">
        <f t="shared" si="0"/>
        <v>63</v>
      </c>
      <c r="I9" s="30"/>
      <c r="J9" s="30"/>
      <c r="K9" s="30"/>
      <c r="L9" s="30"/>
      <c r="M9" s="30"/>
    </row>
    <row r="10" spans="1:13" s="34" customFormat="1" ht="12.75" customHeight="1" x14ac:dyDescent="0.35">
      <c r="A10" s="33">
        <v>55</v>
      </c>
      <c r="B10" s="34" t="s">
        <v>15</v>
      </c>
      <c r="C10" s="80">
        <v>32</v>
      </c>
      <c r="D10" s="80">
        <v>38</v>
      </c>
      <c r="E10" s="80">
        <v>0</v>
      </c>
      <c r="F10" s="80">
        <v>91</v>
      </c>
      <c r="G10" s="32">
        <f t="shared" si="0"/>
        <v>161</v>
      </c>
      <c r="I10" s="30"/>
      <c r="J10" s="30"/>
      <c r="K10" s="30"/>
      <c r="L10" s="30"/>
      <c r="M10" s="30"/>
    </row>
    <row r="11" spans="1:13" s="34" customFormat="1" ht="13.5" customHeight="1" x14ac:dyDescent="0.35">
      <c r="A11" s="33">
        <v>56</v>
      </c>
      <c r="B11" s="34" t="s">
        <v>16</v>
      </c>
      <c r="C11" s="80">
        <v>30</v>
      </c>
      <c r="D11" s="80">
        <v>14</v>
      </c>
      <c r="E11" s="80">
        <v>0</v>
      </c>
      <c r="F11" s="80">
        <v>18</v>
      </c>
      <c r="G11" s="32">
        <f t="shared" si="0"/>
        <v>62</v>
      </c>
      <c r="I11" s="30"/>
      <c r="J11" s="30"/>
      <c r="K11" s="30"/>
      <c r="L11" s="30"/>
      <c r="M11" s="30"/>
    </row>
    <row r="12" spans="1:13" s="34" customFormat="1" ht="13.5" customHeight="1" x14ac:dyDescent="0.35">
      <c r="A12" s="33">
        <v>57</v>
      </c>
      <c r="B12" s="34" t="s">
        <v>17</v>
      </c>
      <c r="C12" s="80">
        <v>16</v>
      </c>
      <c r="D12" s="80">
        <v>33</v>
      </c>
      <c r="E12" s="80">
        <v>1</v>
      </c>
      <c r="F12" s="80">
        <v>15</v>
      </c>
      <c r="G12" s="32">
        <f t="shared" si="0"/>
        <v>65</v>
      </c>
      <c r="I12" s="30"/>
      <c r="J12" s="30"/>
      <c r="K12" s="30"/>
      <c r="L12" s="30"/>
      <c r="M12" s="30"/>
    </row>
    <row r="13" spans="1:13" s="34" customFormat="1" ht="12.75" customHeight="1" x14ac:dyDescent="0.35">
      <c r="A13" s="33">
        <v>59</v>
      </c>
      <c r="B13" s="34" t="s">
        <v>18</v>
      </c>
      <c r="C13" s="80">
        <v>9</v>
      </c>
      <c r="D13" s="80">
        <v>28</v>
      </c>
      <c r="E13" s="80">
        <v>0</v>
      </c>
      <c r="F13" s="80">
        <v>2</v>
      </c>
      <c r="G13" s="32">
        <f t="shared" si="0"/>
        <v>39</v>
      </c>
      <c r="I13" s="30"/>
      <c r="J13" s="30"/>
      <c r="K13" s="30"/>
      <c r="L13" s="30"/>
      <c r="M13" s="30"/>
    </row>
    <row r="14" spans="1:13" s="34" customFormat="1" ht="12.75" customHeight="1" x14ac:dyDescent="0.35">
      <c r="A14" s="33">
        <v>60</v>
      </c>
      <c r="B14" s="34" t="s">
        <v>19</v>
      </c>
      <c r="C14" s="80">
        <v>19</v>
      </c>
      <c r="D14" s="80">
        <v>45</v>
      </c>
      <c r="E14" s="80">
        <v>1</v>
      </c>
      <c r="F14" s="80">
        <v>22</v>
      </c>
      <c r="G14" s="32">
        <f t="shared" si="0"/>
        <v>87</v>
      </c>
      <c r="I14" s="30"/>
      <c r="J14" s="30"/>
      <c r="K14" s="30"/>
      <c r="L14" s="30"/>
      <c r="M14" s="30"/>
    </row>
    <row r="15" spans="1:13" s="34" customFormat="1" ht="12.75" customHeight="1" x14ac:dyDescent="0.35">
      <c r="A15" s="33">
        <v>61</v>
      </c>
      <c r="B15" s="36" t="s">
        <v>63</v>
      </c>
      <c r="C15" s="80">
        <v>35</v>
      </c>
      <c r="D15" s="80">
        <v>118</v>
      </c>
      <c r="E15" s="80">
        <v>5</v>
      </c>
      <c r="F15" s="80">
        <v>31</v>
      </c>
      <c r="G15" s="32">
        <f t="shared" si="0"/>
        <v>189</v>
      </c>
      <c r="I15" s="30"/>
      <c r="J15" s="30"/>
      <c r="K15" s="30"/>
      <c r="L15" s="30"/>
      <c r="M15" s="30"/>
    </row>
    <row r="16" spans="1:13" s="34" customFormat="1" ht="12.75" customHeight="1" x14ac:dyDescent="0.35">
      <c r="A16" s="33">
        <v>62</v>
      </c>
      <c r="B16" s="34" t="s">
        <v>106</v>
      </c>
      <c r="C16" s="80">
        <v>16</v>
      </c>
      <c r="D16" s="80">
        <v>69</v>
      </c>
      <c r="E16" s="80">
        <v>2</v>
      </c>
      <c r="F16" s="80">
        <v>46</v>
      </c>
      <c r="G16" s="32">
        <f t="shared" si="0"/>
        <v>133</v>
      </c>
      <c r="I16" s="30"/>
      <c r="J16" s="30"/>
      <c r="K16" s="30"/>
      <c r="L16" s="30"/>
      <c r="M16" s="30"/>
    </row>
    <row r="17" spans="1:13" s="34" customFormat="1" ht="12.75" customHeight="1" x14ac:dyDescent="0.35">
      <c r="A17" s="33">
        <v>58</v>
      </c>
      <c r="B17" s="34" t="s">
        <v>22</v>
      </c>
      <c r="C17" s="80">
        <v>20</v>
      </c>
      <c r="D17" s="80">
        <v>12</v>
      </c>
      <c r="E17" s="80">
        <v>0</v>
      </c>
      <c r="F17" s="80">
        <v>8</v>
      </c>
      <c r="G17" s="32">
        <f t="shared" si="0"/>
        <v>40</v>
      </c>
      <c r="I17" s="30"/>
      <c r="J17" s="30"/>
      <c r="K17" s="30"/>
      <c r="L17" s="30"/>
      <c r="M17" s="30"/>
    </row>
    <row r="18" spans="1:13" s="34" customFormat="1" ht="12.75" customHeight="1" x14ac:dyDescent="0.35">
      <c r="A18" s="33">
        <v>63</v>
      </c>
      <c r="B18" s="34" t="s">
        <v>23</v>
      </c>
      <c r="C18" s="80">
        <v>18</v>
      </c>
      <c r="D18" s="80">
        <v>20</v>
      </c>
      <c r="E18" s="80">
        <v>5</v>
      </c>
      <c r="F18" s="80">
        <v>26</v>
      </c>
      <c r="G18" s="32">
        <f t="shared" si="0"/>
        <v>69</v>
      </c>
      <c r="I18" s="30"/>
      <c r="J18" s="30"/>
      <c r="K18" s="30"/>
      <c r="L18" s="30"/>
      <c r="M18" s="30"/>
    </row>
    <row r="19" spans="1:13" s="34" customFormat="1" ht="12.75" customHeight="1" x14ac:dyDescent="0.35">
      <c r="A19" s="33">
        <v>64</v>
      </c>
      <c r="B19" s="34" t="s">
        <v>24</v>
      </c>
      <c r="C19" s="80">
        <v>36</v>
      </c>
      <c r="D19" s="80">
        <v>74</v>
      </c>
      <c r="E19" s="80">
        <v>1</v>
      </c>
      <c r="F19" s="80">
        <v>36</v>
      </c>
      <c r="G19" s="32">
        <f t="shared" si="0"/>
        <v>147</v>
      </c>
      <c r="I19" s="30"/>
      <c r="J19" s="30"/>
      <c r="K19" s="30"/>
      <c r="L19" s="30"/>
      <c r="M19" s="30"/>
    </row>
    <row r="20" spans="1:13" s="34" customFormat="1" ht="12.75" customHeight="1" x14ac:dyDescent="0.35">
      <c r="A20" s="33">
        <v>65</v>
      </c>
      <c r="B20" s="34" t="s">
        <v>25</v>
      </c>
      <c r="C20" s="80">
        <v>24</v>
      </c>
      <c r="D20" s="80">
        <v>40</v>
      </c>
      <c r="E20" s="80">
        <v>1</v>
      </c>
      <c r="F20" s="80">
        <v>4</v>
      </c>
      <c r="G20" s="32">
        <f t="shared" si="0"/>
        <v>69</v>
      </c>
      <c r="I20" s="30"/>
      <c r="J20" s="30"/>
      <c r="K20" s="30"/>
      <c r="L20" s="30"/>
      <c r="M20" s="30"/>
    </row>
    <row r="21" spans="1:13" s="34" customFormat="1" ht="12.75" customHeight="1" x14ac:dyDescent="0.35">
      <c r="A21" s="33">
        <v>67</v>
      </c>
      <c r="B21" s="34" t="s">
        <v>28</v>
      </c>
      <c r="C21" s="80">
        <v>99</v>
      </c>
      <c r="D21" s="80">
        <v>84</v>
      </c>
      <c r="E21" s="80">
        <v>2</v>
      </c>
      <c r="F21" s="80">
        <v>45</v>
      </c>
      <c r="G21" s="32">
        <f t="shared" si="0"/>
        <v>230</v>
      </c>
      <c r="I21" s="30"/>
      <c r="J21" s="30"/>
      <c r="K21" s="30"/>
      <c r="L21" s="30"/>
      <c r="M21" s="30"/>
    </row>
    <row r="22" spans="1:13" s="34" customFormat="1" ht="12.75" customHeight="1" x14ac:dyDescent="0.35">
      <c r="A22" s="33">
        <v>68</v>
      </c>
      <c r="B22" s="34" t="s">
        <v>64</v>
      </c>
      <c r="C22" s="80">
        <v>17</v>
      </c>
      <c r="D22" s="80">
        <v>47</v>
      </c>
      <c r="E22" s="80">
        <v>2</v>
      </c>
      <c r="F22" s="80">
        <v>15</v>
      </c>
      <c r="G22" s="32">
        <f t="shared" si="0"/>
        <v>81</v>
      </c>
      <c r="I22" s="30"/>
      <c r="J22" s="30"/>
      <c r="K22" s="30"/>
      <c r="L22" s="30"/>
      <c r="M22" s="30"/>
    </row>
    <row r="23" spans="1:13" s="34" customFormat="1" ht="12.75" customHeight="1" x14ac:dyDescent="0.35">
      <c r="A23" s="33">
        <v>69</v>
      </c>
      <c r="B23" s="34" t="s">
        <v>30</v>
      </c>
      <c r="C23" s="80">
        <v>53</v>
      </c>
      <c r="D23" s="80">
        <v>42</v>
      </c>
      <c r="E23" s="80">
        <v>4</v>
      </c>
      <c r="F23" s="80">
        <v>19</v>
      </c>
      <c r="G23" s="32">
        <f t="shared" si="0"/>
        <v>118</v>
      </c>
      <c r="I23" s="30"/>
      <c r="J23" s="30"/>
      <c r="K23" s="30"/>
      <c r="L23" s="30"/>
      <c r="M23" s="30"/>
    </row>
    <row r="24" spans="1:13" s="34" customFormat="1" ht="12.75" customHeight="1" x14ac:dyDescent="0.35">
      <c r="A24" s="33">
        <v>70</v>
      </c>
      <c r="B24" s="34" t="s">
        <v>31</v>
      </c>
      <c r="C24" s="80">
        <v>30</v>
      </c>
      <c r="D24" s="80">
        <v>29</v>
      </c>
      <c r="E24" s="80">
        <v>2</v>
      </c>
      <c r="F24" s="80">
        <v>36</v>
      </c>
      <c r="G24" s="32">
        <f t="shared" si="0"/>
        <v>97</v>
      </c>
      <c r="I24" s="30"/>
      <c r="J24" s="30"/>
      <c r="K24" s="30"/>
      <c r="L24" s="30"/>
      <c r="M24" s="30"/>
    </row>
    <row r="25" spans="1:13" s="34" customFormat="1" ht="12.75" customHeight="1" x14ac:dyDescent="0.35">
      <c r="A25" s="33">
        <v>71</v>
      </c>
      <c r="B25" s="34" t="s">
        <v>65</v>
      </c>
      <c r="C25" s="80">
        <v>3</v>
      </c>
      <c r="D25" s="80">
        <v>10</v>
      </c>
      <c r="E25" s="80">
        <v>0</v>
      </c>
      <c r="F25" s="80">
        <v>0</v>
      </c>
      <c r="G25" s="32">
        <f t="shared" si="0"/>
        <v>13</v>
      </c>
      <c r="I25" s="30"/>
      <c r="J25" s="30"/>
      <c r="K25" s="30"/>
      <c r="L25" s="30"/>
      <c r="M25" s="30"/>
    </row>
    <row r="26" spans="1:13" s="34" customFormat="1" ht="12.75" customHeight="1" x14ac:dyDescent="0.35">
      <c r="A26" s="33">
        <v>73</v>
      </c>
      <c r="B26" s="34" t="s">
        <v>34</v>
      </c>
      <c r="C26" s="80">
        <v>52</v>
      </c>
      <c r="D26" s="80">
        <v>35</v>
      </c>
      <c r="E26" s="80">
        <v>2</v>
      </c>
      <c r="F26" s="80">
        <v>39</v>
      </c>
      <c r="G26" s="32">
        <f t="shared" si="0"/>
        <v>128</v>
      </c>
      <c r="I26" s="30"/>
      <c r="J26" s="30"/>
      <c r="K26" s="30"/>
      <c r="L26" s="30"/>
      <c r="M26" s="30"/>
    </row>
    <row r="27" spans="1:13" s="34" customFormat="1" ht="12.75" customHeight="1" x14ac:dyDescent="0.35">
      <c r="A27" s="33">
        <v>74</v>
      </c>
      <c r="B27" s="34" t="s">
        <v>35</v>
      </c>
      <c r="C27" s="80">
        <v>31</v>
      </c>
      <c r="D27" s="80">
        <v>49</v>
      </c>
      <c r="E27" s="80">
        <v>0</v>
      </c>
      <c r="F27" s="80">
        <v>25</v>
      </c>
      <c r="G27" s="32">
        <f t="shared" si="0"/>
        <v>105</v>
      </c>
      <c r="I27" s="30"/>
      <c r="J27" s="30"/>
      <c r="K27" s="30"/>
      <c r="L27" s="30"/>
      <c r="M27" s="30"/>
    </row>
    <row r="28" spans="1:13" s="34" customFormat="1" ht="12.75" customHeight="1" x14ac:dyDescent="0.35">
      <c r="A28" s="33">
        <v>75</v>
      </c>
      <c r="B28" s="34" t="s">
        <v>36</v>
      </c>
      <c r="C28" s="80">
        <v>17</v>
      </c>
      <c r="D28" s="80">
        <v>30</v>
      </c>
      <c r="E28" s="80">
        <v>1</v>
      </c>
      <c r="F28" s="80">
        <v>13</v>
      </c>
      <c r="G28" s="32">
        <f t="shared" si="0"/>
        <v>61</v>
      </c>
      <c r="I28" s="30"/>
      <c r="J28" s="30"/>
      <c r="K28" s="30"/>
      <c r="L28" s="30"/>
      <c r="M28" s="30"/>
    </row>
    <row r="29" spans="1:13" s="34" customFormat="1" ht="12.75" customHeight="1" x14ac:dyDescent="0.35">
      <c r="A29" s="33">
        <v>76</v>
      </c>
      <c r="B29" s="34" t="s">
        <v>37</v>
      </c>
      <c r="C29" s="80">
        <v>8</v>
      </c>
      <c r="D29" s="80">
        <v>55</v>
      </c>
      <c r="E29" s="80">
        <v>1</v>
      </c>
      <c r="F29" s="80">
        <v>4</v>
      </c>
      <c r="G29" s="32">
        <f t="shared" si="0"/>
        <v>68</v>
      </c>
      <c r="I29" s="30"/>
      <c r="J29" s="30"/>
      <c r="K29" s="30"/>
      <c r="L29" s="30"/>
      <c r="M29" s="30"/>
    </row>
    <row r="30" spans="1:13" s="34" customFormat="1" ht="12.75" customHeight="1" x14ac:dyDescent="0.35">
      <c r="A30" s="33">
        <v>79</v>
      </c>
      <c r="B30" s="34" t="s">
        <v>39</v>
      </c>
      <c r="C30" s="80">
        <v>15</v>
      </c>
      <c r="D30" s="80">
        <v>32</v>
      </c>
      <c r="E30" s="80">
        <v>1</v>
      </c>
      <c r="F30" s="80">
        <v>16</v>
      </c>
      <c r="G30" s="32">
        <f t="shared" si="0"/>
        <v>64</v>
      </c>
      <c r="I30" s="30"/>
      <c r="J30" s="30"/>
      <c r="K30" s="30"/>
      <c r="L30" s="30"/>
      <c r="M30" s="30"/>
    </row>
    <row r="31" spans="1:13" s="34" customFormat="1" ht="12.75" customHeight="1" x14ac:dyDescent="0.35">
      <c r="A31" s="33"/>
      <c r="B31" s="34" t="s">
        <v>40</v>
      </c>
      <c r="C31" s="80">
        <v>0</v>
      </c>
      <c r="D31" s="80">
        <v>0</v>
      </c>
      <c r="E31" s="80">
        <v>5</v>
      </c>
      <c r="F31" s="80">
        <v>0</v>
      </c>
      <c r="G31" s="32">
        <f>SUM(C31:F31)</f>
        <v>5</v>
      </c>
      <c r="I31" s="30"/>
      <c r="J31" s="30"/>
      <c r="K31" s="30"/>
      <c r="L31" s="30"/>
      <c r="M31" s="30"/>
    </row>
    <row r="32" spans="1:13" s="34" customFormat="1" ht="12.75" customHeight="1" x14ac:dyDescent="0.35">
      <c r="A32" s="33">
        <v>80</v>
      </c>
      <c r="B32" s="34" t="s">
        <v>41</v>
      </c>
      <c r="C32" s="80">
        <v>19</v>
      </c>
      <c r="D32" s="80">
        <v>58</v>
      </c>
      <c r="E32" s="80">
        <v>3</v>
      </c>
      <c r="F32" s="80">
        <v>19</v>
      </c>
      <c r="G32" s="32">
        <f>SUM(C32:F32)</f>
        <v>99</v>
      </c>
      <c r="I32" s="30"/>
      <c r="J32" s="30"/>
      <c r="K32" s="30"/>
      <c r="L32" s="30"/>
      <c r="M32" s="30"/>
    </row>
    <row r="33" spans="1:13" s="34" customFormat="1" ht="13.5" customHeight="1" x14ac:dyDescent="0.35">
      <c r="A33" s="33">
        <v>81</v>
      </c>
      <c r="B33" s="34" t="s">
        <v>42</v>
      </c>
      <c r="C33" s="80">
        <v>14</v>
      </c>
      <c r="D33" s="80">
        <v>32</v>
      </c>
      <c r="E33" s="80">
        <v>2</v>
      </c>
      <c r="F33" s="80">
        <v>7</v>
      </c>
      <c r="G33" s="32">
        <f t="shared" si="0"/>
        <v>55</v>
      </c>
      <c r="I33" s="30"/>
      <c r="J33" s="30"/>
      <c r="K33" s="30"/>
      <c r="L33" s="30"/>
      <c r="M33" s="30"/>
    </row>
    <row r="34" spans="1:13" s="34" customFormat="1" ht="13.5" customHeight="1" x14ac:dyDescent="0.35">
      <c r="A34" s="33">
        <v>83</v>
      </c>
      <c r="B34" s="34" t="s">
        <v>43</v>
      </c>
      <c r="C34" s="80">
        <v>10</v>
      </c>
      <c r="D34" s="80">
        <v>20</v>
      </c>
      <c r="E34" s="80">
        <v>0</v>
      </c>
      <c r="F34" s="80">
        <v>6</v>
      </c>
      <c r="G34" s="32">
        <f t="shared" si="0"/>
        <v>36</v>
      </c>
      <c r="I34" s="30"/>
      <c r="J34" s="30"/>
      <c r="K34" s="30"/>
      <c r="L34" s="30"/>
      <c r="M34" s="30"/>
    </row>
    <row r="35" spans="1:13" s="34" customFormat="1" ht="14.25" customHeight="1" x14ac:dyDescent="0.35">
      <c r="A35" s="33">
        <v>84</v>
      </c>
      <c r="B35" s="34" t="s">
        <v>44</v>
      </c>
      <c r="C35" s="80">
        <v>19</v>
      </c>
      <c r="D35" s="80">
        <v>28</v>
      </c>
      <c r="E35" s="80">
        <v>1</v>
      </c>
      <c r="F35" s="80">
        <v>23</v>
      </c>
      <c r="G35" s="32">
        <f t="shared" si="0"/>
        <v>71</v>
      </c>
      <c r="I35" s="30"/>
      <c r="J35" s="30"/>
      <c r="K35" s="30"/>
      <c r="L35" s="30"/>
      <c r="M35" s="30"/>
    </row>
    <row r="36" spans="1:13" s="34" customFormat="1" ht="12.75" customHeight="1" x14ac:dyDescent="0.35">
      <c r="A36" s="33">
        <v>85</v>
      </c>
      <c r="B36" s="34" t="s">
        <v>45</v>
      </c>
      <c r="C36" s="80">
        <v>10</v>
      </c>
      <c r="D36" s="80">
        <v>53</v>
      </c>
      <c r="E36" s="80">
        <v>0</v>
      </c>
      <c r="F36" s="80">
        <v>8</v>
      </c>
      <c r="G36" s="32">
        <f t="shared" si="0"/>
        <v>71</v>
      </c>
      <c r="I36" s="30"/>
      <c r="J36" s="30"/>
      <c r="K36" s="30"/>
      <c r="L36" s="30"/>
      <c r="M36" s="30"/>
    </row>
    <row r="37" spans="1:13" s="34" customFormat="1" ht="12.75" customHeight="1" x14ac:dyDescent="0.35">
      <c r="A37" s="33">
        <v>87</v>
      </c>
      <c r="B37" s="34" t="s">
        <v>46</v>
      </c>
      <c r="C37" s="80">
        <v>3</v>
      </c>
      <c r="D37" s="80">
        <v>16</v>
      </c>
      <c r="E37" s="80">
        <v>2</v>
      </c>
      <c r="F37" s="80">
        <v>14</v>
      </c>
      <c r="G37" s="32">
        <f t="shared" si="0"/>
        <v>35</v>
      </c>
      <c r="I37" s="30"/>
      <c r="J37" s="30"/>
      <c r="K37" s="30"/>
      <c r="L37" s="30"/>
      <c r="M37" s="30"/>
    </row>
    <row r="38" spans="1:13" s="34" customFormat="1" ht="12.75" customHeight="1" x14ac:dyDescent="0.35">
      <c r="A38" s="33">
        <v>90</v>
      </c>
      <c r="B38" s="34" t="s">
        <v>48</v>
      </c>
      <c r="C38" s="80">
        <v>21</v>
      </c>
      <c r="D38" s="80">
        <v>37</v>
      </c>
      <c r="E38" s="80">
        <v>0</v>
      </c>
      <c r="F38" s="80">
        <v>29</v>
      </c>
      <c r="G38" s="32">
        <f t="shared" si="0"/>
        <v>87</v>
      </c>
      <c r="I38" s="30"/>
      <c r="J38" s="30"/>
      <c r="K38" s="30"/>
      <c r="L38" s="30"/>
      <c r="M38" s="30"/>
    </row>
    <row r="39" spans="1:13" s="34" customFormat="1" ht="12.75" customHeight="1" x14ac:dyDescent="0.35">
      <c r="A39" s="33">
        <v>91</v>
      </c>
      <c r="B39" s="34" t="s">
        <v>49</v>
      </c>
      <c r="C39" s="80">
        <v>5</v>
      </c>
      <c r="D39" s="80">
        <v>47</v>
      </c>
      <c r="E39" s="80">
        <v>0</v>
      </c>
      <c r="F39" s="80">
        <v>8</v>
      </c>
      <c r="G39" s="32">
        <f t="shared" si="0"/>
        <v>60</v>
      </c>
      <c r="I39" s="30"/>
      <c r="J39" s="30"/>
      <c r="K39" s="30"/>
      <c r="L39" s="30"/>
      <c r="M39" s="30"/>
    </row>
    <row r="40" spans="1:13" s="34" customFormat="1" ht="12.75" customHeight="1" x14ac:dyDescent="0.35">
      <c r="A40" s="33">
        <v>92</v>
      </c>
      <c r="B40" s="34" t="s">
        <v>50</v>
      </c>
      <c r="C40" s="80">
        <v>32</v>
      </c>
      <c r="D40" s="80">
        <v>10</v>
      </c>
      <c r="E40" s="80">
        <v>8</v>
      </c>
      <c r="F40" s="80">
        <v>22</v>
      </c>
      <c r="G40" s="32">
        <f t="shared" si="0"/>
        <v>72</v>
      </c>
      <c r="I40" s="30"/>
      <c r="J40" s="30"/>
      <c r="K40" s="30"/>
      <c r="L40" s="30"/>
      <c r="M40" s="30"/>
    </row>
    <row r="41" spans="1:13" s="34" customFormat="1" ht="12.75" customHeight="1" x14ac:dyDescent="0.35">
      <c r="A41" s="33">
        <v>94</v>
      </c>
      <c r="B41" s="34" t="s">
        <v>52</v>
      </c>
      <c r="C41" s="80">
        <v>16</v>
      </c>
      <c r="D41" s="80">
        <v>28</v>
      </c>
      <c r="E41" s="80">
        <v>0</v>
      </c>
      <c r="F41" s="80">
        <v>1</v>
      </c>
      <c r="G41" s="32">
        <f t="shared" si="0"/>
        <v>45</v>
      </c>
      <c r="I41" s="30"/>
      <c r="J41" s="30"/>
      <c r="K41" s="30"/>
      <c r="L41" s="30"/>
      <c r="M41" s="30"/>
    </row>
    <row r="42" spans="1:13" s="34" customFormat="1" ht="12.75" customHeight="1" x14ac:dyDescent="0.35">
      <c r="A42" s="33">
        <v>96</v>
      </c>
      <c r="B42" s="34" t="s">
        <v>54</v>
      </c>
      <c r="C42" s="80">
        <v>25</v>
      </c>
      <c r="D42" s="80">
        <v>43</v>
      </c>
      <c r="E42" s="80">
        <v>0</v>
      </c>
      <c r="F42" s="80">
        <v>24</v>
      </c>
      <c r="G42" s="32">
        <f t="shared" si="0"/>
        <v>92</v>
      </c>
      <c r="H42" s="37"/>
      <c r="I42" s="30"/>
      <c r="J42" s="30"/>
      <c r="K42" s="30"/>
      <c r="L42" s="30"/>
      <c r="M42" s="30"/>
    </row>
    <row r="43" spans="1:13" s="34" customFormat="1" ht="12.75" customHeight="1" x14ac:dyDescent="0.35">
      <c r="A43" s="33">
        <v>72</v>
      </c>
      <c r="B43" s="34" t="s">
        <v>33</v>
      </c>
      <c r="C43" s="80">
        <v>0</v>
      </c>
      <c r="D43" s="80">
        <v>2</v>
      </c>
      <c r="E43" s="80">
        <v>0</v>
      </c>
      <c r="F43" s="80">
        <v>0</v>
      </c>
      <c r="G43" s="32">
        <f t="shared" si="0"/>
        <v>2</v>
      </c>
      <c r="I43" s="30"/>
      <c r="J43" s="30"/>
      <c r="K43" s="30"/>
      <c r="L43" s="30"/>
      <c r="M43" s="30"/>
    </row>
    <row r="44" spans="1:13" s="27" customFormat="1" ht="25.5" customHeight="1" x14ac:dyDescent="0.35">
      <c r="B44" s="27" t="s">
        <v>66</v>
      </c>
      <c r="C44" s="32">
        <f>SUM(C45:C51)</f>
        <v>593</v>
      </c>
      <c r="D44" s="32">
        <f>SUM(D45:D51)</f>
        <v>41</v>
      </c>
      <c r="E44" s="32">
        <f>SUM(E45:E51)</f>
        <v>20</v>
      </c>
      <c r="F44" s="32">
        <f>SUM(F45:F51)</f>
        <v>269</v>
      </c>
      <c r="G44" s="32">
        <f>SUM(G45:G51)</f>
        <v>923</v>
      </c>
      <c r="I44" s="30"/>
      <c r="J44" s="30"/>
      <c r="K44" s="30"/>
      <c r="L44" s="30"/>
      <c r="M44" s="30"/>
    </row>
    <row r="45" spans="1:13" s="34" customFormat="1" ht="12.75" customHeight="1" x14ac:dyDescent="0.35">
      <c r="A45" s="33">
        <v>66</v>
      </c>
      <c r="B45" s="34" t="s">
        <v>27</v>
      </c>
      <c r="C45" s="80">
        <v>90</v>
      </c>
      <c r="D45" s="80">
        <v>1</v>
      </c>
      <c r="E45" s="80">
        <v>0</v>
      </c>
      <c r="F45" s="80">
        <v>52</v>
      </c>
      <c r="G45" s="32">
        <f>SUM(C45:F45)</f>
        <v>143</v>
      </c>
      <c r="I45" s="30"/>
      <c r="J45" s="30"/>
      <c r="K45" s="30"/>
      <c r="L45" s="30"/>
      <c r="M45" s="30"/>
    </row>
    <row r="46" spans="1:13" s="34" customFormat="1" ht="14.25" customHeight="1" x14ac:dyDescent="0.35">
      <c r="A46" s="33">
        <v>78</v>
      </c>
      <c r="B46" s="34" t="s">
        <v>38</v>
      </c>
      <c r="C46" s="80">
        <v>51</v>
      </c>
      <c r="D46" s="80">
        <v>15</v>
      </c>
      <c r="E46" s="80">
        <v>5</v>
      </c>
      <c r="F46" s="80">
        <v>23</v>
      </c>
      <c r="G46" s="32">
        <f t="shared" ref="G46:G51" si="1">SUM(C46:F46)</f>
        <v>94</v>
      </c>
      <c r="I46" s="30"/>
      <c r="J46" s="30"/>
      <c r="K46" s="30"/>
      <c r="L46" s="30"/>
      <c r="M46" s="30"/>
    </row>
    <row r="47" spans="1:13" s="34" customFormat="1" ht="12.75" customHeight="1" x14ac:dyDescent="0.35">
      <c r="A47" s="33">
        <v>89</v>
      </c>
      <c r="B47" s="34" t="s">
        <v>47</v>
      </c>
      <c r="C47" s="80">
        <v>27</v>
      </c>
      <c r="D47" s="80">
        <v>6</v>
      </c>
      <c r="E47" s="80">
        <v>1</v>
      </c>
      <c r="F47" s="80">
        <v>37</v>
      </c>
      <c r="G47" s="32">
        <f t="shared" si="1"/>
        <v>71</v>
      </c>
      <c r="I47" s="30"/>
      <c r="J47" s="30"/>
      <c r="K47" s="30"/>
      <c r="L47" s="30"/>
      <c r="M47" s="30"/>
    </row>
    <row r="48" spans="1:13" s="34" customFormat="1" ht="12.75" customHeight="1" x14ac:dyDescent="0.35">
      <c r="A48" s="33">
        <v>93</v>
      </c>
      <c r="B48" s="34" t="s">
        <v>67</v>
      </c>
      <c r="C48" s="80">
        <v>33</v>
      </c>
      <c r="D48" s="80">
        <v>5</v>
      </c>
      <c r="E48" s="80">
        <v>0</v>
      </c>
      <c r="F48" s="80">
        <v>19</v>
      </c>
      <c r="G48" s="32">
        <f t="shared" si="1"/>
        <v>57</v>
      </c>
      <c r="I48" s="30"/>
      <c r="J48" s="30"/>
      <c r="K48" s="30"/>
      <c r="L48" s="30"/>
      <c r="M48" s="30"/>
    </row>
    <row r="49" spans="1:13" s="34" customFormat="1" ht="12.75" customHeight="1" x14ac:dyDescent="0.35">
      <c r="A49" s="33">
        <v>95</v>
      </c>
      <c r="B49" s="34" t="s">
        <v>53</v>
      </c>
      <c r="C49" s="80">
        <v>71</v>
      </c>
      <c r="D49" s="80">
        <v>0</v>
      </c>
      <c r="E49" s="80">
        <v>1</v>
      </c>
      <c r="F49" s="80">
        <v>40</v>
      </c>
      <c r="G49" s="32">
        <f t="shared" si="1"/>
        <v>112</v>
      </c>
      <c r="I49" s="30"/>
      <c r="J49" s="30"/>
      <c r="K49" s="30"/>
      <c r="L49" s="30"/>
      <c r="M49" s="30"/>
    </row>
    <row r="50" spans="1:13" s="34" customFormat="1" ht="12.75" customHeight="1" x14ac:dyDescent="0.35">
      <c r="A50" s="33">
        <v>97</v>
      </c>
      <c r="B50" s="34" t="s">
        <v>55</v>
      </c>
      <c r="C50" s="80">
        <v>60</v>
      </c>
      <c r="D50" s="80">
        <v>14</v>
      </c>
      <c r="E50" s="80">
        <v>2</v>
      </c>
      <c r="F50" s="80">
        <v>36</v>
      </c>
      <c r="G50" s="32">
        <f t="shared" si="1"/>
        <v>112</v>
      </c>
      <c r="I50" s="30"/>
      <c r="J50" s="30"/>
      <c r="K50" s="30"/>
      <c r="L50" s="30"/>
      <c r="M50" s="30"/>
    </row>
    <row r="51" spans="1:13" s="43" customFormat="1" ht="12.75" customHeight="1" x14ac:dyDescent="0.35">
      <c r="A51" s="33">
        <v>77</v>
      </c>
      <c r="B51" s="39" t="s">
        <v>26</v>
      </c>
      <c r="C51" s="80">
        <v>261</v>
      </c>
      <c r="D51" s="80">
        <v>0</v>
      </c>
      <c r="E51" s="80">
        <v>11</v>
      </c>
      <c r="F51" s="80">
        <v>62</v>
      </c>
      <c r="G51" s="32">
        <f t="shared" si="1"/>
        <v>334</v>
      </c>
      <c r="I51" s="30"/>
      <c r="J51" s="30"/>
      <c r="K51" s="30"/>
      <c r="L51" s="30"/>
      <c r="M51" s="30"/>
    </row>
    <row r="52" spans="1:13" s="34" customFormat="1" ht="10.5" customHeight="1" x14ac:dyDescent="0.35">
      <c r="A52" s="33"/>
      <c r="C52" s="44"/>
      <c r="D52" s="44"/>
      <c r="E52" s="44"/>
      <c r="F52" s="44"/>
      <c r="G52" s="44"/>
      <c r="I52" s="45"/>
      <c r="J52" s="30"/>
    </row>
    <row r="53" spans="1:13" s="34" customFormat="1" ht="13.5" customHeight="1" x14ac:dyDescent="0.35">
      <c r="A53" s="33"/>
      <c r="H53" s="45"/>
      <c r="I53" s="45"/>
    </row>
    <row r="54" spans="1:13" s="34" customFormat="1" ht="13.5" customHeight="1" x14ac:dyDescent="0.35">
      <c r="A54" s="33"/>
      <c r="H54" s="45"/>
      <c r="I54" s="45"/>
    </row>
    <row r="55" spans="1:13" s="34" customFormat="1" x14ac:dyDescent="0.35">
      <c r="A55" s="33"/>
      <c r="B55" s="46"/>
      <c r="H55" s="45"/>
      <c r="I55" s="45"/>
    </row>
    <row r="56" spans="1:13" x14ac:dyDescent="0.35">
      <c r="A56" s="33"/>
      <c r="F56" s="47"/>
      <c r="G56" s="47"/>
    </row>
    <row r="57" spans="1:13" x14ac:dyDescent="0.35">
      <c r="A57" s="33"/>
    </row>
    <row r="58" spans="1:13" x14ac:dyDescent="0.35">
      <c r="A58" s="33"/>
    </row>
    <row r="59" spans="1:13" x14ac:dyDescent="0.35">
      <c r="A59" s="33"/>
      <c r="E59" s="48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(2009-10)</vt:lpstr>
      <vt:lpstr>(2010-11)</vt:lpstr>
      <vt:lpstr>(2011-12)</vt:lpstr>
      <vt:lpstr>(2012-13)</vt:lpstr>
      <vt:lpstr>(2013-14)</vt:lpstr>
      <vt:lpstr>(2014-15)</vt:lpstr>
      <vt:lpstr>(2015-16)</vt:lpstr>
      <vt:lpstr>(2016-17)</vt:lpstr>
      <vt:lpstr>(2017-18)</vt:lpstr>
      <vt:lpstr>(2018-19)</vt:lpstr>
      <vt:lpstr>raw</vt:lpstr>
      <vt:lpstr>macro</vt:lpstr>
      <vt:lpstr>QA</vt:lpstr>
      <vt:lpstr>FIRE1110 raw</vt:lpstr>
      <vt:lpstr>stats release</vt:lpstr>
      <vt:lpstr>FIRE1110</vt:lpstr>
      <vt:lpstr>'(2009-10)'!Print_Area</vt:lpstr>
      <vt:lpstr>'(2010-11)'!Print_Area</vt:lpstr>
      <vt:lpstr>'(2011-12)'!Print_Area</vt:lpstr>
      <vt:lpstr>'(2013-14)'!Print_Area</vt:lpstr>
      <vt:lpstr>'(2014-15)'!Print_Area</vt:lpstr>
      <vt:lpstr>'(2009-10)'!qrychiefrepwteststr</vt:lpstr>
      <vt:lpstr>'(2010-11)'!qrychiefrepwteststr</vt:lpstr>
      <vt:lpstr>'(2011-12)'!qrychiefrepwteststr</vt:lpstr>
      <vt:lpstr>'(2013-14)'!qrychiefrepwteststr</vt:lpstr>
      <vt:lpstr>'(2014-15)'!qrychiefrepwteststr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FIRE1110: Staff leaving fire authorities, by fire and rescue authority and by role</dc:title>
  <dc:creator/>
  <cp:keywords>data tables, staff, fire, leaving, 2019</cp:keywords>
  <cp:lastModifiedBy/>
  <dcterms:created xsi:type="dcterms:W3CDTF">2019-10-29T14:32:07Z</dcterms:created>
  <dcterms:modified xsi:type="dcterms:W3CDTF">2019-10-29T14:34:56Z</dcterms:modified>
</cp:coreProperties>
</file>