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CD4A8A65-117B-4044-9F63-0E33F15F77AA}" xr6:coauthVersionLast="31" xr6:coauthVersionMax="41" xr10:uidLastSave="{00000000-0000-0000-0000-000000000000}"/>
  <workbookProtection workbookAlgorithmName="SHA-512" workbookHashValue="oOpwvIUMrwiSVTXDSAthJLyOhIbyWBiSvqbubnRnBIH1MeqOsoT4NOjYVNXZjxU7twtsVs7DPgAm0k8Hb2eodQ==" workbookSaltValue="fykeEnzm1Sk6YdskI2Tgzw==" workbookSpinCount="100000" lockStructure="1"/>
  <bookViews>
    <workbookView xWindow="-120" yWindow="-120" windowWidth="25440" windowHeight="15390" tabRatio="783" firstSheet="35" activeTab="35" xr2:uid="{00000000-000D-0000-FFFF-FFFF00000000}"/>
  </bookViews>
  <sheets>
    <sheet name="(2011a)" sheetId="39" state="hidden" r:id="rId1"/>
    <sheet name="(2011b)" sheetId="40" state="hidden" r:id="rId2"/>
    <sheet name="(2011c)" sheetId="41" state="hidden" r:id="rId3"/>
    <sheet name="(2012a)" sheetId="36" state="hidden" r:id="rId4"/>
    <sheet name="(2012b)" sheetId="37" state="hidden" r:id="rId5"/>
    <sheet name="(2012c)" sheetId="38" state="hidden" r:id="rId6"/>
    <sheet name="(2013a)" sheetId="33" state="hidden" r:id="rId7"/>
    <sheet name="(2013b)" sheetId="34" state="hidden" r:id="rId8"/>
    <sheet name="(2013c)" sheetId="35" state="hidden" r:id="rId9"/>
    <sheet name="(2014a)" sheetId="27" state="hidden" r:id="rId10"/>
    <sheet name="(2014b)" sheetId="28" state="hidden" r:id="rId11"/>
    <sheet name="(2014c)" sheetId="29" state="hidden" r:id="rId12"/>
    <sheet name="(2015a)" sheetId="20" state="hidden" r:id="rId13"/>
    <sheet name="(2015b)" sheetId="21" state="hidden" r:id="rId14"/>
    <sheet name="(2015c)" sheetId="22" state="hidden" r:id="rId15"/>
    <sheet name="(2016a)" sheetId="30" state="hidden" r:id="rId16"/>
    <sheet name="(2016b)" sheetId="31" state="hidden" r:id="rId17"/>
    <sheet name="(2016c)" sheetId="32" state="hidden" r:id="rId18"/>
    <sheet name="(2017a)" sheetId="42" state="hidden" r:id="rId19"/>
    <sheet name="(2017b)" sheetId="43" state="hidden" r:id="rId20"/>
    <sheet name="(2017c)" sheetId="44" state="hidden" r:id="rId21"/>
    <sheet name="(2018a)" sheetId="46" state="hidden" r:id="rId22"/>
    <sheet name="(2018b)" sheetId="47" state="hidden" r:id="rId23"/>
    <sheet name="(2018c)" sheetId="48" state="hidden" r:id="rId24"/>
    <sheet name="(2019a)" sheetId="54" state="hidden" r:id="rId25"/>
    <sheet name="(2019b)" sheetId="55" state="hidden" r:id="rId26"/>
    <sheet name="(2019c)" sheetId="56" state="hidden" r:id="rId27"/>
    <sheet name="2019a" sheetId="51" state="hidden" r:id="rId28"/>
    <sheet name="2019b" sheetId="52" state="hidden" r:id="rId29"/>
    <sheet name="2019c" sheetId="53" state="hidden" r:id="rId30"/>
    <sheet name="Macro" sheetId="49" state="hidden" r:id="rId31"/>
    <sheet name="FIRE1102a raw" sheetId="1" state="hidden" r:id="rId32"/>
    <sheet name="FIRE1102b raw" sheetId="23" state="hidden" r:id="rId33"/>
    <sheet name="FIRE1102c raw" sheetId="24" state="hidden" r:id="rId34"/>
    <sheet name="QA" sheetId="45" state="hidden" r:id="rId35"/>
    <sheet name="FIRE1102a" sheetId="13" r:id="rId36"/>
    <sheet name="FIRE1102b" sheetId="25" r:id="rId37"/>
    <sheet name="FIRE1102c" sheetId="26" r:id="rId38"/>
  </sheets>
  <definedNames>
    <definedName name="_xlnm._FilterDatabase" localSheetId="28" hidden="1">'2019b'!$A$1:$D$231</definedName>
    <definedName name="_xlnm._FilterDatabase" localSheetId="29" hidden="1">'2019c'!$A$1:$D$231</definedName>
    <definedName name="qrychiefrepspecservrtaother" localSheetId="12">#REF!</definedName>
    <definedName name="qrychiefrepspecservrtaother" localSheetId="13">#REF!</definedName>
    <definedName name="qrychiefrepspecservrtaother" localSheetId="14">#REF!</definedName>
    <definedName name="qrychiefrepspecservrtaother" localSheetId="15">#REF!</definedName>
    <definedName name="qrychiefrepspecservrtaother" localSheetId="16">#REF!</definedName>
    <definedName name="qrychiefrepspecservrtaother" localSheetId="17">#REF!</definedName>
    <definedName name="qrychiefrepspecservrtaother" localSheetId="18">#REF!</definedName>
    <definedName name="qrychiefrepspecservrtaother" localSheetId="19">#REF!</definedName>
    <definedName name="qrychiefrepspecservrtaother" localSheetId="20">#REF!</definedName>
    <definedName name="qrychiefrepspecservrtaother" localSheetId="21">#REF!</definedName>
    <definedName name="qrychiefrepspecservrtaother" localSheetId="22">#REF!</definedName>
    <definedName name="qrychiefrepspecservrtaother" localSheetId="23">#REF!</definedName>
    <definedName name="qrychiefrepspecservrtaother" localSheetId="32">#REF!</definedName>
    <definedName name="qrychiefrepspecservrtaother" localSheetId="33">#REF!</definedName>
    <definedName name="qrychiefrepsuccretireresig" localSheetId="12">#REF!</definedName>
    <definedName name="qrychiefrepsuccretireresig" localSheetId="13">#REF!</definedName>
    <definedName name="qrychiefrepsuccretireresig" localSheetId="14">#REF!</definedName>
    <definedName name="qrychiefrepsuccretireresig" localSheetId="15">#REF!</definedName>
    <definedName name="qrychiefrepsuccretireresig" localSheetId="16">#REF!</definedName>
    <definedName name="qrychiefrepsuccretireresig" localSheetId="17">#REF!</definedName>
    <definedName name="qrychiefrepsuccretireresig" localSheetId="18">#REF!</definedName>
    <definedName name="qrychiefrepsuccretireresig" localSheetId="19">#REF!</definedName>
    <definedName name="qrychiefrepsuccretireresig" localSheetId="20">#REF!</definedName>
    <definedName name="qrychiefrepsuccretireresig" localSheetId="21">#REF!</definedName>
    <definedName name="qrychiefrepsuccretireresig" localSheetId="22">#REF!</definedName>
    <definedName name="qrychiefrepsuccretireresig" localSheetId="23">#REF!</definedName>
    <definedName name="qrychiefrepsuccretireresig" localSheetId="32">#REF!</definedName>
    <definedName name="qrychiefrepsuccretireresig" localSheetId="33">#REF!</definedName>
    <definedName name="qrychiefrepwteststr" localSheetId="12">#REF!</definedName>
    <definedName name="qrychiefrepwteststr" localSheetId="13">#REF!</definedName>
    <definedName name="qrychiefrepwteststr" localSheetId="14">#REF!</definedName>
    <definedName name="qrychiefrepwteststr" localSheetId="15">#REF!</definedName>
    <definedName name="qrychiefrepwteststr" localSheetId="16">#REF!</definedName>
    <definedName name="qrychiefrepwteststr" localSheetId="17">#REF!</definedName>
    <definedName name="qrychiefrepwteststr" localSheetId="18">#REF!</definedName>
    <definedName name="qrychiefrepwteststr" localSheetId="19">#REF!</definedName>
    <definedName name="qrychiefrepwteststr" localSheetId="20">#REF!</definedName>
    <definedName name="qrychiefrepwteststr" localSheetId="21">#REF!</definedName>
    <definedName name="qrychiefrepwteststr" localSheetId="22">#REF!</definedName>
    <definedName name="qrychiefrepwteststr" localSheetId="23">#REF!</definedName>
    <definedName name="qrychiefrepwteststr" localSheetId="32">#REF!</definedName>
    <definedName name="qrychiefrepwteststr" localSheetId="33">#REF!</definedName>
    <definedName name="qrychiefrepwtgeneth" localSheetId="12">#REF!</definedName>
    <definedName name="qrychiefrepwtgeneth" localSheetId="13">#REF!</definedName>
    <definedName name="qrychiefrepwtgeneth" localSheetId="14">#REF!</definedName>
    <definedName name="qrychiefrepwtgeneth" localSheetId="15">#REF!</definedName>
    <definedName name="qrychiefrepwtgeneth" localSheetId="16">#REF!</definedName>
    <definedName name="qrychiefrepwtgeneth" localSheetId="17">#REF!</definedName>
    <definedName name="qrychiefrepwtgeneth" localSheetId="18">#REF!</definedName>
    <definedName name="qrychiefrepwtgeneth" localSheetId="19">#REF!</definedName>
    <definedName name="qrychiefrepwtgeneth" localSheetId="20">#REF!</definedName>
    <definedName name="qrychiefrepwtgeneth" localSheetId="21">#REF!</definedName>
    <definedName name="qrychiefrepwtgeneth" localSheetId="22">#REF!</definedName>
    <definedName name="qrychiefrepwtgeneth" localSheetId="23">#REF!</definedName>
    <definedName name="qrychiefrepwtgeneth" localSheetId="32">#REF!</definedName>
    <definedName name="qrychiefrepwtgeneth" localSheetId="33">#REF!</definedName>
    <definedName name="qryffinjuries9900" localSheetId="12">#REF!</definedName>
    <definedName name="qryffinjuries9900" localSheetId="13">#REF!</definedName>
    <definedName name="qryffinjuries9900" localSheetId="14">#REF!</definedName>
    <definedName name="qryffinjuries9900" localSheetId="15">#REF!</definedName>
    <definedName name="qryffinjuries9900" localSheetId="16">#REF!</definedName>
    <definedName name="qryffinjuries9900" localSheetId="17">#REF!</definedName>
    <definedName name="qryffinjuries9900" localSheetId="18">#REF!</definedName>
    <definedName name="qryffinjuries9900" localSheetId="19">#REF!</definedName>
    <definedName name="qryffinjuries9900" localSheetId="20">#REF!</definedName>
    <definedName name="qryffinjuries9900" localSheetId="21">#REF!</definedName>
    <definedName name="qryffinjuries9900" localSheetId="22">#REF!</definedName>
    <definedName name="qryffinjuries9900" localSheetId="23">#REF!</definedName>
    <definedName name="qryffinjuries9900" localSheetId="32">#REF!</definedName>
    <definedName name="qryffinjuries9900" localSheetId="33">#REF!</definedName>
    <definedName name="qryPI15" localSheetId="12">#REF!</definedName>
    <definedName name="qryPI15" localSheetId="13">#REF!</definedName>
    <definedName name="qryPI15" localSheetId="14">#REF!</definedName>
    <definedName name="qryPI15" localSheetId="15">#REF!</definedName>
    <definedName name="qryPI15" localSheetId="16">#REF!</definedName>
    <definedName name="qryPI15" localSheetId="17">#REF!</definedName>
    <definedName name="qryPI15" localSheetId="18">#REF!</definedName>
    <definedName name="qryPI15" localSheetId="19">#REF!</definedName>
    <definedName name="qryPI15" localSheetId="20">#REF!</definedName>
    <definedName name="qryPI15" localSheetId="21">#REF!</definedName>
    <definedName name="qryPI15" localSheetId="22">#REF!</definedName>
    <definedName name="qryPI15" localSheetId="23">#REF!</definedName>
    <definedName name="qryPI15" localSheetId="32">#REF!</definedName>
    <definedName name="qryPI15" localSheetId="33">#REF!</definedName>
    <definedName name="qryPI16" localSheetId="12">#REF!</definedName>
    <definedName name="qryPI16" localSheetId="13">#REF!</definedName>
    <definedName name="qryPI16" localSheetId="14">#REF!</definedName>
    <definedName name="qryPI16" localSheetId="15">#REF!</definedName>
    <definedName name="qryPI16" localSheetId="16">#REF!</definedName>
    <definedName name="qryPI16" localSheetId="17">#REF!</definedName>
    <definedName name="qryPI16" localSheetId="18">#REF!</definedName>
    <definedName name="qryPI16" localSheetId="19">#REF!</definedName>
    <definedName name="qryPI16" localSheetId="20">#REF!</definedName>
    <definedName name="qryPI16" localSheetId="21">#REF!</definedName>
    <definedName name="qryPI16" localSheetId="22">#REF!</definedName>
    <definedName name="qryPI16" localSheetId="23">#REF!</definedName>
    <definedName name="qryPI16" localSheetId="32">#REF!</definedName>
    <definedName name="qryPI16" localSheetId="33">#REF!</definedName>
    <definedName name="qryPIBV145a" localSheetId="12">#REF!</definedName>
    <definedName name="qryPIBV145a" localSheetId="13">#REF!</definedName>
    <definedName name="qryPIBV145a" localSheetId="14">#REF!</definedName>
    <definedName name="qryPIBV145a" localSheetId="15">#REF!</definedName>
    <definedName name="qryPIBV145a" localSheetId="16">#REF!</definedName>
    <definedName name="qryPIBV145a" localSheetId="17">#REF!</definedName>
    <definedName name="qryPIBV145a" localSheetId="18">#REF!</definedName>
    <definedName name="qryPIBV145a" localSheetId="19">#REF!</definedName>
    <definedName name="qryPIBV145a" localSheetId="20">#REF!</definedName>
    <definedName name="qryPIBV145a" localSheetId="21">#REF!</definedName>
    <definedName name="qryPIBV145a" localSheetId="22">#REF!</definedName>
    <definedName name="qryPIBV145a" localSheetId="23">#REF!</definedName>
    <definedName name="qryPIBV145a" localSheetId="32">#REF!</definedName>
    <definedName name="qryPIBV145a" localSheetId="33">#REF!</definedName>
    <definedName name="qryPIBV145b" localSheetId="12">#REF!</definedName>
    <definedName name="qryPIBV145b" localSheetId="13">#REF!</definedName>
    <definedName name="qryPIBV145b" localSheetId="14">#REF!</definedName>
    <definedName name="qryPIBV145b" localSheetId="15">#REF!</definedName>
    <definedName name="qryPIBV145b" localSheetId="16">#REF!</definedName>
    <definedName name="qryPIBV145b" localSheetId="17">#REF!</definedName>
    <definedName name="qryPIBV145b" localSheetId="18">#REF!</definedName>
    <definedName name="qryPIBV145b" localSheetId="19">#REF!</definedName>
    <definedName name="qryPIBV145b" localSheetId="20">#REF!</definedName>
    <definedName name="qryPIBV145b" localSheetId="21">#REF!</definedName>
    <definedName name="qryPIBV145b" localSheetId="22">#REF!</definedName>
    <definedName name="qryPIBV145b" localSheetId="23">#REF!</definedName>
    <definedName name="qryPIBV145b" localSheetId="32">#REF!</definedName>
    <definedName name="qryPIBV145b" localSheetId="33">#REF!</definedName>
    <definedName name="qryPIBV145c" localSheetId="12">#REF!</definedName>
    <definedName name="qryPIBV145c" localSheetId="13">#REF!</definedName>
    <definedName name="qryPIBV145c" localSheetId="14">#REF!</definedName>
    <definedName name="qryPIBV145c" localSheetId="15">#REF!</definedName>
    <definedName name="qryPIBV145c" localSheetId="16">#REF!</definedName>
    <definedName name="qryPIBV145c" localSheetId="17">#REF!</definedName>
    <definedName name="qryPIBV145c" localSheetId="18">#REF!</definedName>
    <definedName name="qryPIBV145c" localSheetId="19">#REF!</definedName>
    <definedName name="qryPIBV145c" localSheetId="20">#REF!</definedName>
    <definedName name="qryPIBV145c" localSheetId="21">#REF!</definedName>
    <definedName name="qryPIBV145c" localSheetId="22">#REF!</definedName>
    <definedName name="qryPIBV145c" localSheetId="23">#REF!</definedName>
    <definedName name="qryPIBV145c" localSheetId="32">#REF!</definedName>
    <definedName name="qryPIBV145c" localSheetId="33">#REF!</definedName>
    <definedName name="qryPIBV15i" localSheetId="12">#REF!</definedName>
    <definedName name="qryPIBV15i" localSheetId="13">#REF!</definedName>
    <definedName name="qryPIBV15i" localSheetId="14">#REF!</definedName>
    <definedName name="qryPIBV15i" localSheetId="15">#REF!</definedName>
    <definedName name="qryPIBV15i" localSheetId="16">#REF!</definedName>
    <definedName name="qryPIBV15i" localSheetId="17">#REF!</definedName>
    <definedName name="qryPIBV15i" localSheetId="18">#REF!</definedName>
    <definedName name="qryPIBV15i" localSheetId="19">#REF!</definedName>
    <definedName name="qryPIBV15i" localSheetId="20">#REF!</definedName>
    <definedName name="qryPIBV15i" localSheetId="21">#REF!</definedName>
    <definedName name="qryPIBV15i" localSheetId="22">#REF!</definedName>
    <definedName name="qryPIBV15i" localSheetId="23">#REF!</definedName>
    <definedName name="qryPIBV15i" localSheetId="32">#REF!</definedName>
    <definedName name="qryPIBV15i" localSheetId="33">#REF!</definedName>
    <definedName name="qryPIBV15ii" localSheetId="12">#REF!</definedName>
    <definedName name="qryPIBV15ii" localSheetId="13">#REF!</definedName>
    <definedName name="qryPIBV15ii" localSheetId="14">#REF!</definedName>
    <definedName name="qryPIBV15ii" localSheetId="15">#REF!</definedName>
    <definedName name="qryPIBV15ii" localSheetId="16">#REF!</definedName>
    <definedName name="qryPIBV15ii" localSheetId="17">#REF!</definedName>
    <definedName name="qryPIBV15ii" localSheetId="18">#REF!</definedName>
    <definedName name="qryPIBV15ii" localSheetId="19">#REF!</definedName>
    <definedName name="qryPIBV15ii" localSheetId="20">#REF!</definedName>
    <definedName name="qryPIBV15ii" localSheetId="21">#REF!</definedName>
    <definedName name="qryPIBV15ii" localSheetId="22">#REF!</definedName>
    <definedName name="qryPIBV15ii" localSheetId="23">#REF!</definedName>
    <definedName name="qryPIBV15ii" localSheetId="32">#REF!</definedName>
    <definedName name="qryPIBV15ii" localSheetId="33">#REF!</definedName>
    <definedName name="qryPIctsickness" localSheetId="12">#REF!</definedName>
    <definedName name="qryPIctsickness" localSheetId="13">#REF!</definedName>
    <definedName name="qryPIctsickness" localSheetId="14">#REF!</definedName>
    <definedName name="qryPIctsickness" localSheetId="15">#REF!</definedName>
    <definedName name="qryPIctsickness" localSheetId="16">#REF!</definedName>
    <definedName name="qryPIctsickness" localSheetId="17">#REF!</definedName>
    <definedName name="qryPIctsickness" localSheetId="18">#REF!</definedName>
    <definedName name="qryPIctsickness" localSheetId="19">#REF!</definedName>
    <definedName name="qryPIctsickness" localSheetId="20">#REF!</definedName>
    <definedName name="qryPIctsickness" localSheetId="21">#REF!</definedName>
    <definedName name="qryPIctsickness" localSheetId="22">#REF!</definedName>
    <definedName name="qryPIctsickness" localSheetId="23">#REF!</definedName>
    <definedName name="qryPIctsickness" localSheetId="32">#REF!</definedName>
    <definedName name="qryPIctsickness" localSheetId="33">#REF!</definedName>
    <definedName name="qryPIriderfactleave" localSheetId="12">#REF!</definedName>
    <definedName name="qryPIriderfactleave" localSheetId="13">#REF!</definedName>
    <definedName name="qryPIriderfactleave" localSheetId="14">#REF!</definedName>
    <definedName name="qryPIriderfactleave" localSheetId="15">#REF!</definedName>
    <definedName name="qryPIriderfactleave" localSheetId="16">#REF!</definedName>
    <definedName name="qryPIriderfactleave" localSheetId="17">#REF!</definedName>
    <definedName name="qryPIriderfactleave" localSheetId="18">#REF!</definedName>
    <definedName name="qryPIriderfactleave" localSheetId="19">#REF!</definedName>
    <definedName name="qryPIriderfactleave" localSheetId="20">#REF!</definedName>
    <definedName name="qryPIriderfactleave" localSheetId="21">#REF!</definedName>
    <definedName name="qryPIriderfactleave" localSheetId="22">#REF!</definedName>
    <definedName name="qryPIriderfactleave" localSheetId="23">#REF!</definedName>
    <definedName name="qryPIriderfactleave" localSheetId="32">#REF!</definedName>
    <definedName name="qryPIriderfactleave" localSheetId="33">#REF!</definedName>
    <definedName name="qryPIriderfactsick" localSheetId="12">#REF!</definedName>
    <definedName name="qryPIriderfactsick" localSheetId="13">#REF!</definedName>
    <definedName name="qryPIriderfactsick" localSheetId="14">#REF!</definedName>
    <definedName name="qryPIriderfactsick" localSheetId="15">#REF!</definedName>
    <definedName name="qryPIriderfactsick" localSheetId="16">#REF!</definedName>
    <definedName name="qryPIriderfactsick" localSheetId="17">#REF!</definedName>
    <definedName name="qryPIriderfactsick" localSheetId="18">#REF!</definedName>
    <definedName name="qryPIriderfactsick" localSheetId="19">#REF!</definedName>
    <definedName name="qryPIriderfactsick" localSheetId="20">#REF!</definedName>
    <definedName name="qryPIriderfactsick" localSheetId="21">#REF!</definedName>
    <definedName name="qryPIriderfactsick" localSheetId="22">#REF!</definedName>
    <definedName name="qryPIriderfactsick" localSheetId="23">#REF!</definedName>
    <definedName name="qryPIriderfactsick" localSheetId="32">#REF!</definedName>
    <definedName name="qryPIriderfactsick" localSheetId="33">#REF!</definedName>
    <definedName name="Query1" localSheetId="12">#REF!</definedName>
    <definedName name="Query1" localSheetId="13">#REF!</definedName>
    <definedName name="Query1" localSheetId="14">#REF!</definedName>
    <definedName name="Query1" localSheetId="15">#REF!</definedName>
    <definedName name="Query1" localSheetId="16">#REF!</definedName>
    <definedName name="Query1" localSheetId="17">#REF!</definedName>
    <definedName name="Query1" localSheetId="18">#REF!</definedName>
    <definedName name="Query1" localSheetId="19">#REF!</definedName>
    <definedName name="Query1" localSheetId="20">#REF!</definedName>
    <definedName name="Query1" localSheetId="21">#REF!</definedName>
    <definedName name="Query1" localSheetId="22">#REF!</definedName>
    <definedName name="Query1" localSheetId="23">#REF!</definedName>
    <definedName name="Query1" localSheetId="32">#REF!</definedName>
    <definedName name="Query1" localSheetId="33">#REF!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45" l="1"/>
  <c r="E18" i="45"/>
  <c r="E19" i="45"/>
  <c r="G51" i="56" l="1"/>
  <c r="F51" i="56"/>
  <c r="E51" i="56"/>
  <c r="D51" i="56"/>
  <c r="C51" i="56"/>
  <c r="G50" i="56"/>
  <c r="F50" i="56"/>
  <c r="E50" i="56"/>
  <c r="H50" i="56" s="1"/>
  <c r="D50" i="56"/>
  <c r="C50" i="56"/>
  <c r="G49" i="56"/>
  <c r="F49" i="56"/>
  <c r="H49" i="56" s="1"/>
  <c r="E49" i="56"/>
  <c r="D49" i="56"/>
  <c r="C49" i="56"/>
  <c r="G48" i="56"/>
  <c r="G44" i="56" s="1"/>
  <c r="F48" i="56"/>
  <c r="E48" i="56"/>
  <c r="D48" i="56"/>
  <c r="C48" i="56"/>
  <c r="H48" i="56" s="1"/>
  <c r="G47" i="56"/>
  <c r="F47" i="56"/>
  <c r="E47" i="56"/>
  <c r="D47" i="56"/>
  <c r="D44" i="56" s="1"/>
  <c r="C47" i="56"/>
  <c r="G46" i="56"/>
  <c r="F46" i="56"/>
  <c r="E46" i="56"/>
  <c r="H46" i="56" s="1"/>
  <c r="D46" i="56"/>
  <c r="C46" i="56"/>
  <c r="G45" i="56"/>
  <c r="F45" i="56"/>
  <c r="F44" i="56" s="1"/>
  <c r="E45" i="56"/>
  <c r="D45" i="56"/>
  <c r="C45" i="56"/>
  <c r="G43" i="56"/>
  <c r="F43" i="56"/>
  <c r="E43" i="56"/>
  <c r="D43" i="56"/>
  <c r="C43" i="56"/>
  <c r="G42" i="56"/>
  <c r="F42" i="56"/>
  <c r="E42" i="56"/>
  <c r="D42" i="56"/>
  <c r="H42" i="56" s="1"/>
  <c r="C42" i="56"/>
  <c r="G41" i="56"/>
  <c r="F41" i="56"/>
  <c r="E41" i="56"/>
  <c r="H41" i="56" s="1"/>
  <c r="D41" i="56"/>
  <c r="C41" i="56"/>
  <c r="G40" i="56"/>
  <c r="F40" i="56"/>
  <c r="H40" i="56" s="1"/>
  <c r="E40" i="56"/>
  <c r="D40" i="56"/>
  <c r="C40" i="56"/>
  <c r="G39" i="56"/>
  <c r="F39" i="56"/>
  <c r="E39" i="56"/>
  <c r="D39" i="56"/>
  <c r="C39" i="56"/>
  <c r="G38" i="56"/>
  <c r="F38" i="56"/>
  <c r="E38" i="56"/>
  <c r="D38" i="56"/>
  <c r="H38" i="56" s="1"/>
  <c r="C38" i="56"/>
  <c r="G37" i="56"/>
  <c r="F37" i="56"/>
  <c r="E37" i="56"/>
  <c r="H37" i="56" s="1"/>
  <c r="D37" i="56"/>
  <c r="C37" i="56"/>
  <c r="G36" i="56"/>
  <c r="F36" i="56"/>
  <c r="H36" i="56" s="1"/>
  <c r="E36" i="56"/>
  <c r="D36" i="56"/>
  <c r="C36" i="56"/>
  <c r="G35" i="56"/>
  <c r="F35" i="56"/>
  <c r="E35" i="56"/>
  <c r="D35" i="56"/>
  <c r="C35" i="56"/>
  <c r="G34" i="56"/>
  <c r="F34" i="56"/>
  <c r="E34" i="56"/>
  <c r="D34" i="56"/>
  <c r="H34" i="56" s="1"/>
  <c r="C34" i="56"/>
  <c r="G33" i="56"/>
  <c r="F33" i="56"/>
  <c r="E33" i="56"/>
  <c r="H33" i="56" s="1"/>
  <c r="D33" i="56"/>
  <c r="C33" i="56"/>
  <c r="G32" i="56"/>
  <c r="F32" i="56"/>
  <c r="H32" i="56" s="1"/>
  <c r="E32" i="56"/>
  <c r="D32" i="56"/>
  <c r="C32" i="56"/>
  <c r="G31" i="56"/>
  <c r="F31" i="56"/>
  <c r="E31" i="56"/>
  <c r="D31" i="56"/>
  <c r="C31" i="56"/>
  <c r="H31" i="56" s="1"/>
  <c r="G30" i="56"/>
  <c r="F30" i="56"/>
  <c r="E30" i="56"/>
  <c r="D30" i="56"/>
  <c r="H30" i="56" s="1"/>
  <c r="C30" i="56"/>
  <c r="G29" i="56"/>
  <c r="F29" i="56"/>
  <c r="E29" i="56"/>
  <c r="H29" i="56" s="1"/>
  <c r="D29" i="56"/>
  <c r="C29" i="56"/>
  <c r="G28" i="56"/>
  <c r="F28" i="56"/>
  <c r="H28" i="56" s="1"/>
  <c r="E28" i="56"/>
  <c r="D28" i="56"/>
  <c r="C28" i="56"/>
  <c r="G27" i="56"/>
  <c r="F27" i="56"/>
  <c r="E27" i="56"/>
  <c r="D27" i="56"/>
  <c r="C27" i="56"/>
  <c r="H27" i="56" s="1"/>
  <c r="G26" i="56"/>
  <c r="F26" i="56"/>
  <c r="E26" i="56"/>
  <c r="D26" i="56"/>
  <c r="H26" i="56" s="1"/>
  <c r="C26" i="56"/>
  <c r="G25" i="56"/>
  <c r="F25" i="56"/>
  <c r="E25" i="56"/>
  <c r="H25" i="56" s="1"/>
  <c r="D25" i="56"/>
  <c r="C25" i="56"/>
  <c r="G24" i="56"/>
  <c r="F24" i="56"/>
  <c r="H24" i="56" s="1"/>
  <c r="E24" i="56"/>
  <c r="D24" i="56"/>
  <c r="C24" i="56"/>
  <c r="G23" i="56"/>
  <c r="F23" i="56"/>
  <c r="E23" i="56"/>
  <c r="D23" i="56"/>
  <c r="C23" i="56"/>
  <c r="H23" i="56" s="1"/>
  <c r="G22" i="56"/>
  <c r="F22" i="56"/>
  <c r="E22" i="56"/>
  <c r="D22" i="56"/>
  <c r="H22" i="56" s="1"/>
  <c r="C22" i="56"/>
  <c r="G21" i="56"/>
  <c r="F21" i="56"/>
  <c r="E21" i="56"/>
  <c r="H21" i="56" s="1"/>
  <c r="D21" i="56"/>
  <c r="C21" i="56"/>
  <c r="G20" i="56"/>
  <c r="F20" i="56"/>
  <c r="H20" i="56" s="1"/>
  <c r="E20" i="56"/>
  <c r="D20" i="56"/>
  <c r="C20" i="56"/>
  <c r="G19" i="56"/>
  <c r="F19" i="56"/>
  <c r="E19" i="56"/>
  <c r="D19" i="56"/>
  <c r="C19" i="56"/>
  <c r="G18" i="56"/>
  <c r="F18" i="56"/>
  <c r="E18" i="56"/>
  <c r="D18" i="56"/>
  <c r="H18" i="56" s="1"/>
  <c r="C18" i="56"/>
  <c r="G17" i="56"/>
  <c r="F17" i="56"/>
  <c r="E17" i="56"/>
  <c r="H17" i="56" s="1"/>
  <c r="D17" i="56"/>
  <c r="C17" i="56"/>
  <c r="G16" i="56"/>
  <c r="F16" i="56"/>
  <c r="H16" i="56" s="1"/>
  <c r="E16" i="56"/>
  <c r="D16" i="56"/>
  <c r="C16" i="56"/>
  <c r="G15" i="56"/>
  <c r="F15" i="56"/>
  <c r="E15" i="56"/>
  <c r="D15" i="56"/>
  <c r="C15" i="56"/>
  <c r="H15" i="56" s="1"/>
  <c r="G14" i="56"/>
  <c r="F14" i="56"/>
  <c r="E14" i="56"/>
  <c r="D14" i="56"/>
  <c r="H14" i="56" s="1"/>
  <c r="C14" i="56"/>
  <c r="G13" i="56"/>
  <c r="F13" i="56"/>
  <c r="E13" i="56"/>
  <c r="H13" i="56" s="1"/>
  <c r="D13" i="56"/>
  <c r="C13" i="56"/>
  <c r="G12" i="56"/>
  <c r="F12" i="56"/>
  <c r="H12" i="56" s="1"/>
  <c r="E12" i="56"/>
  <c r="D12" i="56"/>
  <c r="C12" i="56"/>
  <c r="G11" i="56"/>
  <c r="F11" i="56"/>
  <c r="E11" i="56"/>
  <c r="D11" i="56"/>
  <c r="C11" i="56"/>
  <c r="H11" i="56" s="1"/>
  <c r="G10" i="56"/>
  <c r="F10" i="56"/>
  <c r="E10" i="56"/>
  <c r="D10" i="56"/>
  <c r="H10" i="56" s="1"/>
  <c r="C10" i="56"/>
  <c r="G9" i="56"/>
  <c r="F9" i="56"/>
  <c r="E9" i="56"/>
  <c r="H9" i="56" s="1"/>
  <c r="D9" i="56"/>
  <c r="C9" i="56"/>
  <c r="G8" i="56"/>
  <c r="F8" i="56"/>
  <c r="H8" i="56" s="1"/>
  <c r="E8" i="56"/>
  <c r="D8" i="56"/>
  <c r="C8" i="56"/>
  <c r="G7" i="56"/>
  <c r="G4" i="56" s="1"/>
  <c r="F7" i="56"/>
  <c r="E7" i="56"/>
  <c r="D7" i="56"/>
  <c r="C7" i="56"/>
  <c r="H7" i="56" s="1"/>
  <c r="G6" i="56"/>
  <c r="F6" i="56"/>
  <c r="E6" i="56"/>
  <c r="D6" i="56"/>
  <c r="D4" i="56" s="1"/>
  <c r="C6" i="56"/>
  <c r="G5" i="56"/>
  <c r="F5" i="56"/>
  <c r="E5" i="56"/>
  <c r="H5" i="56" s="1"/>
  <c r="D5" i="56"/>
  <c r="C5" i="56"/>
  <c r="G3" i="56"/>
  <c r="F3" i="56"/>
  <c r="E3" i="56"/>
  <c r="D3" i="56"/>
  <c r="C3" i="56"/>
  <c r="H51" i="56"/>
  <c r="H47" i="56"/>
  <c r="H45" i="56"/>
  <c r="H43" i="56"/>
  <c r="H39" i="56"/>
  <c r="H35" i="56"/>
  <c r="H19" i="56"/>
  <c r="G51" i="55"/>
  <c r="F51" i="55"/>
  <c r="E51" i="55"/>
  <c r="D51" i="55"/>
  <c r="C51" i="55"/>
  <c r="G50" i="55"/>
  <c r="F50" i="55"/>
  <c r="E50" i="55"/>
  <c r="D50" i="55"/>
  <c r="C50" i="55"/>
  <c r="G49" i="55"/>
  <c r="F49" i="55"/>
  <c r="E49" i="55"/>
  <c r="D49" i="55"/>
  <c r="C49" i="55"/>
  <c r="G48" i="55"/>
  <c r="F48" i="55"/>
  <c r="E48" i="55"/>
  <c r="D48" i="55"/>
  <c r="C48" i="55"/>
  <c r="G47" i="55"/>
  <c r="F47" i="55"/>
  <c r="E47" i="55"/>
  <c r="D47" i="55"/>
  <c r="C47" i="55"/>
  <c r="G46" i="55"/>
  <c r="F46" i="55"/>
  <c r="E46" i="55"/>
  <c r="D46" i="55"/>
  <c r="C46" i="55"/>
  <c r="G45" i="55"/>
  <c r="F45" i="55"/>
  <c r="E45" i="55"/>
  <c r="D45" i="55"/>
  <c r="C45" i="55"/>
  <c r="G43" i="55"/>
  <c r="F43" i="55"/>
  <c r="E43" i="55"/>
  <c r="D43" i="55"/>
  <c r="C43" i="55"/>
  <c r="G42" i="55"/>
  <c r="F42" i="55"/>
  <c r="E42" i="55"/>
  <c r="D42" i="55"/>
  <c r="C42" i="55"/>
  <c r="G41" i="55"/>
  <c r="F41" i="55"/>
  <c r="E41" i="55"/>
  <c r="D41" i="55"/>
  <c r="C41" i="55"/>
  <c r="G40" i="55"/>
  <c r="F40" i="55"/>
  <c r="E40" i="55"/>
  <c r="D40" i="55"/>
  <c r="C40" i="55"/>
  <c r="G39" i="55"/>
  <c r="F39" i="55"/>
  <c r="E39" i="55"/>
  <c r="D39" i="55"/>
  <c r="C39" i="55"/>
  <c r="G38" i="55"/>
  <c r="F38" i="55"/>
  <c r="E38" i="55"/>
  <c r="D38" i="55"/>
  <c r="C38" i="55"/>
  <c r="G37" i="55"/>
  <c r="F37" i="55"/>
  <c r="E37" i="55"/>
  <c r="D37" i="55"/>
  <c r="C37" i="55"/>
  <c r="G36" i="55"/>
  <c r="F36" i="55"/>
  <c r="E36" i="55"/>
  <c r="D36" i="55"/>
  <c r="C36" i="55"/>
  <c r="G35" i="55"/>
  <c r="F35" i="55"/>
  <c r="E35" i="55"/>
  <c r="D35" i="55"/>
  <c r="C35" i="55"/>
  <c r="G34" i="55"/>
  <c r="F34" i="55"/>
  <c r="E34" i="55"/>
  <c r="D34" i="55"/>
  <c r="C34" i="55"/>
  <c r="G33" i="55"/>
  <c r="F33" i="55"/>
  <c r="E33" i="55"/>
  <c r="D33" i="55"/>
  <c r="C33" i="55"/>
  <c r="G32" i="55"/>
  <c r="F32" i="55"/>
  <c r="E32" i="55"/>
  <c r="D32" i="55"/>
  <c r="C32" i="55"/>
  <c r="G31" i="55"/>
  <c r="F31" i="55"/>
  <c r="E31" i="55"/>
  <c r="D31" i="55"/>
  <c r="C31" i="55"/>
  <c r="G30" i="55"/>
  <c r="F30" i="55"/>
  <c r="E30" i="55"/>
  <c r="D30" i="55"/>
  <c r="C30" i="55"/>
  <c r="G29" i="55"/>
  <c r="F29" i="55"/>
  <c r="E29" i="55"/>
  <c r="D29" i="55"/>
  <c r="C29" i="55"/>
  <c r="G28" i="55"/>
  <c r="F28" i="55"/>
  <c r="E28" i="55"/>
  <c r="D28" i="55"/>
  <c r="C28" i="55"/>
  <c r="G27" i="55"/>
  <c r="F27" i="55"/>
  <c r="E27" i="55"/>
  <c r="D27" i="55"/>
  <c r="C27" i="55"/>
  <c r="G26" i="55"/>
  <c r="F26" i="55"/>
  <c r="E26" i="55"/>
  <c r="D26" i="55"/>
  <c r="C26" i="55"/>
  <c r="G25" i="55"/>
  <c r="F25" i="55"/>
  <c r="E25" i="55"/>
  <c r="D25" i="55"/>
  <c r="C25" i="55"/>
  <c r="G24" i="55"/>
  <c r="F24" i="55"/>
  <c r="E24" i="55"/>
  <c r="D24" i="55"/>
  <c r="C24" i="55"/>
  <c r="G23" i="55"/>
  <c r="F23" i="55"/>
  <c r="E23" i="55"/>
  <c r="D23" i="55"/>
  <c r="C23" i="55"/>
  <c r="G22" i="55"/>
  <c r="F22" i="55"/>
  <c r="E22" i="55"/>
  <c r="D22" i="55"/>
  <c r="C22" i="55"/>
  <c r="G21" i="55"/>
  <c r="F21" i="55"/>
  <c r="E21" i="55"/>
  <c r="D21" i="55"/>
  <c r="C21" i="55"/>
  <c r="G20" i="55"/>
  <c r="F20" i="55"/>
  <c r="E20" i="55"/>
  <c r="D20" i="55"/>
  <c r="C20" i="55"/>
  <c r="G19" i="55"/>
  <c r="F19" i="55"/>
  <c r="E19" i="55"/>
  <c r="D19" i="55"/>
  <c r="C19" i="55"/>
  <c r="G18" i="55"/>
  <c r="F18" i="55"/>
  <c r="E18" i="55"/>
  <c r="D18" i="55"/>
  <c r="C18" i="55"/>
  <c r="G17" i="55"/>
  <c r="F17" i="55"/>
  <c r="E17" i="55"/>
  <c r="D17" i="55"/>
  <c r="H17" i="55" s="1"/>
  <c r="C17" i="55"/>
  <c r="G16" i="55"/>
  <c r="F16" i="55"/>
  <c r="E16" i="55"/>
  <c r="D16" i="55"/>
  <c r="C16" i="55"/>
  <c r="G15" i="55"/>
  <c r="F15" i="55"/>
  <c r="E15" i="55"/>
  <c r="D15" i="55"/>
  <c r="C15" i="55"/>
  <c r="G14" i="55"/>
  <c r="F14" i="55"/>
  <c r="E14" i="55"/>
  <c r="D14" i="55"/>
  <c r="C14" i="55"/>
  <c r="G13" i="55"/>
  <c r="F13" i="55"/>
  <c r="E13" i="55"/>
  <c r="D13" i="55"/>
  <c r="C13" i="55"/>
  <c r="G12" i="55"/>
  <c r="F12" i="55"/>
  <c r="E12" i="55"/>
  <c r="H12" i="55" s="1"/>
  <c r="D12" i="55"/>
  <c r="C12" i="55"/>
  <c r="G11" i="55"/>
  <c r="F11" i="55"/>
  <c r="E11" i="55"/>
  <c r="D11" i="55"/>
  <c r="C11" i="55"/>
  <c r="G10" i="55"/>
  <c r="F10" i="55"/>
  <c r="E10" i="55"/>
  <c r="D10" i="55"/>
  <c r="C10" i="55"/>
  <c r="H10" i="55" s="1"/>
  <c r="G9" i="55"/>
  <c r="F9" i="55"/>
  <c r="E9" i="55"/>
  <c r="D9" i="55"/>
  <c r="C9" i="55"/>
  <c r="G8" i="55"/>
  <c r="F8" i="55"/>
  <c r="E8" i="55"/>
  <c r="D8" i="55"/>
  <c r="C8" i="55"/>
  <c r="G7" i="55"/>
  <c r="F7" i="55"/>
  <c r="E7" i="55"/>
  <c r="D7" i="55"/>
  <c r="C7" i="55"/>
  <c r="G6" i="55"/>
  <c r="F6" i="55"/>
  <c r="E6" i="55"/>
  <c r="D6" i="55"/>
  <c r="C6" i="55"/>
  <c r="G5" i="55"/>
  <c r="F5" i="55"/>
  <c r="E5" i="55"/>
  <c r="D5" i="55"/>
  <c r="C5" i="55"/>
  <c r="G3" i="55"/>
  <c r="F3" i="55"/>
  <c r="E3" i="55"/>
  <c r="D3" i="55"/>
  <c r="C3" i="55"/>
  <c r="H51" i="55"/>
  <c r="H50" i="55"/>
  <c r="H47" i="55"/>
  <c r="G44" i="55"/>
  <c r="C44" i="55"/>
  <c r="H45" i="55"/>
  <c r="H43" i="55"/>
  <c r="H41" i="55"/>
  <c r="H39" i="55"/>
  <c r="H33" i="55"/>
  <c r="H28" i="55"/>
  <c r="H23" i="55"/>
  <c r="H49" i="55"/>
  <c r="E44" i="55"/>
  <c r="D44" i="55"/>
  <c r="H38" i="55"/>
  <c r="H22" i="55"/>
  <c r="I3" i="54"/>
  <c r="I5" i="54"/>
  <c r="I6" i="54"/>
  <c r="I7" i="54"/>
  <c r="I8" i="54"/>
  <c r="I9" i="54"/>
  <c r="I10" i="54"/>
  <c r="I11" i="54"/>
  <c r="I12" i="54"/>
  <c r="I13" i="54"/>
  <c r="I14" i="54"/>
  <c r="I15" i="54"/>
  <c r="I16" i="54"/>
  <c r="I17" i="54"/>
  <c r="I18" i="54"/>
  <c r="I19" i="54"/>
  <c r="I20" i="54"/>
  <c r="I21" i="54"/>
  <c r="I22" i="54"/>
  <c r="I23" i="54"/>
  <c r="I24" i="54"/>
  <c r="I25" i="54"/>
  <c r="I26" i="54"/>
  <c r="I27" i="54"/>
  <c r="I28" i="54"/>
  <c r="I29" i="54"/>
  <c r="I30" i="54"/>
  <c r="I31" i="54"/>
  <c r="I32" i="54"/>
  <c r="I33" i="54"/>
  <c r="I34" i="54"/>
  <c r="I35" i="54"/>
  <c r="I36" i="54"/>
  <c r="I37" i="54"/>
  <c r="I38" i="54"/>
  <c r="I39" i="54"/>
  <c r="I40" i="54"/>
  <c r="I41" i="54"/>
  <c r="I42" i="54"/>
  <c r="I43" i="54"/>
  <c r="I45" i="54"/>
  <c r="I46" i="54"/>
  <c r="I47" i="54"/>
  <c r="I48" i="54"/>
  <c r="I49" i="54"/>
  <c r="I50" i="54"/>
  <c r="I51" i="54"/>
  <c r="E4" i="55" l="1"/>
  <c r="F44" i="55"/>
  <c r="H3" i="56"/>
  <c r="H14" i="55"/>
  <c r="H15" i="55"/>
  <c r="H16" i="55"/>
  <c r="H18" i="55"/>
  <c r="H19" i="55"/>
  <c r="H20" i="55"/>
  <c r="H21" i="55"/>
  <c r="H24" i="55"/>
  <c r="H25" i="55"/>
  <c r="H26" i="55"/>
  <c r="H27" i="55"/>
  <c r="H29" i="55"/>
  <c r="H30" i="55"/>
  <c r="H31" i="55"/>
  <c r="H32" i="55"/>
  <c r="H34" i="55"/>
  <c r="H35" i="55"/>
  <c r="H36" i="55"/>
  <c r="H37" i="55"/>
  <c r="H40" i="55"/>
  <c r="H42" i="55"/>
  <c r="H48" i="55"/>
  <c r="H7" i="55"/>
  <c r="H9" i="55"/>
  <c r="H8" i="55"/>
  <c r="H11" i="55"/>
  <c r="H5" i="55"/>
  <c r="H3" i="55"/>
  <c r="H13" i="55"/>
  <c r="I44" i="54"/>
  <c r="I4" i="54"/>
  <c r="C4" i="56"/>
  <c r="F4" i="56"/>
  <c r="C44" i="56"/>
  <c r="E4" i="56"/>
  <c r="E44" i="56"/>
  <c r="H44" i="56"/>
  <c r="H6" i="56"/>
  <c r="H4" i="56" s="1"/>
  <c r="F4" i="55"/>
  <c r="G4" i="55"/>
  <c r="D4" i="55"/>
  <c r="H6" i="55"/>
  <c r="C4" i="55"/>
  <c r="H46" i="55"/>
  <c r="H51" i="54"/>
  <c r="G51" i="54"/>
  <c r="F51" i="54"/>
  <c r="E51" i="54"/>
  <c r="D51" i="54"/>
  <c r="C51" i="54"/>
  <c r="H50" i="54"/>
  <c r="G50" i="54"/>
  <c r="F50" i="54"/>
  <c r="E50" i="54"/>
  <c r="D50" i="54"/>
  <c r="C50" i="54"/>
  <c r="H49" i="54"/>
  <c r="G49" i="54"/>
  <c r="F49" i="54"/>
  <c r="E49" i="54"/>
  <c r="D49" i="54"/>
  <c r="C49" i="54"/>
  <c r="H48" i="54"/>
  <c r="G48" i="54"/>
  <c r="F48" i="54"/>
  <c r="E48" i="54"/>
  <c r="D48" i="54"/>
  <c r="C48" i="54"/>
  <c r="H47" i="54"/>
  <c r="G47" i="54"/>
  <c r="F47" i="54"/>
  <c r="E47" i="54"/>
  <c r="D47" i="54"/>
  <c r="C47" i="54"/>
  <c r="H46" i="54"/>
  <c r="G46" i="54"/>
  <c r="F46" i="54"/>
  <c r="E46" i="54"/>
  <c r="D46" i="54"/>
  <c r="C46" i="54"/>
  <c r="H45" i="54"/>
  <c r="G45" i="54"/>
  <c r="F45" i="54"/>
  <c r="E45" i="54"/>
  <c r="D45" i="54"/>
  <c r="C45" i="54"/>
  <c r="C6" i="54"/>
  <c r="D6" i="54"/>
  <c r="E6" i="54"/>
  <c r="F6" i="54"/>
  <c r="G6" i="54"/>
  <c r="H6" i="54"/>
  <c r="C7" i="54"/>
  <c r="D7" i="54"/>
  <c r="E7" i="54"/>
  <c r="F7" i="54"/>
  <c r="G7" i="54"/>
  <c r="H7" i="54"/>
  <c r="C8" i="54"/>
  <c r="D8" i="54"/>
  <c r="E8" i="54"/>
  <c r="F8" i="54"/>
  <c r="G8" i="54"/>
  <c r="H8" i="54"/>
  <c r="C9" i="54"/>
  <c r="D9" i="54"/>
  <c r="E9" i="54"/>
  <c r="F9" i="54"/>
  <c r="G9" i="54"/>
  <c r="H9" i="54"/>
  <c r="C10" i="54"/>
  <c r="D10" i="54"/>
  <c r="E10" i="54"/>
  <c r="F10" i="54"/>
  <c r="G10" i="54"/>
  <c r="H10" i="54"/>
  <c r="C11" i="54"/>
  <c r="D11" i="54"/>
  <c r="E11" i="54"/>
  <c r="F11" i="54"/>
  <c r="G11" i="54"/>
  <c r="H11" i="54"/>
  <c r="C12" i="54"/>
  <c r="D12" i="54"/>
  <c r="E12" i="54"/>
  <c r="F12" i="54"/>
  <c r="G12" i="54"/>
  <c r="H12" i="54"/>
  <c r="C13" i="54"/>
  <c r="D13" i="54"/>
  <c r="E13" i="54"/>
  <c r="F13" i="54"/>
  <c r="G13" i="54"/>
  <c r="H13" i="54"/>
  <c r="C14" i="54"/>
  <c r="D14" i="54"/>
  <c r="E14" i="54"/>
  <c r="F14" i="54"/>
  <c r="G14" i="54"/>
  <c r="H14" i="54"/>
  <c r="C15" i="54"/>
  <c r="D15" i="54"/>
  <c r="E15" i="54"/>
  <c r="F15" i="54"/>
  <c r="G15" i="54"/>
  <c r="H15" i="54"/>
  <c r="C16" i="54"/>
  <c r="D16" i="54"/>
  <c r="E16" i="54"/>
  <c r="F16" i="54"/>
  <c r="G16" i="54"/>
  <c r="H16" i="54"/>
  <c r="C17" i="54"/>
  <c r="D17" i="54"/>
  <c r="E17" i="54"/>
  <c r="F17" i="54"/>
  <c r="G17" i="54"/>
  <c r="H17" i="54"/>
  <c r="C18" i="54"/>
  <c r="D18" i="54"/>
  <c r="E18" i="54"/>
  <c r="F18" i="54"/>
  <c r="G18" i="54"/>
  <c r="H18" i="54"/>
  <c r="C19" i="54"/>
  <c r="D19" i="54"/>
  <c r="E19" i="54"/>
  <c r="F19" i="54"/>
  <c r="G19" i="54"/>
  <c r="H19" i="54"/>
  <c r="C20" i="54"/>
  <c r="D20" i="54"/>
  <c r="E20" i="54"/>
  <c r="F20" i="54"/>
  <c r="G20" i="54"/>
  <c r="H20" i="54"/>
  <c r="C21" i="54"/>
  <c r="D21" i="54"/>
  <c r="E21" i="54"/>
  <c r="F21" i="54"/>
  <c r="G21" i="54"/>
  <c r="H21" i="54"/>
  <c r="C22" i="54"/>
  <c r="D22" i="54"/>
  <c r="E22" i="54"/>
  <c r="F22" i="54"/>
  <c r="G22" i="54"/>
  <c r="H22" i="54"/>
  <c r="C23" i="54"/>
  <c r="D23" i="54"/>
  <c r="E23" i="54"/>
  <c r="F23" i="54"/>
  <c r="G23" i="54"/>
  <c r="H23" i="54"/>
  <c r="C24" i="54"/>
  <c r="D24" i="54"/>
  <c r="E24" i="54"/>
  <c r="F24" i="54"/>
  <c r="G24" i="54"/>
  <c r="H24" i="54"/>
  <c r="C25" i="54"/>
  <c r="D25" i="54"/>
  <c r="E25" i="54"/>
  <c r="F25" i="54"/>
  <c r="G25" i="54"/>
  <c r="H25" i="54"/>
  <c r="C26" i="54"/>
  <c r="D26" i="54"/>
  <c r="E26" i="54"/>
  <c r="F26" i="54"/>
  <c r="G26" i="54"/>
  <c r="H26" i="54"/>
  <c r="C27" i="54"/>
  <c r="D27" i="54"/>
  <c r="E27" i="54"/>
  <c r="F27" i="54"/>
  <c r="G27" i="54"/>
  <c r="H27" i="54"/>
  <c r="C28" i="54"/>
  <c r="D28" i="54"/>
  <c r="E28" i="54"/>
  <c r="F28" i="54"/>
  <c r="G28" i="54"/>
  <c r="H28" i="54"/>
  <c r="C29" i="54"/>
  <c r="D29" i="54"/>
  <c r="E29" i="54"/>
  <c r="F29" i="54"/>
  <c r="G29" i="54"/>
  <c r="H29" i="54"/>
  <c r="C30" i="54"/>
  <c r="D30" i="54"/>
  <c r="E30" i="54"/>
  <c r="F30" i="54"/>
  <c r="G30" i="54"/>
  <c r="H30" i="54"/>
  <c r="C31" i="54"/>
  <c r="D31" i="54"/>
  <c r="E31" i="54"/>
  <c r="F31" i="54"/>
  <c r="G31" i="54"/>
  <c r="H31" i="54"/>
  <c r="C32" i="54"/>
  <c r="D32" i="54"/>
  <c r="E32" i="54"/>
  <c r="F32" i="54"/>
  <c r="G32" i="54"/>
  <c r="H32" i="54"/>
  <c r="C33" i="54"/>
  <c r="D33" i="54"/>
  <c r="E33" i="54"/>
  <c r="F33" i="54"/>
  <c r="G33" i="54"/>
  <c r="H33" i="54"/>
  <c r="C34" i="54"/>
  <c r="D34" i="54"/>
  <c r="E34" i="54"/>
  <c r="F34" i="54"/>
  <c r="G34" i="54"/>
  <c r="H34" i="54"/>
  <c r="C35" i="54"/>
  <c r="D35" i="54"/>
  <c r="E35" i="54"/>
  <c r="F35" i="54"/>
  <c r="G35" i="54"/>
  <c r="H35" i="54"/>
  <c r="C36" i="54"/>
  <c r="D36" i="54"/>
  <c r="E36" i="54"/>
  <c r="F36" i="54"/>
  <c r="G36" i="54"/>
  <c r="H36" i="54"/>
  <c r="C37" i="54"/>
  <c r="D37" i="54"/>
  <c r="E37" i="54"/>
  <c r="F37" i="54"/>
  <c r="G37" i="54"/>
  <c r="H37" i="54"/>
  <c r="C38" i="54"/>
  <c r="D38" i="54"/>
  <c r="E38" i="54"/>
  <c r="F38" i="54"/>
  <c r="G38" i="54"/>
  <c r="H38" i="54"/>
  <c r="C39" i="54"/>
  <c r="D39" i="54"/>
  <c r="E39" i="54"/>
  <c r="F39" i="54"/>
  <c r="G39" i="54"/>
  <c r="H39" i="54"/>
  <c r="C40" i="54"/>
  <c r="D40" i="54"/>
  <c r="E40" i="54"/>
  <c r="F40" i="54"/>
  <c r="G40" i="54"/>
  <c r="H40" i="54"/>
  <c r="C41" i="54"/>
  <c r="D41" i="54"/>
  <c r="E41" i="54"/>
  <c r="F41" i="54"/>
  <c r="G41" i="54"/>
  <c r="H41" i="54"/>
  <c r="C42" i="54"/>
  <c r="D42" i="54"/>
  <c r="E42" i="54"/>
  <c r="F42" i="54"/>
  <c r="G42" i="54"/>
  <c r="H42" i="54"/>
  <c r="C43" i="54"/>
  <c r="D43" i="54"/>
  <c r="E43" i="54"/>
  <c r="F43" i="54"/>
  <c r="G43" i="54"/>
  <c r="H43" i="54"/>
  <c r="D5" i="54"/>
  <c r="E5" i="54"/>
  <c r="F5" i="54"/>
  <c r="G5" i="54"/>
  <c r="H5" i="54"/>
  <c r="C5" i="54"/>
  <c r="D3" i="54"/>
  <c r="E3" i="54"/>
  <c r="F3" i="54"/>
  <c r="G3" i="54"/>
  <c r="H3" i="54"/>
  <c r="C3" i="54"/>
  <c r="H44" i="55" l="1"/>
  <c r="H4" i="55"/>
  <c r="J33" i="54"/>
  <c r="J29" i="54"/>
  <c r="J25" i="54"/>
  <c r="J21" i="54"/>
  <c r="J17" i="54"/>
  <c r="J13" i="54"/>
  <c r="J9" i="54"/>
  <c r="G44" i="54"/>
  <c r="J5" i="54"/>
  <c r="J6" i="54"/>
  <c r="J7" i="54"/>
  <c r="J42" i="54"/>
  <c r="C4" i="54"/>
  <c r="J43" i="54"/>
  <c r="J39" i="54"/>
  <c r="J34" i="54"/>
  <c r="J30" i="54"/>
  <c r="J26" i="54"/>
  <c r="J18" i="54"/>
  <c r="J14" i="54"/>
  <c r="J10" i="54"/>
  <c r="J47" i="54"/>
  <c r="D44" i="54"/>
  <c r="H44" i="54"/>
  <c r="J51" i="54"/>
  <c r="J40" i="54"/>
  <c r="J35" i="54"/>
  <c r="J31" i="54"/>
  <c r="J27" i="54"/>
  <c r="J23" i="54"/>
  <c r="E4" i="54"/>
  <c r="J19" i="54"/>
  <c r="J11" i="54"/>
  <c r="J46" i="54"/>
  <c r="E44" i="54"/>
  <c r="J50" i="54"/>
  <c r="J38" i="54"/>
  <c r="J3" i="54"/>
  <c r="J36" i="54"/>
  <c r="J41" i="54"/>
  <c r="J37" i="54"/>
  <c r="J32" i="54"/>
  <c r="J28" i="54"/>
  <c r="J24" i="54"/>
  <c r="D4" i="54"/>
  <c r="J20" i="54"/>
  <c r="J16" i="54"/>
  <c r="J12" i="54"/>
  <c r="J8" i="54"/>
  <c r="J45" i="54"/>
  <c r="F44" i="54"/>
  <c r="J49" i="54"/>
  <c r="J48" i="54"/>
  <c r="C44" i="54"/>
  <c r="H4" i="54"/>
  <c r="G4" i="54"/>
  <c r="J15" i="54"/>
  <c r="J22" i="54"/>
  <c r="F4" i="54"/>
  <c r="P25" i="49"/>
  <c r="J4" i="54" l="1"/>
  <c r="J44" i="54"/>
  <c r="Q25" i="49"/>
  <c r="O24" i="49"/>
  <c r="Q17" i="49"/>
  <c r="P17" i="49"/>
  <c r="O16" i="49"/>
  <c r="P7" i="49"/>
  <c r="Q7" i="49"/>
  <c r="O6" i="49" l="1"/>
  <c r="D9" i="49" l="1"/>
  <c r="D8" i="49"/>
  <c r="K7" i="49"/>
  <c r="I7" i="49"/>
  <c r="H6" i="49"/>
  <c r="E46" i="34" l="1"/>
  <c r="F46" i="34"/>
  <c r="G46" i="34"/>
  <c r="H46" i="34"/>
  <c r="G46" i="37"/>
  <c r="F46" i="37"/>
  <c r="E46" i="37"/>
  <c r="H46" i="37"/>
  <c r="H46" i="40"/>
  <c r="G46" i="40"/>
  <c r="G4" i="48" l="1"/>
  <c r="C4" i="48"/>
  <c r="E4" i="48"/>
  <c r="G44" i="48"/>
  <c r="E4" i="47"/>
  <c r="E44" i="47"/>
  <c r="G4" i="47"/>
  <c r="G44" i="47"/>
  <c r="D4" i="48"/>
  <c r="F4" i="48"/>
  <c r="F44" i="48"/>
  <c r="H4" i="48"/>
  <c r="C4" i="47"/>
  <c r="D4" i="47"/>
  <c r="D44" i="47"/>
  <c r="F4" i="47"/>
  <c r="H4" i="47"/>
  <c r="H44" i="47"/>
  <c r="D44" i="48"/>
  <c r="H44" i="48"/>
  <c r="C44" i="47"/>
  <c r="F44" i="47"/>
  <c r="C44" i="48"/>
  <c r="E44" i="48"/>
  <c r="E3" i="48" l="1"/>
  <c r="G3" i="48"/>
  <c r="F3" i="47"/>
  <c r="C3" i="48"/>
  <c r="H3" i="48"/>
  <c r="G3" i="47"/>
  <c r="D3" i="47"/>
  <c r="F3" i="48"/>
  <c r="D3" i="48"/>
  <c r="E3" i="47"/>
  <c r="H3" i="47"/>
  <c r="C3" i="47"/>
  <c r="J44" i="46"/>
  <c r="I44" i="46"/>
  <c r="H44" i="46"/>
  <c r="G44" i="46"/>
  <c r="F44" i="46"/>
  <c r="E44" i="46"/>
  <c r="D44" i="46"/>
  <c r="C44" i="46"/>
  <c r="G4" i="46"/>
  <c r="J4" i="46"/>
  <c r="I4" i="46"/>
  <c r="H4" i="46"/>
  <c r="F4" i="46"/>
  <c r="F3" i="46" s="1"/>
  <c r="E4" i="46"/>
  <c r="E3" i="46" s="1"/>
  <c r="D4" i="46"/>
  <c r="C4" i="46"/>
  <c r="D3" i="46" l="1"/>
  <c r="C3" i="46"/>
  <c r="H3" i="46"/>
  <c r="I3" i="46"/>
  <c r="J3" i="46"/>
  <c r="G3" i="46"/>
  <c r="D16" i="39"/>
  <c r="E16" i="39"/>
  <c r="F16" i="39"/>
  <c r="G16" i="39"/>
  <c r="H16" i="39"/>
  <c r="I16" i="39"/>
  <c r="J16" i="39"/>
  <c r="C16" i="39"/>
  <c r="D16" i="40"/>
  <c r="E16" i="40"/>
  <c r="F16" i="40"/>
  <c r="G16" i="40"/>
  <c r="H16" i="40"/>
  <c r="C16" i="40"/>
  <c r="D16" i="41"/>
  <c r="E16" i="41"/>
  <c r="F16" i="41"/>
  <c r="G16" i="41"/>
  <c r="H16" i="41"/>
  <c r="C16" i="41"/>
  <c r="D16" i="38"/>
  <c r="E16" i="38"/>
  <c r="F16" i="38"/>
  <c r="G16" i="38"/>
  <c r="H16" i="38"/>
  <c r="C16" i="38"/>
  <c r="D16" i="37"/>
  <c r="E16" i="37"/>
  <c r="F16" i="37"/>
  <c r="G16" i="37"/>
  <c r="H16" i="37"/>
  <c r="C16" i="37"/>
  <c r="D16" i="36"/>
  <c r="E16" i="36"/>
  <c r="F16" i="36"/>
  <c r="G16" i="36"/>
  <c r="H16" i="36"/>
  <c r="I16" i="36"/>
  <c r="J16" i="36"/>
  <c r="C16" i="36"/>
  <c r="D16" i="35"/>
  <c r="E16" i="35"/>
  <c r="F16" i="35"/>
  <c r="G16" i="35"/>
  <c r="H16" i="35"/>
  <c r="C16" i="35"/>
  <c r="D16" i="34"/>
  <c r="E16" i="34"/>
  <c r="F16" i="34"/>
  <c r="G16" i="34"/>
  <c r="H16" i="34"/>
  <c r="C16" i="34"/>
  <c r="D16" i="33"/>
  <c r="E16" i="33"/>
  <c r="F16" i="33"/>
  <c r="G16" i="33"/>
  <c r="H16" i="33"/>
  <c r="I16" i="33"/>
  <c r="J16" i="33"/>
  <c r="C16" i="33"/>
  <c r="D16" i="29"/>
  <c r="E16" i="29"/>
  <c r="F16" i="29"/>
  <c r="G16" i="29"/>
  <c r="H16" i="29"/>
  <c r="C16" i="29"/>
  <c r="D16" i="28"/>
  <c r="E16" i="28"/>
  <c r="F16" i="28"/>
  <c r="G16" i="28"/>
  <c r="H16" i="28"/>
  <c r="C16" i="28"/>
  <c r="D16" i="27"/>
  <c r="E16" i="27"/>
  <c r="F16" i="27"/>
  <c r="G16" i="27"/>
  <c r="H16" i="27"/>
  <c r="I16" i="27"/>
  <c r="J16" i="27"/>
  <c r="C16" i="27"/>
  <c r="D16" i="22"/>
  <c r="E16" i="22"/>
  <c r="F16" i="22"/>
  <c r="G16" i="22"/>
  <c r="H16" i="22"/>
  <c r="C16" i="22"/>
  <c r="D16" i="21"/>
  <c r="E16" i="21"/>
  <c r="F16" i="21"/>
  <c r="G16" i="21"/>
  <c r="H16" i="21"/>
  <c r="C16" i="21"/>
  <c r="D16" i="20"/>
  <c r="E16" i="20"/>
  <c r="F16" i="20"/>
  <c r="G16" i="20"/>
  <c r="H16" i="20"/>
  <c r="I16" i="20"/>
  <c r="J16" i="20"/>
  <c r="C16" i="20"/>
  <c r="E16" i="45" l="1"/>
  <c r="E15" i="45"/>
  <c r="E14" i="45"/>
  <c r="E13" i="45"/>
  <c r="E12" i="45"/>
  <c r="E11" i="45"/>
  <c r="E10" i="45"/>
  <c r="E9" i="45"/>
  <c r="E8" i="45"/>
  <c r="E7" i="45"/>
  <c r="E6" i="45"/>
  <c r="E5" i="45"/>
  <c r="E4" i="45"/>
  <c r="C22" i="45" s="1"/>
  <c r="H4" i="44" l="1"/>
  <c r="G4" i="44"/>
  <c r="D44" i="44"/>
  <c r="F44" i="43"/>
  <c r="H44" i="44" l="1"/>
  <c r="H3" i="44" s="1"/>
  <c r="C4" i="44"/>
  <c r="D44" i="43"/>
  <c r="E44" i="43"/>
  <c r="C44" i="44"/>
  <c r="G44" i="43"/>
  <c r="H44" i="43"/>
  <c r="D4" i="44"/>
  <c r="D3" i="44" s="1"/>
  <c r="E44" i="44"/>
  <c r="F4" i="44"/>
  <c r="E4" i="44"/>
  <c r="F44" i="44"/>
  <c r="G44" i="44"/>
  <c r="G3" i="44" s="1"/>
  <c r="C3" i="44" l="1"/>
  <c r="F3" i="44"/>
  <c r="E3" i="44"/>
  <c r="G4" i="43"/>
  <c r="G3" i="43" s="1"/>
  <c r="H4" i="43"/>
  <c r="H3" i="43" s="1"/>
  <c r="F4" i="43"/>
  <c r="F3" i="43" s="1"/>
  <c r="E4" i="43"/>
  <c r="D4" i="43"/>
  <c r="D3" i="43" s="1"/>
  <c r="C4" i="43" l="1"/>
  <c r="C44" i="43"/>
  <c r="E3" i="43"/>
  <c r="C3" i="43" l="1"/>
  <c r="J44" i="42"/>
  <c r="I44" i="42"/>
  <c r="H44" i="42"/>
  <c r="G44" i="42"/>
  <c r="F44" i="42"/>
  <c r="E44" i="42"/>
  <c r="D44" i="42"/>
  <c r="C44" i="42"/>
  <c r="J4" i="42"/>
  <c r="J3" i="42" s="1"/>
  <c r="I4" i="42"/>
  <c r="H4" i="42"/>
  <c r="I3" i="42" l="1"/>
  <c r="H3" i="42"/>
  <c r="G4" i="42"/>
  <c r="G3" i="42" s="1"/>
  <c r="D4" i="42"/>
  <c r="D3" i="42" s="1"/>
  <c r="E4" i="42"/>
  <c r="E3" i="42" s="1"/>
  <c r="F4" i="42"/>
  <c r="F3" i="42" s="1"/>
  <c r="C4" i="42"/>
  <c r="C3" i="42" s="1"/>
  <c r="D4" i="37"/>
  <c r="E4" i="37"/>
  <c r="F4" i="37"/>
  <c r="G4" i="37"/>
  <c r="H4" i="37"/>
  <c r="C4" i="37"/>
  <c r="C44" i="37"/>
  <c r="D44" i="37"/>
  <c r="E44" i="37"/>
  <c r="F44" i="37"/>
  <c r="G44" i="37"/>
  <c r="H44" i="37"/>
  <c r="K6" i="37"/>
  <c r="K7" i="37"/>
  <c r="K8" i="37"/>
  <c r="K9" i="37"/>
  <c r="K10" i="37"/>
  <c r="K11" i="37"/>
  <c r="K12" i="37"/>
  <c r="K13" i="37"/>
  <c r="K14" i="37"/>
  <c r="K15" i="37"/>
  <c r="K16" i="37"/>
  <c r="K17" i="37"/>
  <c r="K18" i="37"/>
  <c r="K19" i="37"/>
  <c r="K20" i="37"/>
  <c r="K21" i="37"/>
  <c r="K22" i="37"/>
  <c r="K23" i="37"/>
  <c r="K24" i="37"/>
  <c r="K25" i="37"/>
  <c r="K26" i="37"/>
  <c r="K27" i="37"/>
  <c r="K28" i="37"/>
  <c r="K29" i="37"/>
  <c r="K30" i="37"/>
  <c r="K31" i="37"/>
  <c r="K32" i="37"/>
  <c r="K33" i="37"/>
  <c r="K34" i="37"/>
  <c r="K35" i="37"/>
  <c r="K36" i="37"/>
  <c r="K37" i="37"/>
  <c r="K38" i="37"/>
  <c r="K39" i="37"/>
  <c r="K40" i="37"/>
  <c r="K41" i="37"/>
  <c r="K42" i="37"/>
  <c r="K43" i="37"/>
  <c r="K45" i="37"/>
  <c r="K46" i="37"/>
  <c r="K47" i="37"/>
  <c r="K48" i="37"/>
  <c r="K49" i="37"/>
  <c r="K50" i="37"/>
  <c r="K51" i="37"/>
  <c r="K5" i="37"/>
  <c r="J44" i="37"/>
  <c r="J4" i="37"/>
  <c r="J3" i="37" s="1"/>
  <c r="C4" i="41"/>
  <c r="D4" i="41"/>
  <c r="D3" i="41" s="1"/>
  <c r="E4" i="41"/>
  <c r="F4" i="41"/>
  <c r="G4" i="41"/>
  <c r="H4" i="41"/>
  <c r="C44" i="41"/>
  <c r="D44" i="41"/>
  <c r="E44" i="41"/>
  <c r="G44" i="41"/>
  <c r="H45" i="41"/>
  <c r="H44" i="41" s="1"/>
  <c r="C4" i="40"/>
  <c r="D4" i="40"/>
  <c r="E4" i="40"/>
  <c r="E3" i="40" s="1"/>
  <c r="F4" i="40"/>
  <c r="G4" i="40"/>
  <c r="H4" i="40"/>
  <c r="C44" i="40"/>
  <c r="D44" i="40"/>
  <c r="E44" i="40"/>
  <c r="H44" i="40"/>
  <c r="H3" i="40" s="1"/>
  <c r="F44" i="40"/>
  <c r="F3" i="40" s="1"/>
  <c r="G44" i="40"/>
  <c r="C4" i="39"/>
  <c r="D4" i="39"/>
  <c r="E4" i="39"/>
  <c r="F4" i="39"/>
  <c r="G4" i="39"/>
  <c r="H4" i="39"/>
  <c r="I4" i="39"/>
  <c r="J4" i="39"/>
  <c r="J44" i="39"/>
  <c r="I44" i="39"/>
  <c r="H44" i="39"/>
  <c r="G44" i="39"/>
  <c r="F44" i="39"/>
  <c r="E44" i="39"/>
  <c r="D44" i="39"/>
  <c r="C44" i="39"/>
  <c r="L6" i="39"/>
  <c r="L7" i="39"/>
  <c r="L8" i="39"/>
  <c r="L9" i="39"/>
  <c r="L10" i="39"/>
  <c r="L11" i="39"/>
  <c r="L12" i="39"/>
  <c r="L13" i="39"/>
  <c r="L14" i="39"/>
  <c r="L15" i="39"/>
  <c r="L16" i="39"/>
  <c r="L17" i="39"/>
  <c r="L18" i="39"/>
  <c r="L19" i="39"/>
  <c r="L20" i="39"/>
  <c r="L21" i="39"/>
  <c r="L22" i="39"/>
  <c r="L23" i="39"/>
  <c r="L24" i="39"/>
  <c r="L25" i="39"/>
  <c r="L26" i="39"/>
  <c r="L27" i="39"/>
  <c r="L28" i="39"/>
  <c r="L29" i="39"/>
  <c r="L30" i="39"/>
  <c r="L31" i="39"/>
  <c r="L32" i="39"/>
  <c r="L33" i="39"/>
  <c r="L34" i="39"/>
  <c r="L35" i="39"/>
  <c r="L36" i="39"/>
  <c r="L37" i="39"/>
  <c r="L38" i="39"/>
  <c r="L39" i="39"/>
  <c r="L40" i="39"/>
  <c r="L41" i="39"/>
  <c r="L42" i="39"/>
  <c r="L43" i="39"/>
  <c r="L45" i="39"/>
  <c r="L46" i="39"/>
  <c r="L47" i="39"/>
  <c r="L48" i="39"/>
  <c r="L49" i="39"/>
  <c r="L50" i="39"/>
  <c r="L51" i="39"/>
  <c r="L5" i="39"/>
  <c r="H4" i="22"/>
  <c r="H3" i="22" s="1"/>
  <c r="G4" i="22"/>
  <c r="G3" i="22" s="1"/>
  <c r="F4" i="22"/>
  <c r="F3" i="22" s="1"/>
  <c r="E4" i="22"/>
  <c r="E3" i="22" s="1"/>
  <c r="D4" i="22"/>
  <c r="D3" i="22" s="1"/>
  <c r="C4" i="22"/>
  <c r="C3" i="22" s="1"/>
  <c r="C3" i="41" l="1"/>
  <c r="D3" i="37"/>
  <c r="F3" i="37"/>
  <c r="C3" i="37"/>
  <c r="H3" i="37"/>
  <c r="E3" i="41"/>
  <c r="K44" i="37"/>
  <c r="E3" i="37"/>
  <c r="D3" i="40"/>
  <c r="G3" i="41"/>
  <c r="C3" i="40"/>
  <c r="F3" i="39"/>
  <c r="G3" i="40"/>
  <c r="H3" i="41"/>
  <c r="G3" i="37"/>
  <c r="G3" i="39"/>
  <c r="C3" i="39"/>
  <c r="L44" i="39"/>
  <c r="J3" i="39"/>
  <c r="E3" i="39"/>
  <c r="F44" i="41"/>
  <c r="F3" i="41" s="1"/>
  <c r="H3" i="39"/>
  <c r="D3" i="39"/>
  <c r="I3" i="39"/>
  <c r="F44" i="32" l="1"/>
  <c r="G4" i="32"/>
  <c r="C4" i="32"/>
  <c r="E4" i="32"/>
  <c r="E44" i="32"/>
  <c r="H44" i="32"/>
  <c r="D44" i="32"/>
  <c r="C44" i="32"/>
  <c r="H4" i="32"/>
  <c r="F4" i="32"/>
  <c r="D4" i="32"/>
  <c r="G44" i="31"/>
  <c r="C44" i="31"/>
  <c r="G4" i="31"/>
  <c r="C4" i="31"/>
  <c r="E4" i="31"/>
  <c r="J44" i="30"/>
  <c r="I44" i="30"/>
  <c r="G44" i="30"/>
  <c r="F44" i="30"/>
  <c r="D44" i="30"/>
  <c r="H44" i="31" l="1"/>
  <c r="E44" i="31"/>
  <c r="E3" i="31" s="1"/>
  <c r="I4" i="30"/>
  <c r="I3" i="30" s="1"/>
  <c r="F4" i="31"/>
  <c r="D44" i="31"/>
  <c r="F4" i="30"/>
  <c r="F3" i="30" s="1"/>
  <c r="H3" i="32"/>
  <c r="C4" i="30"/>
  <c r="G4" i="30"/>
  <c r="G3" i="30" s="1"/>
  <c r="C3" i="31"/>
  <c r="D4" i="30"/>
  <c r="D3" i="30" s="1"/>
  <c r="H4" i="30"/>
  <c r="H44" i="30"/>
  <c r="D4" i="31"/>
  <c r="H4" i="31"/>
  <c r="F44" i="31"/>
  <c r="E4" i="30"/>
  <c r="E44" i="30"/>
  <c r="J4" i="30"/>
  <c r="J3" i="30" s="1"/>
  <c r="G3" i="31"/>
  <c r="D3" i="32"/>
  <c r="F3" i="32"/>
  <c r="C3" i="32"/>
  <c r="G44" i="32"/>
  <c r="G3" i="32" s="1"/>
  <c r="E3" i="32"/>
  <c r="C44" i="30"/>
  <c r="D3" i="31" l="1"/>
  <c r="H3" i="31"/>
  <c r="F3" i="31"/>
  <c r="C3" i="30"/>
  <c r="H3" i="30"/>
  <c r="E3" i="30"/>
  <c r="A4" i="24"/>
  <c r="A4" i="23"/>
  <c r="A4" i="1" l="1"/>
  <c r="I12" i="1"/>
  <c r="C39" i="23"/>
  <c r="F21" i="1"/>
  <c r="G33" i="23"/>
  <c r="E39" i="24"/>
  <c r="C43" i="23"/>
  <c r="D15" i="24"/>
  <c r="G10" i="1"/>
  <c r="B7" i="23"/>
  <c r="F33" i="23"/>
  <c r="H20" i="1"/>
  <c r="B27" i="23"/>
  <c r="H9" i="1"/>
  <c r="F47" i="24"/>
  <c r="E31" i="1"/>
  <c r="F11" i="1"/>
  <c r="F27" i="23"/>
  <c r="D39" i="1"/>
  <c r="B39" i="1"/>
  <c r="E11" i="1"/>
  <c r="B30" i="1"/>
  <c r="B30" i="24"/>
  <c r="G9" i="23"/>
  <c r="E28" i="1"/>
  <c r="F31" i="23"/>
  <c r="I14" i="1"/>
  <c r="D7" i="23"/>
  <c r="C28" i="24"/>
  <c r="D11" i="1"/>
  <c r="F51" i="1"/>
  <c r="E17" i="23"/>
  <c r="B17" i="1"/>
  <c r="G32" i="24"/>
  <c r="D50" i="24"/>
  <c r="H7" i="1"/>
  <c r="C40" i="1"/>
  <c r="C27" i="24"/>
  <c r="F25" i="23"/>
  <c r="C40" i="23"/>
  <c r="I20" i="1"/>
  <c r="C27" i="23"/>
  <c r="E8" i="23"/>
  <c r="D22" i="23"/>
  <c r="F16" i="23"/>
  <c r="H40" i="1"/>
  <c r="C46" i="24"/>
  <c r="H28" i="1"/>
  <c r="E29" i="1"/>
  <c r="G26" i="1"/>
  <c r="D46" i="1"/>
  <c r="D10" i="23"/>
  <c r="D51" i="1"/>
  <c r="G42" i="24"/>
  <c r="F41" i="23"/>
  <c r="F9" i="24"/>
  <c r="F18" i="23"/>
  <c r="F20" i="1"/>
  <c r="D27" i="23"/>
  <c r="E8" i="24"/>
  <c r="B50" i="24"/>
  <c r="F42" i="24"/>
  <c r="G49" i="1"/>
  <c r="G30" i="1"/>
  <c r="C25" i="24"/>
  <c r="I17" i="1"/>
  <c r="E42" i="23"/>
  <c r="F29" i="23"/>
  <c r="E47" i="23"/>
  <c r="G37" i="1"/>
  <c r="E10" i="23"/>
  <c r="F49" i="23"/>
  <c r="B52" i="24"/>
  <c r="G46" i="1"/>
  <c r="B15" i="24"/>
  <c r="F48" i="1"/>
  <c r="B13" i="24"/>
  <c r="G44" i="23"/>
  <c r="I18" i="1"/>
  <c r="B31" i="23"/>
  <c r="D29" i="23"/>
  <c r="C20" i="1"/>
  <c r="B26" i="23"/>
  <c r="G16" i="1"/>
  <c r="D53" i="23"/>
  <c r="G31" i="23"/>
  <c r="G38" i="23"/>
  <c r="B13" i="1"/>
  <c r="I36" i="1"/>
  <c r="G23" i="1"/>
  <c r="E46" i="23"/>
  <c r="D46" i="24"/>
  <c r="G48" i="1"/>
  <c r="C26" i="23"/>
  <c r="F36" i="24"/>
  <c r="G21" i="23"/>
  <c r="G29" i="23"/>
  <c r="C30" i="23"/>
  <c r="G39" i="24"/>
  <c r="F39" i="23"/>
  <c r="E8" i="1"/>
  <c r="G13" i="23"/>
  <c r="C35" i="23"/>
  <c r="E50" i="1"/>
  <c r="C38" i="24"/>
  <c r="E39" i="1"/>
  <c r="G29" i="24"/>
  <c r="F22" i="23"/>
  <c r="F7" i="24"/>
  <c r="F19" i="23"/>
  <c r="G33" i="1"/>
  <c r="D36" i="1"/>
  <c r="C32" i="23"/>
  <c r="C20" i="24"/>
  <c r="E38" i="24"/>
  <c r="F43" i="23"/>
  <c r="E9" i="23"/>
  <c r="C46" i="23"/>
  <c r="E55" i="23"/>
  <c r="D49" i="23"/>
  <c r="D16" i="24"/>
  <c r="B44" i="23"/>
  <c r="G14" i="1"/>
  <c r="E13" i="1"/>
  <c r="C13" i="1"/>
  <c r="F32" i="23"/>
  <c r="D9" i="23"/>
  <c r="D33" i="24"/>
  <c r="D8" i="1"/>
  <c r="G18" i="1"/>
  <c r="E53" i="24"/>
  <c r="I10" i="1"/>
  <c r="B11" i="1"/>
  <c r="B10" i="1"/>
  <c r="E35" i="24"/>
  <c r="D35" i="23"/>
  <c r="G27" i="1"/>
  <c r="D32" i="23"/>
  <c r="B53" i="23"/>
  <c r="G20" i="24"/>
  <c r="E49" i="23"/>
  <c r="B8" i="1"/>
  <c r="F21" i="23"/>
  <c r="D29" i="1"/>
  <c r="B50" i="1"/>
  <c r="G54" i="24"/>
  <c r="F38" i="24"/>
  <c r="C41" i="24"/>
  <c r="G22" i="1"/>
  <c r="F32" i="24"/>
  <c r="F26" i="23"/>
  <c r="G39" i="1"/>
  <c r="D52" i="23"/>
  <c r="G12" i="1"/>
  <c r="G54" i="23"/>
  <c r="G15" i="24"/>
  <c r="F35" i="24"/>
  <c r="G18" i="24"/>
  <c r="F17" i="23"/>
  <c r="D40" i="24"/>
  <c r="D13" i="23"/>
  <c r="B30" i="23"/>
  <c r="C36" i="23"/>
  <c r="F37" i="24"/>
  <c r="H53" i="1"/>
  <c r="E22" i="24"/>
  <c r="F55" i="24"/>
  <c r="F12" i="1"/>
  <c r="B29" i="23"/>
  <c r="C53" i="23"/>
  <c r="F37" i="1"/>
  <c r="B13" i="23"/>
  <c r="H26" i="1"/>
  <c r="F43" i="1"/>
  <c r="F23" i="23"/>
  <c r="B36" i="23"/>
  <c r="G45" i="23"/>
  <c r="B44" i="1"/>
  <c r="F22" i="24"/>
  <c r="C18" i="1"/>
  <c r="D45" i="23"/>
  <c r="G24" i="1"/>
  <c r="F10" i="23"/>
  <c r="C33" i="23"/>
  <c r="E26" i="1"/>
  <c r="G22" i="24"/>
  <c r="B21" i="23"/>
  <c r="G13" i="1"/>
  <c r="G10" i="23"/>
  <c r="G12" i="24"/>
  <c r="E45" i="23"/>
  <c r="E36" i="23"/>
  <c r="C19" i="1"/>
  <c r="E19" i="23"/>
  <c r="E43" i="1"/>
  <c r="B9" i="24"/>
  <c r="E46" i="1"/>
  <c r="C7" i="23"/>
  <c r="F50" i="1"/>
  <c r="B54" i="24"/>
  <c r="F55" i="1"/>
  <c r="B27" i="24"/>
  <c r="D25" i="1"/>
  <c r="E15" i="23"/>
  <c r="F24" i="23"/>
  <c r="G38" i="1"/>
  <c r="E27" i="1"/>
  <c r="I15" i="1"/>
  <c r="G30" i="23"/>
  <c r="D45" i="1"/>
  <c r="B33" i="1"/>
  <c r="D8" i="23"/>
  <c r="G52" i="24"/>
  <c r="G35" i="23"/>
  <c r="C54" i="1"/>
  <c r="B34" i="24"/>
  <c r="B12" i="23"/>
  <c r="E43" i="23"/>
  <c r="H10" i="1"/>
  <c r="B32" i="23"/>
  <c r="H49" i="1"/>
  <c r="E14" i="1"/>
  <c r="B18" i="1"/>
  <c r="B22" i="1"/>
  <c r="F12" i="23"/>
  <c r="F16" i="24"/>
  <c r="F18" i="1"/>
  <c r="C17" i="1"/>
  <c r="F12" i="24"/>
  <c r="G7" i="24"/>
  <c r="E19" i="24"/>
  <c r="E12" i="1"/>
  <c r="D51" i="23"/>
  <c r="F53" i="1"/>
  <c r="G21" i="1"/>
  <c r="D50" i="1"/>
  <c r="F8" i="23"/>
  <c r="B8" i="24"/>
  <c r="G7" i="1"/>
  <c r="B43" i="24"/>
  <c r="B55" i="1"/>
  <c r="E41" i="24"/>
  <c r="E31" i="23"/>
  <c r="D24" i="1"/>
  <c r="B37" i="23"/>
  <c r="B39" i="24"/>
  <c r="E25" i="24"/>
  <c r="H25" i="1"/>
  <c r="B26" i="24"/>
  <c r="B25" i="24"/>
  <c r="D22" i="24"/>
  <c r="C16" i="1"/>
  <c r="H16" i="1"/>
  <c r="I27" i="1"/>
  <c r="F11" i="23"/>
  <c r="E14" i="23"/>
  <c r="C55" i="23"/>
  <c r="D38" i="1"/>
  <c r="H41" i="1"/>
  <c r="G46" i="23"/>
  <c r="C14" i="1"/>
  <c r="F9" i="1"/>
  <c r="G23" i="24"/>
  <c r="C44" i="24"/>
  <c r="D42" i="1"/>
  <c r="D42" i="23"/>
  <c r="B32" i="1"/>
  <c r="C48" i="24"/>
  <c r="F41" i="1"/>
  <c r="B18" i="23"/>
  <c r="F39" i="24"/>
  <c r="F8" i="1"/>
  <c r="B16" i="1"/>
  <c r="F13" i="23"/>
  <c r="G12" i="23"/>
  <c r="C23" i="24"/>
  <c r="B28" i="1"/>
  <c r="F24" i="1"/>
  <c r="F46" i="23"/>
  <c r="C28" i="23"/>
  <c r="I41" i="1"/>
  <c r="E26" i="23"/>
  <c r="G16" i="24"/>
  <c r="D34" i="23"/>
  <c r="C55" i="1"/>
  <c r="D12" i="1"/>
  <c r="B31" i="24"/>
  <c r="I33" i="1"/>
  <c r="D11" i="23"/>
  <c r="F17" i="1"/>
  <c r="G28" i="24"/>
  <c r="H8" i="1"/>
  <c r="F54" i="24"/>
  <c r="C34" i="1"/>
  <c r="I44" i="1"/>
  <c r="B45" i="23"/>
  <c r="G19" i="24"/>
  <c r="F44" i="24"/>
  <c r="D41" i="24"/>
  <c r="H35" i="1"/>
  <c r="C37" i="23"/>
  <c r="F28" i="23"/>
  <c r="D54" i="24"/>
  <c r="H14" i="1"/>
  <c r="F31" i="24"/>
  <c r="D37" i="1"/>
  <c r="B46" i="1"/>
  <c r="F9" i="23"/>
  <c r="G25" i="24"/>
  <c r="G25" i="1"/>
  <c r="E30" i="1"/>
  <c r="D41" i="1"/>
  <c r="G49" i="23"/>
  <c r="F44" i="23"/>
  <c r="C9" i="24"/>
  <c r="E44" i="23"/>
  <c r="D29" i="24"/>
  <c r="D54" i="23"/>
  <c r="H21" i="1"/>
  <c r="D16" i="1"/>
  <c r="C31" i="24"/>
  <c r="D23" i="1"/>
  <c r="H24" i="1"/>
  <c r="C16" i="24"/>
  <c r="E31" i="24"/>
  <c r="H42" i="1"/>
  <c r="F48" i="24"/>
  <c r="I53" i="1"/>
  <c r="D17" i="24"/>
  <c r="C15" i="23"/>
  <c r="C50" i="24"/>
  <c r="E48" i="24"/>
  <c r="F26" i="24"/>
  <c r="D42" i="24"/>
  <c r="B9" i="1"/>
  <c r="D7" i="24"/>
  <c r="H27" i="1"/>
  <c r="H22" i="1"/>
  <c r="G27" i="23"/>
  <c r="E38" i="1"/>
  <c r="G40" i="24"/>
  <c r="D40" i="23"/>
  <c r="C53" i="24"/>
  <c r="E40" i="23"/>
  <c r="B43" i="1"/>
  <c r="E32" i="24"/>
  <c r="B24" i="24"/>
  <c r="F7" i="1"/>
  <c r="C50" i="1"/>
  <c r="F40" i="1"/>
  <c r="C39" i="24"/>
  <c r="I24" i="1"/>
  <c r="C49" i="23"/>
  <c r="G15" i="23"/>
  <c r="E23" i="1"/>
  <c r="D20" i="23"/>
  <c r="E33" i="1"/>
  <c r="H51" i="1"/>
  <c r="D9" i="24"/>
  <c r="B15" i="1"/>
  <c r="E34" i="23"/>
  <c r="F18" i="24"/>
  <c r="G25" i="23"/>
  <c r="B9" i="23"/>
  <c r="D21" i="1"/>
  <c r="D23" i="23"/>
  <c r="E27" i="23"/>
  <c r="C12" i="23"/>
  <c r="B46" i="24"/>
  <c r="G40" i="23"/>
  <c r="E48" i="23"/>
  <c r="F15" i="1"/>
  <c r="E24" i="24"/>
  <c r="B12" i="1"/>
  <c r="B53" i="24"/>
  <c r="F15" i="24"/>
  <c r="C42" i="24"/>
  <c r="F27" i="24"/>
  <c r="E21" i="24"/>
  <c r="D26" i="1"/>
  <c r="I13" i="1"/>
  <c r="G33" i="24"/>
  <c r="D31" i="24"/>
  <c r="E51" i="1"/>
  <c r="G35" i="1"/>
  <c r="B54" i="1"/>
  <c r="C42" i="23"/>
  <c r="C54" i="24"/>
  <c r="D18" i="1"/>
  <c r="C12" i="24"/>
  <c r="I26" i="1"/>
  <c r="B18" i="24"/>
  <c r="F38" i="1"/>
  <c r="B48" i="23"/>
  <c r="B25" i="1"/>
  <c r="F34" i="1"/>
  <c r="E49" i="24"/>
  <c r="E12" i="23"/>
  <c r="G45" i="1"/>
  <c r="E16" i="23"/>
  <c r="E28" i="24"/>
  <c r="D32" i="24"/>
  <c r="F29" i="1"/>
  <c r="B42" i="24"/>
  <c r="I30" i="1"/>
  <c r="B37" i="24"/>
  <c r="B19" i="24"/>
  <c r="C7" i="24"/>
  <c r="C18" i="24"/>
  <c r="I51" i="1"/>
  <c r="D17" i="1"/>
  <c r="H43" i="1"/>
  <c r="D9" i="1"/>
  <c r="E21" i="23"/>
  <c r="D49" i="1"/>
  <c r="G8" i="23"/>
  <c r="G55" i="23"/>
  <c r="I49" i="1"/>
  <c r="F45" i="23"/>
  <c r="C47" i="23"/>
  <c r="C8" i="23"/>
  <c r="E15" i="1"/>
  <c r="I48" i="1"/>
  <c r="F43" i="24"/>
  <c r="C42" i="1"/>
  <c r="B29" i="1"/>
  <c r="C44" i="23"/>
  <c r="C29" i="24"/>
  <c r="D27" i="1"/>
  <c r="G55" i="24"/>
  <c r="D37" i="24"/>
  <c r="C45" i="1"/>
  <c r="C22" i="1"/>
  <c r="D52" i="1"/>
  <c r="G38" i="24"/>
  <c r="E52" i="1"/>
  <c r="F26" i="1"/>
  <c r="C54" i="23"/>
  <c r="F20" i="24"/>
  <c r="E10" i="24"/>
  <c r="D12" i="23"/>
  <c r="E40" i="24"/>
  <c r="B20" i="23"/>
  <c r="C52" i="23"/>
  <c r="D20" i="1"/>
  <c r="C14" i="23"/>
  <c r="D28" i="24"/>
  <c r="F52" i="23"/>
  <c r="C21" i="1"/>
  <c r="G52" i="23"/>
  <c r="D50" i="23"/>
  <c r="D14" i="24"/>
  <c r="B54" i="23"/>
  <c r="E16" i="24"/>
  <c r="E33" i="23"/>
  <c r="I40" i="1"/>
  <c r="C26" i="24"/>
  <c r="E16" i="1"/>
  <c r="F14" i="23"/>
  <c r="D46" i="23"/>
  <c r="C33" i="1"/>
  <c r="G30" i="24"/>
  <c r="G51" i="24"/>
  <c r="E23" i="23"/>
  <c r="E41" i="23"/>
  <c r="E39" i="23"/>
  <c r="I8" i="1"/>
  <c r="D13" i="24"/>
  <c r="G50" i="24"/>
  <c r="H38" i="1"/>
  <c r="D20" i="24"/>
  <c r="C15" i="1"/>
  <c r="C41" i="1"/>
  <c r="D26" i="24"/>
  <c r="F13" i="1"/>
  <c r="G34" i="1"/>
  <c r="B42" i="23"/>
  <c r="C28" i="1"/>
  <c r="G53" i="1"/>
  <c r="D51" i="24"/>
  <c r="B38" i="23"/>
  <c r="E40" i="1"/>
  <c r="H33" i="1"/>
  <c r="D47" i="1"/>
  <c r="G44" i="24"/>
  <c r="E9" i="24"/>
  <c r="B21" i="24"/>
  <c r="D54" i="1"/>
  <c r="F23" i="1"/>
  <c r="I9" i="1"/>
  <c r="G21" i="24"/>
  <c r="H32" i="1"/>
  <c r="F53" i="23"/>
  <c r="G53" i="24"/>
  <c r="C52" i="24"/>
  <c r="I29" i="1"/>
  <c r="C47" i="24"/>
  <c r="D39" i="24"/>
  <c r="F27" i="1"/>
  <c r="D45" i="24"/>
  <c r="C30" i="24"/>
  <c r="C51" i="1"/>
  <c r="G17" i="24"/>
  <c r="C30" i="1"/>
  <c r="D43" i="24"/>
  <c r="E52" i="23"/>
  <c r="E20" i="1"/>
  <c r="F49" i="1"/>
  <c r="G8" i="1"/>
  <c r="F25" i="24"/>
  <c r="G49" i="24"/>
  <c r="C45" i="23"/>
  <c r="C14" i="24"/>
  <c r="H18" i="1"/>
  <c r="B14" i="1"/>
  <c r="C19" i="23"/>
  <c r="G54" i="1"/>
  <c r="F37" i="23"/>
  <c r="E30" i="24"/>
  <c r="B26" i="1"/>
  <c r="B45" i="24"/>
  <c r="E35" i="1"/>
  <c r="B47" i="23"/>
  <c r="D16" i="23"/>
  <c r="E25" i="23"/>
  <c r="D26" i="23"/>
  <c r="C26" i="1"/>
  <c r="E34" i="24"/>
  <c r="F50" i="24"/>
  <c r="B27" i="1"/>
  <c r="D15" i="23"/>
  <c r="F15" i="23"/>
  <c r="F22" i="1"/>
  <c r="C51" i="23"/>
  <c r="D33" i="1"/>
  <c r="F49" i="24"/>
  <c r="F17" i="24"/>
  <c r="E43" i="24"/>
  <c r="B45" i="1"/>
  <c r="C36" i="1"/>
  <c r="C9" i="1"/>
  <c r="B51" i="23"/>
  <c r="F34" i="24"/>
  <c r="C37" i="1"/>
  <c r="B43" i="23"/>
  <c r="F8" i="24"/>
  <c r="E37" i="1"/>
  <c r="D7" i="1"/>
  <c r="I19" i="1"/>
  <c r="F38" i="23"/>
  <c r="C21" i="24"/>
  <c r="F20" i="23"/>
  <c r="B48" i="24"/>
  <c r="I16" i="1"/>
  <c r="G13" i="24"/>
  <c r="E24" i="23"/>
  <c r="C32" i="24"/>
  <c r="G52" i="1"/>
  <c r="C24" i="24"/>
  <c r="E18" i="24"/>
  <c r="D14" i="23"/>
  <c r="C23" i="23"/>
  <c r="I42" i="1"/>
  <c r="G35" i="24"/>
  <c r="C50" i="23"/>
  <c r="G36" i="1"/>
  <c r="B55" i="24"/>
  <c r="I52" i="1"/>
  <c r="D39" i="23"/>
  <c r="B23" i="23"/>
  <c r="G10" i="24"/>
  <c r="D30" i="24"/>
  <c r="E52" i="24"/>
  <c r="G53" i="23"/>
  <c r="B52" i="23"/>
  <c r="I23" i="1"/>
  <c r="G16" i="23"/>
  <c r="B24" i="1"/>
  <c r="C35" i="1"/>
  <c r="G40" i="1"/>
  <c r="G14" i="23"/>
  <c r="E53" i="23"/>
  <c r="G11" i="23"/>
  <c r="C48" i="1"/>
  <c r="C11" i="1"/>
  <c r="G47" i="23"/>
  <c r="D52" i="24"/>
  <c r="I37" i="1"/>
  <c r="D32" i="1"/>
  <c r="H46" i="1"/>
  <c r="D44" i="23"/>
  <c r="I34" i="1"/>
  <c r="B37" i="1"/>
  <c r="E32" i="23"/>
  <c r="B41" i="23"/>
  <c r="E47" i="24"/>
  <c r="C21" i="23"/>
  <c r="F29" i="24"/>
  <c r="B15" i="23"/>
  <c r="I21" i="1"/>
  <c r="E51" i="23"/>
  <c r="G39" i="23"/>
  <c r="F31" i="1"/>
  <c r="F28" i="1"/>
  <c r="H29" i="1"/>
  <c r="I39" i="1"/>
  <c r="C17" i="23"/>
  <c r="B19" i="1"/>
  <c r="I32" i="1"/>
  <c r="B14" i="24"/>
  <c r="B8" i="23"/>
  <c r="I46" i="1"/>
  <c r="B10" i="24"/>
  <c r="G34" i="24"/>
  <c r="B34" i="1"/>
  <c r="H11" i="1"/>
  <c r="F24" i="24"/>
  <c r="G31" i="24"/>
  <c r="C43" i="24"/>
  <c r="C25" i="23"/>
  <c r="C55" i="24"/>
  <c r="G31" i="1"/>
  <c r="B53" i="1"/>
  <c r="E22" i="1"/>
  <c r="E53" i="1"/>
  <c r="E29" i="23"/>
  <c r="G19" i="23"/>
  <c r="G29" i="1"/>
  <c r="E51" i="24"/>
  <c r="B38" i="1"/>
  <c r="B39" i="23"/>
  <c r="C13" i="24"/>
  <c r="D38" i="23"/>
  <c r="I54" i="1"/>
  <c r="F40" i="23"/>
  <c r="D47" i="23"/>
  <c r="C36" i="24"/>
  <c r="F30" i="1"/>
  <c r="E10" i="1"/>
  <c r="E37" i="24"/>
  <c r="I28" i="1"/>
  <c r="E47" i="1"/>
  <c r="B35" i="23"/>
  <c r="D48" i="23"/>
  <c r="G20" i="23"/>
  <c r="B46" i="23"/>
  <c r="B42" i="1"/>
  <c r="B21" i="1"/>
  <c r="C25" i="1"/>
  <c r="D14" i="1"/>
  <c r="B28" i="24"/>
  <c r="D55" i="1"/>
  <c r="C49" i="1"/>
  <c r="D48" i="24"/>
  <c r="F23" i="24"/>
  <c r="D36" i="24"/>
  <c r="C9" i="23"/>
  <c r="E49" i="1"/>
  <c r="B23" i="24"/>
  <c r="H36" i="1"/>
  <c r="H52" i="1"/>
  <c r="F52" i="24"/>
  <c r="D31" i="1"/>
  <c r="G37" i="24"/>
  <c r="D31" i="23"/>
  <c r="C8" i="24"/>
  <c r="G51" i="23"/>
  <c r="G32" i="23"/>
  <c r="H15" i="1"/>
  <c r="E17" i="24"/>
  <c r="F19" i="24"/>
  <c r="C13" i="23"/>
  <c r="G26" i="23"/>
  <c r="F51" i="23"/>
  <c r="D8" i="24"/>
  <c r="B7" i="24"/>
  <c r="D10" i="1"/>
  <c r="G50" i="1"/>
  <c r="H44" i="1"/>
  <c r="D24" i="23"/>
  <c r="D18" i="24"/>
  <c r="I25" i="1"/>
  <c r="D55" i="24"/>
  <c r="H34" i="1"/>
  <c r="B11" i="24"/>
  <c r="D23" i="24"/>
  <c r="F25" i="1"/>
  <c r="B11" i="23"/>
  <c r="B10" i="23"/>
  <c r="E19" i="1"/>
  <c r="B19" i="23"/>
  <c r="E46" i="24"/>
  <c r="G24" i="24"/>
  <c r="H19" i="1"/>
  <c r="D49" i="24"/>
  <c r="F28" i="24"/>
  <c r="B36" i="24"/>
  <c r="B12" i="24"/>
  <c r="G34" i="23"/>
  <c r="G51" i="1"/>
  <c r="H37" i="1"/>
  <c r="B50" i="23"/>
  <c r="G19" i="1"/>
  <c r="B25" i="23"/>
  <c r="B49" i="23"/>
  <c r="D55" i="23"/>
  <c r="B22" i="24"/>
  <c r="D11" i="24"/>
  <c r="F10" i="24"/>
  <c r="H17" i="1"/>
  <c r="G26" i="24"/>
  <c r="E34" i="1"/>
  <c r="C34" i="23"/>
  <c r="E7" i="1"/>
  <c r="E44" i="1"/>
  <c r="E32" i="1"/>
  <c r="D53" i="1"/>
  <c r="F54" i="23"/>
  <c r="F50" i="23"/>
  <c r="H39" i="1"/>
  <c r="B29" i="24"/>
  <c r="I50" i="1"/>
  <c r="D41" i="23"/>
  <c r="D24" i="24"/>
  <c r="C31" i="1"/>
  <c r="C52" i="1"/>
  <c r="D53" i="24"/>
  <c r="C29" i="23"/>
  <c r="F10" i="1"/>
  <c r="D48" i="1"/>
  <c r="H13" i="1"/>
  <c r="F44" i="1"/>
  <c r="G9" i="24"/>
  <c r="C53" i="1"/>
  <c r="F14" i="1"/>
  <c r="F47" i="23"/>
  <c r="D35" i="1"/>
  <c r="C11" i="23"/>
  <c r="C17" i="24"/>
  <c r="E36" i="24"/>
  <c r="G41" i="23"/>
  <c r="G37" i="23"/>
  <c r="I35" i="1"/>
  <c r="D38" i="24"/>
  <c r="C32" i="1"/>
  <c r="H30" i="1"/>
  <c r="B33" i="23"/>
  <c r="G48" i="23"/>
  <c r="D12" i="24"/>
  <c r="F46" i="1"/>
  <c r="G18" i="23"/>
  <c r="D27" i="24"/>
  <c r="E50" i="23"/>
  <c r="E13" i="24"/>
  <c r="C15" i="24"/>
  <c r="G47" i="1"/>
  <c r="F52" i="1"/>
  <c r="B24" i="23"/>
  <c r="B38" i="24"/>
  <c r="E26" i="24"/>
  <c r="G50" i="23"/>
  <c r="H55" i="1"/>
  <c r="G8" i="24"/>
  <c r="G20" i="1"/>
  <c r="D25" i="23"/>
  <c r="B32" i="24"/>
  <c r="F21" i="24"/>
  <c r="D19" i="1"/>
  <c r="C46" i="1"/>
  <c r="E7" i="24"/>
  <c r="G45" i="24"/>
  <c r="C19" i="24"/>
  <c r="B16" i="23"/>
  <c r="G32" i="1"/>
  <c r="C11" i="24"/>
  <c r="F40" i="24"/>
  <c r="G22" i="23"/>
  <c r="E42" i="1"/>
  <c r="G55" i="1"/>
  <c r="B22" i="23"/>
  <c r="B49" i="24"/>
  <c r="G9" i="1"/>
  <c r="H45" i="1"/>
  <c r="E54" i="24"/>
  <c r="B31" i="1"/>
  <c r="F30" i="24"/>
  <c r="B16" i="24"/>
  <c r="D13" i="1"/>
  <c r="F14" i="24"/>
  <c r="E38" i="23"/>
  <c r="I11" i="1"/>
  <c r="G27" i="24"/>
  <c r="E28" i="23"/>
  <c r="F35" i="23"/>
  <c r="C20" i="23"/>
  <c r="G17" i="23"/>
  <c r="G11" i="24"/>
  <c r="D22" i="1"/>
  <c r="E12" i="24"/>
  <c r="D30" i="1"/>
  <c r="E25" i="1"/>
  <c r="F53" i="24"/>
  <c r="E24" i="1"/>
  <c r="G43" i="23"/>
  <c r="C24" i="23"/>
  <c r="E48" i="1"/>
  <c r="H50" i="1"/>
  <c r="G17" i="1"/>
  <c r="C10" i="23"/>
  <c r="F33" i="1"/>
  <c r="E45" i="24"/>
  <c r="H23" i="1"/>
  <c r="E13" i="23"/>
  <c r="E22" i="23"/>
  <c r="E20" i="24"/>
  <c r="D18" i="23"/>
  <c r="B40" i="1"/>
  <c r="E50" i="24"/>
  <c r="I45" i="1"/>
  <c r="D33" i="23"/>
  <c r="G15" i="1"/>
  <c r="G36" i="23"/>
  <c r="B35" i="1"/>
  <c r="B41" i="1"/>
  <c r="C47" i="1"/>
  <c r="C49" i="24"/>
  <c r="F39" i="1"/>
  <c r="G23" i="23"/>
  <c r="I47" i="1"/>
  <c r="E21" i="1"/>
  <c r="C18" i="23"/>
  <c r="D43" i="23"/>
  <c r="D30" i="23"/>
  <c r="E36" i="1"/>
  <c r="E37" i="23"/>
  <c r="E35" i="23"/>
  <c r="D21" i="24"/>
  <c r="F7" i="23"/>
  <c r="B48" i="1"/>
  <c r="C51" i="24"/>
  <c r="G43" i="1"/>
  <c r="B20" i="24"/>
  <c r="H12" i="1"/>
  <c r="B23" i="1"/>
  <c r="B20" i="1"/>
  <c r="F30" i="23"/>
  <c r="E9" i="1"/>
  <c r="E44" i="24"/>
  <c r="B41" i="24"/>
  <c r="G41" i="1"/>
  <c r="B40" i="23"/>
  <c r="D35" i="24"/>
  <c r="E55" i="1"/>
  <c r="F55" i="23"/>
  <c r="E33" i="24"/>
  <c r="F41" i="24"/>
  <c r="E45" i="1"/>
  <c r="C38" i="23"/>
  <c r="D40" i="1"/>
  <c r="D10" i="24"/>
  <c r="C41" i="23"/>
  <c r="C48" i="23"/>
  <c r="C37" i="24"/>
  <c r="G24" i="23"/>
  <c r="F16" i="1"/>
  <c r="H48" i="1"/>
  <c r="F34" i="23"/>
  <c r="I38" i="1"/>
  <c r="B33" i="24"/>
  <c r="C29" i="1"/>
  <c r="C34" i="24"/>
  <c r="F42" i="1"/>
  <c r="C10" i="1"/>
  <c r="E42" i="24"/>
  <c r="B55" i="23"/>
  <c r="D28" i="23"/>
  <c r="C22" i="24"/>
  <c r="C38" i="1"/>
  <c r="C35" i="24"/>
  <c r="E11" i="24"/>
  <c r="H54" i="1"/>
  <c r="F48" i="23"/>
  <c r="B40" i="24"/>
  <c r="G46" i="24"/>
  <c r="C45" i="24"/>
  <c r="H47" i="1"/>
  <c r="B36" i="1"/>
  <c r="E15" i="24"/>
  <c r="E14" i="24"/>
  <c r="B35" i="24"/>
  <c r="B34" i="23"/>
  <c r="G14" i="24"/>
  <c r="G36" i="24"/>
  <c r="G42" i="1"/>
  <c r="G28" i="23"/>
  <c r="E7" i="23"/>
  <c r="H31" i="1"/>
  <c r="B44" i="24"/>
  <c r="F46" i="24"/>
  <c r="C24" i="1"/>
  <c r="B17" i="23"/>
  <c r="C8" i="1"/>
  <c r="D28" i="1"/>
  <c r="C44" i="1"/>
  <c r="C27" i="1"/>
  <c r="E30" i="23"/>
  <c r="G44" i="1"/>
  <c r="I55" i="1"/>
  <c r="E41" i="1"/>
  <c r="F36" i="1"/>
  <c r="F33" i="24"/>
  <c r="F51" i="24"/>
  <c r="E17" i="1"/>
  <c r="I31" i="1"/>
  <c r="B47" i="24"/>
  <c r="B7" i="1"/>
  <c r="F42" i="23"/>
  <c r="F32" i="1"/>
  <c r="E23" i="24"/>
  <c r="E27" i="24"/>
  <c r="D34" i="1"/>
  <c r="G41" i="24"/>
  <c r="E55" i="24"/>
  <c r="F45" i="24"/>
  <c r="E18" i="23"/>
  <c r="B17" i="24"/>
  <c r="F11" i="24"/>
  <c r="I22" i="1"/>
  <c r="F19" i="1"/>
  <c r="D15" i="1"/>
  <c r="G42" i="23"/>
  <c r="D43" i="1"/>
  <c r="I43" i="1"/>
  <c r="F36" i="23"/>
  <c r="F47" i="1"/>
  <c r="F45" i="1"/>
  <c r="E54" i="1"/>
  <c r="C7" i="1"/>
  <c r="B47" i="1"/>
  <c r="G43" i="24"/>
  <c r="E18" i="1"/>
  <c r="C40" i="24"/>
  <c r="D44" i="24"/>
  <c r="B28" i="23"/>
  <c r="F35" i="1"/>
  <c r="B14" i="23"/>
  <c r="D25" i="24"/>
  <c r="B51" i="24"/>
  <c r="E54" i="23"/>
  <c r="E20" i="23"/>
  <c r="C31" i="23"/>
  <c r="E11" i="23"/>
  <c r="B52" i="1"/>
  <c r="G28" i="1"/>
  <c r="B51" i="1"/>
  <c r="G47" i="24"/>
  <c r="G7" i="23"/>
  <c r="I7" i="1"/>
  <c r="D47" i="24"/>
  <c r="D44" i="1"/>
  <c r="G11" i="1"/>
  <c r="C23" i="1"/>
  <c r="G48" i="24"/>
  <c r="D17" i="23"/>
  <c r="B49" i="1"/>
  <c r="D21" i="23"/>
  <c r="F54" i="1"/>
  <c r="D37" i="23"/>
  <c r="C39" i="1"/>
  <c r="D19" i="24"/>
  <c r="C33" i="24"/>
  <c r="C16" i="23"/>
  <c r="E29" i="24"/>
  <c r="D36" i="23"/>
  <c r="C12" i="1"/>
  <c r="D19" i="23"/>
  <c r="C22" i="23"/>
  <c r="F13" i="24"/>
  <c r="C43" i="1"/>
  <c r="D34" i="24"/>
  <c r="C10" i="24"/>
  <c r="C10" i="26" l="1"/>
  <c r="D34" i="26"/>
  <c r="C43" i="13"/>
  <c r="F13" i="26"/>
  <c r="C22" i="25"/>
  <c r="D19" i="25"/>
  <c r="C12" i="13"/>
  <c r="D36" i="25"/>
  <c r="E29" i="26"/>
  <c r="C16" i="25"/>
  <c r="C33" i="26"/>
  <c r="D19" i="26"/>
  <c r="C39" i="13"/>
  <c r="D37" i="25"/>
  <c r="F54" i="13"/>
  <c r="D21" i="25"/>
  <c r="B49" i="13"/>
  <c r="D17" i="25"/>
  <c r="G48" i="26"/>
  <c r="C23" i="13"/>
  <c r="G11" i="13"/>
  <c r="D44" i="13"/>
  <c r="D47" i="26"/>
  <c r="I7" i="13"/>
  <c r="G7" i="25"/>
  <c r="G47" i="26"/>
  <c r="B51" i="13"/>
  <c r="G28" i="13"/>
  <c r="B52" i="13"/>
  <c r="E11" i="25"/>
  <c r="C31" i="25"/>
  <c r="E20" i="25"/>
  <c r="E54" i="25"/>
  <c r="B51" i="26"/>
  <c r="D25" i="26"/>
  <c r="B14" i="25"/>
  <c r="F35" i="13"/>
  <c r="B28" i="25"/>
  <c r="D44" i="26"/>
  <c r="C40" i="26"/>
  <c r="E18" i="13"/>
  <c r="G43" i="26"/>
  <c r="B47" i="13"/>
  <c r="C7" i="13"/>
  <c r="E54" i="13"/>
  <c r="F45" i="13"/>
  <c r="F47" i="13"/>
  <c r="F36" i="25"/>
  <c r="I43" i="13"/>
  <c r="D43" i="13"/>
  <c r="G42" i="25"/>
  <c r="D15" i="13"/>
  <c r="F19" i="13"/>
  <c r="I22" i="13"/>
  <c r="F11" i="26"/>
  <c r="B17" i="26"/>
  <c r="E18" i="25"/>
  <c r="F45" i="26"/>
  <c r="E55" i="26"/>
  <c r="G41" i="26"/>
  <c r="D34" i="13"/>
  <c r="E27" i="26"/>
  <c r="E23" i="26"/>
  <c r="F32" i="13"/>
  <c r="F42" i="25"/>
  <c r="B7" i="13"/>
  <c r="B47" i="26"/>
  <c r="I31" i="13"/>
  <c r="E17" i="13"/>
  <c r="F51" i="26"/>
  <c r="F33" i="26"/>
  <c r="F36" i="13"/>
  <c r="E41" i="13"/>
  <c r="I55" i="13"/>
  <c r="G44" i="13"/>
  <c r="E30" i="25"/>
  <c r="C27" i="13"/>
  <c r="C44" i="13"/>
  <c r="D28" i="13"/>
  <c r="C8" i="13"/>
  <c r="B17" i="25"/>
  <c r="C24" i="13"/>
  <c r="F46" i="26"/>
  <c r="B44" i="26"/>
  <c r="H31" i="13"/>
  <c r="E7" i="25"/>
  <c r="G28" i="25"/>
  <c r="G42" i="13"/>
  <c r="G36" i="26"/>
  <c r="G14" i="26"/>
  <c r="B34" i="25"/>
  <c r="B35" i="26"/>
  <c r="E14" i="26"/>
  <c r="E15" i="26"/>
  <c r="B36" i="13"/>
  <c r="H47" i="13"/>
  <c r="C45" i="26"/>
  <c r="G46" i="26"/>
  <c r="B40" i="26"/>
  <c r="F48" i="25"/>
  <c r="H54" i="13"/>
  <c r="E11" i="26"/>
  <c r="C35" i="26"/>
  <c r="C38" i="13"/>
  <c r="C22" i="26"/>
  <c r="D28" i="25"/>
  <c r="B55" i="25"/>
  <c r="E42" i="26"/>
  <c r="C10" i="13"/>
  <c r="F42" i="13"/>
  <c r="C34" i="26"/>
  <c r="C29" i="13"/>
  <c r="B33" i="26"/>
  <c r="I38" i="13"/>
  <c r="F34" i="25"/>
  <c r="H48" i="13"/>
  <c r="F16" i="13"/>
  <c r="G24" i="25"/>
  <c r="C37" i="26"/>
  <c r="C48" i="25"/>
  <c r="C41" i="25"/>
  <c r="D10" i="26"/>
  <c r="D40" i="13"/>
  <c r="C38" i="25"/>
  <c r="E45" i="13"/>
  <c r="F41" i="26"/>
  <c r="E33" i="26"/>
  <c r="F55" i="25"/>
  <c r="E55" i="13"/>
  <c r="D35" i="26"/>
  <c r="B40" i="25"/>
  <c r="G41" i="13"/>
  <c r="B41" i="26"/>
  <c r="E44" i="26"/>
  <c r="E9" i="13"/>
  <c r="F30" i="25"/>
  <c r="B20" i="13"/>
  <c r="B23" i="13"/>
  <c r="H12" i="13"/>
  <c r="B20" i="26"/>
  <c r="G43" i="13"/>
  <c r="C51" i="26"/>
  <c r="B48" i="13"/>
  <c r="F7" i="25"/>
  <c r="D21" i="26"/>
  <c r="E35" i="25"/>
  <c r="E37" i="25"/>
  <c r="E36" i="13"/>
  <c r="D30" i="25"/>
  <c r="D43" i="25"/>
  <c r="C18" i="25"/>
  <c r="E21" i="13"/>
  <c r="I47" i="13"/>
  <c r="G23" i="25"/>
  <c r="F39" i="13"/>
  <c r="C49" i="26"/>
  <c r="C47" i="13"/>
  <c r="B41" i="13"/>
  <c r="B35" i="13"/>
  <c r="G36" i="25"/>
  <c r="G15" i="13"/>
  <c r="D33" i="25"/>
  <c r="I45" i="13"/>
  <c r="E50" i="26"/>
  <c r="B40" i="13"/>
  <c r="D18" i="25"/>
  <c r="E20" i="26"/>
  <c r="E22" i="25"/>
  <c r="E13" i="25"/>
  <c r="H23" i="13"/>
  <c r="E45" i="26"/>
  <c r="F33" i="13"/>
  <c r="C10" i="25"/>
  <c r="G17" i="13"/>
  <c r="H50" i="13"/>
  <c r="E48" i="13"/>
  <c r="C24" i="25"/>
  <c r="G43" i="25"/>
  <c r="E24" i="13"/>
  <c r="F53" i="26"/>
  <c r="E25" i="13"/>
  <c r="D30" i="13"/>
  <c r="E12" i="26"/>
  <c r="D22" i="13"/>
  <c r="G11" i="26"/>
  <c r="G17" i="25"/>
  <c r="C20" i="25"/>
  <c r="F35" i="25"/>
  <c r="E28" i="25"/>
  <c r="G27" i="26"/>
  <c r="I11" i="13"/>
  <c r="E38" i="25"/>
  <c r="F14" i="26"/>
  <c r="D13" i="13"/>
  <c r="B16" i="26"/>
  <c r="F30" i="26"/>
  <c r="B31" i="13"/>
  <c r="E54" i="26"/>
  <c r="H45" i="13"/>
  <c r="G9" i="13"/>
  <c r="B49" i="26"/>
  <c r="B22" i="25"/>
  <c r="G55" i="13"/>
  <c r="E42" i="13"/>
  <c r="G22" i="25"/>
  <c r="F40" i="26"/>
  <c r="C11" i="26"/>
  <c r="G32" i="13"/>
  <c r="B16" i="25"/>
  <c r="C19" i="26"/>
  <c r="G45" i="26"/>
  <c r="E7" i="26"/>
  <c r="C46" i="13"/>
  <c r="D19" i="13"/>
  <c r="F21" i="26"/>
  <c r="B32" i="26"/>
  <c r="D25" i="25"/>
  <c r="G20" i="13"/>
  <c r="G8" i="26"/>
  <c r="H55" i="13"/>
  <c r="G50" i="25"/>
  <c r="E26" i="26"/>
  <c r="B38" i="26"/>
  <c r="B24" i="25"/>
  <c r="F52" i="13"/>
  <c r="G47" i="13"/>
  <c r="C15" i="26"/>
  <c r="E13" i="26"/>
  <c r="E50" i="25"/>
  <c r="D27" i="26"/>
  <c r="G18" i="25"/>
  <c r="F46" i="13"/>
  <c r="D12" i="26"/>
  <c r="G48" i="25"/>
  <c r="B33" i="25"/>
  <c r="H30" i="13"/>
  <c r="C32" i="13"/>
  <c r="D38" i="26"/>
  <c r="I35" i="13"/>
  <c r="G37" i="25"/>
  <c r="G41" i="25"/>
  <c r="E36" i="26"/>
  <c r="C17" i="26"/>
  <c r="C11" i="25"/>
  <c r="D35" i="13"/>
  <c r="F47" i="25"/>
  <c r="F14" i="13"/>
  <c r="C53" i="13"/>
  <c r="G9" i="26"/>
  <c r="F44" i="13"/>
  <c r="H13" i="13"/>
  <c r="D48" i="13"/>
  <c r="F10" i="13"/>
  <c r="C29" i="25"/>
  <c r="D53" i="26"/>
  <c r="C52" i="13"/>
  <c r="C31" i="13"/>
  <c r="D24" i="26"/>
  <c r="D41" i="25"/>
  <c r="I50" i="13"/>
  <c r="B29" i="26"/>
  <c r="H39" i="13"/>
  <c r="F50" i="25"/>
  <c r="F54" i="25"/>
  <c r="D53" i="13"/>
  <c r="E32" i="13"/>
  <c r="E44" i="13"/>
  <c r="E7" i="13"/>
  <c r="C34" i="25"/>
  <c r="E34" i="13"/>
  <c r="G26" i="26"/>
  <c r="H17" i="13"/>
  <c r="F10" i="26"/>
  <c r="D11" i="26"/>
  <c r="B22" i="26"/>
  <c r="D55" i="25"/>
  <c r="B49" i="25"/>
  <c r="B25" i="25"/>
  <c r="G19" i="13"/>
  <c r="B50" i="25"/>
  <c r="H37" i="13"/>
  <c r="G51" i="13"/>
  <c r="G34" i="25"/>
  <c r="B12" i="26"/>
  <c r="B36" i="26"/>
  <c r="F28" i="26"/>
  <c r="D49" i="26"/>
  <c r="H19" i="13"/>
  <c r="G24" i="26"/>
  <c r="E46" i="26"/>
  <c r="B19" i="25"/>
  <c r="E19" i="13"/>
  <c r="B10" i="25"/>
  <c r="B11" i="25"/>
  <c r="F25" i="13"/>
  <c r="D23" i="26"/>
  <c r="B11" i="26"/>
  <c r="H34" i="13"/>
  <c r="D55" i="26"/>
  <c r="I25" i="13"/>
  <c r="D18" i="26"/>
  <c r="D24" i="25"/>
  <c r="H44" i="13"/>
  <c r="G50" i="13"/>
  <c r="D10" i="13"/>
  <c r="B7" i="26"/>
  <c r="D8" i="26"/>
  <c r="F51" i="25"/>
  <c r="G26" i="25"/>
  <c r="C13" i="25"/>
  <c r="F19" i="26"/>
  <c r="E17" i="26"/>
  <c r="H15" i="13"/>
  <c r="G32" i="25"/>
  <c r="G51" i="25"/>
  <c r="C8" i="26"/>
  <c r="D31" i="25"/>
  <c r="G37" i="26"/>
  <c r="D31" i="13"/>
  <c r="F52" i="26"/>
  <c r="H52" i="13"/>
  <c r="H36" i="13"/>
  <c r="B23" i="26"/>
  <c r="E49" i="13"/>
  <c r="C9" i="25"/>
  <c r="D36" i="26"/>
  <c r="F23" i="26"/>
  <c r="D48" i="26"/>
  <c r="C49" i="13"/>
  <c r="D55" i="13"/>
  <c r="B28" i="26"/>
  <c r="D14" i="13"/>
  <c r="C25" i="13"/>
  <c r="B21" i="13"/>
  <c r="B42" i="13"/>
  <c r="B46" i="25"/>
  <c r="G20" i="25"/>
  <c r="D48" i="25"/>
  <c r="B35" i="25"/>
  <c r="E47" i="13"/>
  <c r="I28" i="13"/>
  <c r="E37" i="26"/>
  <c r="E10" i="13"/>
  <c r="F30" i="13"/>
  <c r="C36" i="26"/>
  <c r="D47" i="25"/>
  <c r="F40" i="25"/>
  <c r="I54" i="13"/>
  <c r="D38" i="25"/>
  <c r="C13" i="26"/>
  <c r="B39" i="25"/>
  <c r="B38" i="13"/>
  <c r="E51" i="26"/>
  <c r="G29" i="13"/>
  <c r="G19" i="25"/>
  <c r="E29" i="25"/>
  <c r="E53" i="13"/>
  <c r="E22" i="13"/>
  <c r="B53" i="13"/>
  <c r="G31" i="13"/>
  <c r="C55" i="26"/>
  <c r="C25" i="25"/>
  <c r="C43" i="26"/>
  <c r="G31" i="26"/>
  <c r="F24" i="26"/>
  <c r="H11" i="13"/>
  <c r="B34" i="13"/>
  <c r="G34" i="26"/>
  <c r="B10" i="26"/>
  <c r="I46" i="13"/>
  <c r="B8" i="25"/>
  <c r="B14" i="26"/>
  <c r="I32" i="13"/>
  <c r="B19" i="13"/>
  <c r="C17" i="25"/>
  <c r="I39" i="13"/>
  <c r="H29" i="13"/>
  <c r="F28" i="13"/>
  <c r="F31" i="13"/>
  <c r="G39" i="25"/>
  <c r="E51" i="25"/>
  <c r="I21" i="13"/>
  <c r="B15" i="25"/>
  <c r="F29" i="26"/>
  <c r="C21" i="25"/>
  <c r="E47" i="26"/>
  <c r="B41" i="25"/>
  <c r="E32" i="25"/>
  <c r="B37" i="13"/>
  <c r="I34" i="13"/>
  <c r="D44" i="25"/>
  <c r="H46" i="13"/>
  <c r="D32" i="13"/>
  <c r="I37" i="13"/>
  <c r="D52" i="26"/>
  <c r="G47" i="25"/>
  <c r="C11" i="13"/>
  <c r="C48" i="13"/>
  <c r="G11" i="25"/>
  <c r="E53" i="25"/>
  <c r="G14" i="25"/>
  <c r="G40" i="13"/>
  <c r="C35" i="13"/>
  <c r="B24" i="13"/>
  <c r="G16" i="25"/>
  <c r="I23" i="13"/>
  <c r="B52" i="25"/>
  <c r="G53" i="25"/>
  <c r="E52" i="26"/>
  <c r="D30" i="26"/>
  <c r="G10" i="26"/>
  <c r="B23" i="25"/>
  <c r="D39" i="25"/>
  <c r="I52" i="13"/>
  <c r="B55" i="26"/>
  <c r="G36" i="13"/>
  <c r="C50" i="25"/>
  <c r="G35" i="26"/>
  <c r="I42" i="13"/>
  <c r="C23" i="25"/>
  <c r="D14" i="25"/>
  <c r="E18" i="26"/>
  <c r="C24" i="26"/>
  <c r="G52" i="13"/>
  <c r="C32" i="26"/>
  <c r="E24" i="25"/>
  <c r="G13" i="26"/>
  <c r="I16" i="13"/>
  <c r="B48" i="26"/>
  <c r="F20" i="25"/>
  <c r="C21" i="26"/>
  <c r="F38" i="25"/>
  <c r="I19" i="13"/>
  <c r="D7" i="13"/>
  <c r="E37" i="13"/>
  <c r="F8" i="26"/>
  <c r="B43" i="25"/>
  <c r="C37" i="13"/>
  <c r="F34" i="26"/>
  <c r="B51" i="25"/>
  <c r="C9" i="13"/>
  <c r="C36" i="13"/>
  <c r="B45" i="13"/>
  <c r="E43" i="26"/>
  <c r="F17" i="26"/>
  <c r="F49" i="26"/>
  <c r="D33" i="13"/>
  <c r="C51" i="25"/>
  <c r="F22" i="13"/>
  <c r="F15" i="25"/>
  <c r="D15" i="25"/>
  <c r="B27" i="13"/>
  <c r="F50" i="26"/>
  <c r="E34" i="26"/>
  <c r="C26" i="13"/>
  <c r="D26" i="25"/>
  <c r="E25" i="25"/>
  <c r="D16" i="25"/>
  <c r="B47" i="25"/>
  <c r="E35" i="13"/>
  <c r="B45" i="26"/>
  <c r="B26" i="13"/>
  <c r="E30" i="26"/>
  <c r="F37" i="25"/>
  <c r="G54" i="13"/>
  <c r="C19" i="25"/>
  <c r="B14" i="13"/>
  <c r="H18" i="13"/>
  <c r="C14" i="26"/>
  <c r="C45" i="25"/>
  <c r="G49" i="26"/>
  <c r="F25" i="26"/>
  <c r="G8" i="13"/>
  <c r="F49" i="13"/>
  <c r="E20" i="13"/>
  <c r="E52" i="25"/>
  <c r="D43" i="26"/>
  <c r="C30" i="13"/>
  <c r="G17" i="26"/>
  <c r="C51" i="13"/>
  <c r="C30" i="26"/>
  <c r="D45" i="26"/>
  <c r="F27" i="13"/>
  <c r="D39" i="26"/>
  <c r="C47" i="26"/>
  <c r="I29" i="13"/>
  <c r="C52" i="26"/>
  <c r="G53" i="26"/>
  <c r="F53" i="25"/>
  <c r="H32" i="13"/>
  <c r="G21" i="26"/>
  <c r="I9" i="13"/>
  <c r="F23" i="13"/>
  <c r="D54" i="13"/>
  <c r="B21" i="26"/>
  <c r="E9" i="26"/>
  <c r="G44" i="26"/>
  <c r="D47" i="13"/>
  <c r="H33" i="13"/>
  <c r="E40" i="13"/>
  <c r="B38" i="25"/>
  <c r="D51" i="26"/>
  <c r="G53" i="13"/>
  <c r="C28" i="13"/>
  <c r="B42" i="25"/>
  <c r="G34" i="13"/>
  <c r="F13" i="13"/>
  <c r="D26" i="26"/>
  <c r="C41" i="13"/>
  <c r="C15" i="13"/>
  <c r="D20" i="26"/>
  <c r="H38" i="13"/>
  <c r="G50" i="26"/>
  <c r="D13" i="26"/>
  <c r="I8" i="13"/>
  <c r="E39" i="25"/>
  <c r="E41" i="25"/>
  <c r="E23" i="25"/>
  <c r="G51" i="26"/>
  <c r="G30" i="26"/>
  <c r="C33" i="13"/>
  <c r="D46" i="25"/>
  <c r="F14" i="25"/>
  <c r="E16" i="13"/>
  <c r="C26" i="26"/>
  <c r="I40" i="13"/>
  <c r="E33" i="25"/>
  <c r="E16" i="26"/>
  <c r="B54" i="25"/>
  <c r="D14" i="26"/>
  <c r="D50" i="25"/>
  <c r="G52" i="25"/>
  <c r="C21" i="13"/>
  <c r="F52" i="25"/>
  <c r="D28" i="26"/>
  <c r="C14" i="25"/>
  <c r="D20" i="13"/>
  <c r="C52" i="25"/>
  <c r="B20" i="25"/>
  <c r="E40" i="26"/>
  <c r="D12" i="25"/>
  <c r="E10" i="26"/>
  <c r="F20" i="26"/>
  <c r="C54" i="25"/>
  <c r="F26" i="13"/>
  <c r="E52" i="13"/>
  <c r="G38" i="26"/>
  <c r="D52" i="13"/>
  <c r="C22" i="13"/>
  <c r="C45" i="13"/>
  <c r="D37" i="26"/>
  <c r="G55" i="26"/>
  <c r="D27" i="13"/>
  <c r="C29" i="26"/>
  <c r="C44" i="25"/>
  <c r="B29" i="13"/>
  <c r="C42" i="13"/>
  <c r="F43" i="26"/>
  <c r="I48" i="13"/>
  <c r="E15" i="13"/>
  <c r="C8" i="25"/>
  <c r="C47" i="25"/>
  <c r="F45" i="25"/>
  <c r="I49" i="13"/>
  <c r="G55" i="25"/>
  <c r="G8" i="25"/>
  <c r="D49" i="13"/>
  <c r="E21" i="25"/>
  <c r="D9" i="13"/>
  <c r="H43" i="13"/>
  <c r="D17" i="13"/>
  <c r="I51" i="13"/>
  <c r="C18" i="26"/>
  <c r="C7" i="26"/>
  <c r="B19" i="26"/>
  <c r="B37" i="26"/>
  <c r="I30" i="13"/>
  <c r="B42" i="26"/>
  <c r="F29" i="13"/>
  <c r="D32" i="26"/>
  <c r="E28" i="26"/>
  <c r="E16" i="25"/>
  <c r="G45" i="13"/>
  <c r="E12" i="25"/>
  <c r="E49" i="26"/>
  <c r="F34" i="13"/>
  <c r="B25" i="13"/>
  <c r="B48" i="25"/>
  <c r="F38" i="13"/>
  <c r="B18" i="26"/>
  <c r="I26" i="13"/>
  <c r="C12" i="26"/>
  <c r="D18" i="13"/>
  <c r="C54" i="26"/>
  <c r="C42" i="25"/>
  <c r="B54" i="13"/>
  <c r="G35" i="13"/>
  <c r="E51" i="13"/>
  <c r="D31" i="26"/>
  <c r="G33" i="26"/>
  <c r="I13" i="13"/>
  <c r="D26" i="13"/>
  <c r="E21" i="26"/>
  <c r="F27" i="26"/>
  <c r="C42" i="26"/>
  <c r="F15" i="26"/>
  <c r="B53" i="26"/>
  <c r="B12" i="13"/>
  <c r="E24" i="26"/>
  <c r="F15" i="13"/>
  <c r="E48" i="25"/>
  <c r="G40" i="25"/>
  <c r="B46" i="26"/>
  <c r="C12" i="25"/>
  <c r="E27" i="25"/>
  <c r="D23" i="25"/>
  <c r="D21" i="13"/>
  <c r="B9" i="25"/>
  <c r="G25" i="25"/>
  <c r="F18" i="26"/>
  <c r="E34" i="25"/>
  <c r="B15" i="13"/>
  <c r="D9" i="26"/>
  <c r="H51" i="13"/>
  <c r="E33" i="13"/>
  <c r="D20" i="25"/>
  <c r="E23" i="13"/>
  <c r="G15" i="25"/>
  <c r="C49" i="25"/>
  <c r="I24" i="13"/>
  <c r="C39" i="26"/>
  <c r="F40" i="13"/>
  <c r="C50" i="13"/>
  <c r="F7" i="13"/>
  <c r="B24" i="26"/>
  <c r="E32" i="26"/>
  <c r="B43" i="13"/>
  <c r="E40" i="25"/>
  <c r="C53" i="26"/>
  <c r="D40" i="25"/>
  <c r="G40" i="26"/>
  <c r="E38" i="13"/>
  <c r="G27" i="25"/>
  <c r="H22" i="13"/>
  <c r="H27" i="13"/>
  <c r="D7" i="26"/>
  <c r="B9" i="13"/>
  <c r="D42" i="26"/>
  <c r="F26" i="26"/>
  <c r="E48" i="26"/>
  <c r="C50" i="26"/>
  <c r="C15" i="25"/>
  <c r="D17" i="26"/>
  <c r="I53" i="13"/>
  <c r="F48" i="26"/>
  <c r="H42" i="13"/>
  <c r="E31" i="26"/>
  <c r="C16" i="26"/>
  <c r="H24" i="13"/>
  <c r="D23" i="13"/>
  <c r="C31" i="26"/>
  <c r="D16" i="13"/>
  <c r="H21" i="13"/>
  <c r="D54" i="25"/>
  <c r="D29" i="26"/>
  <c r="E44" i="25"/>
  <c r="C9" i="26"/>
  <c r="F44" i="25"/>
  <c r="G49" i="25"/>
  <c r="D41" i="13"/>
  <c r="E30" i="13"/>
  <c r="G25" i="13"/>
  <c r="G25" i="26"/>
  <c r="F9" i="25"/>
  <c r="B46" i="13"/>
  <c r="D37" i="13"/>
  <c r="F31" i="26"/>
  <c r="H14" i="13"/>
  <c r="D54" i="26"/>
  <c r="F28" i="25"/>
  <c r="C37" i="25"/>
  <c r="H35" i="13"/>
  <c r="D41" i="26"/>
  <c r="F44" i="26"/>
  <c r="G19" i="26"/>
  <c r="B45" i="25"/>
  <c r="I44" i="13"/>
  <c r="C34" i="13"/>
  <c r="F54" i="26"/>
  <c r="H8" i="13"/>
  <c r="G28" i="26"/>
  <c r="F17" i="13"/>
  <c r="D11" i="25"/>
  <c r="I33" i="13"/>
  <c r="B31" i="26"/>
  <c r="D12" i="13"/>
  <c r="C55" i="13"/>
  <c r="D34" i="25"/>
  <c r="G16" i="26"/>
  <c r="E26" i="25"/>
  <c r="I41" i="13"/>
  <c r="C28" i="25"/>
  <c r="F46" i="25"/>
  <c r="F24" i="13"/>
  <c r="B28" i="13"/>
  <c r="C23" i="26"/>
  <c r="G12" i="25"/>
  <c r="F13" i="25"/>
  <c r="B16" i="13"/>
  <c r="F8" i="13"/>
  <c r="F39" i="26"/>
  <c r="B18" i="25"/>
  <c r="F41" i="13"/>
  <c r="C48" i="26"/>
  <c r="B32" i="13"/>
  <c r="D42" i="25"/>
  <c r="D42" i="13"/>
  <c r="C44" i="26"/>
  <c r="G23" i="26"/>
  <c r="F9" i="13"/>
  <c r="C14" i="13"/>
  <c r="G46" i="25"/>
  <c r="H41" i="13"/>
  <c r="D38" i="13"/>
  <c r="C55" i="25"/>
  <c r="E14" i="25"/>
  <c r="F11" i="25"/>
  <c r="I27" i="13"/>
  <c r="H16" i="13"/>
  <c r="C16" i="13"/>
  <c r="D22" i="26"/>
  <c r="B25" i="26"/>
  <c r="B26" i="26"/>
  <c r="H25" i="13"/>
  <c r="E25" i="26"/>
  <c r="B39" i="26"/>
  <c r="B37" i="25"/>
  <c r="D24" i="13"/>
  <c r="E31" i="25"/>
  <c r="E41" i="26"/>
  <c r="B55" i="13"/>
  <c r="B43" i="26"/>
  <c r="G7" i="13"/>
  <c r="B8" i="26"/>
  <c r="F8" i="25"/>
  <c r="D50" i="13"/>
  <c r="G21" i="13"/>
  <c r="F53" i="13"/>
  <c r="D51" i="25"/>
  <c r="E12" i="13"/>
  <c r="E19" i="26"/>
  <c r="G7" i="26"/>
  <c r="F12" i="26"/>
  <c r="C17" i="13"/>
  <c r="F18" i="13"/>
  <c r="F16" i="26"/>
  <c r="F12" i="25"/>
  <c r="B22" i="13"/>
  <c r="B18" i="13"/>
  <c r="E14" i="13"/>
  <c r="H49" i="13"/>
  <c r="B32" i="25"/>
  <c r="H10" i="13"/>
  <c r="E43" i="25"/>
  <c r="B12" i="25"/>
  <c r="B34" i="26"/>
  <c r="C54" i="13"/>
  <c r="G35" i="25"/>
  <c r="G52" i="26"/>
  <c r="D8" i="25"/>
  <c r="B33" i="13"/>
  <c r="D45" i="13"/>
  <c r="G30" i="25"/>
  <c r="I15" i="13"/>
  <c r="E27" i="13"/>
  <c r="G38" i="13"/>
  <c r="F24" i="25"/>
  <c r="E15" i="25"/>
  <c r="D25" i="13"/>
  <c r="B27" i="26"/>
  <c r="F55" i="13"/>
  <c r="B54" i="26"/>
  <c r="F50" i="13"/>
  <c r="C7" i="25"/>
  <c r="E46" i="13"/>
  <c r="B9" i="26"/>
  <c r="E43" i="13"/>
  <c r="E19" i="25"/>
  <c r="C19" i="13"/>
  <c r="E36" i="25"/>
  <c r="E45" i="25"/>
  <c r="G12" i="26"/>
  <c r="G10" i="25"/>
  <c r="G13" i="13"/>
  <c r="B21" i="25"/>
  <c r="G22" i="26"/>
  <c r="E26" i="13"/>
  <c r="C33" i="25"/>
  <c r="F10" i="25"/>
  <c r="G24" i="13"/>
  <c r="D45" i="25"/>
  <c r="C18" i="13"/>
  <c r="F22" i="26"/>
  <c r="B44" i="13"/>
  <c r="G45" i="25"/>
  <c r="B36" i="25"/>
  <c r="F23" i="25"/>
  <c r="F43" i="13"/>
  <c r="H26" i="13"/>
  <c r="B13" i="25"/>
  <c r="F37" i="13"/>
  <c r="C53" i="25"/>
  <c r="B29" i="25"/>
  <c r="F12" i="13"/>
  <c r="F55" i="26"/>
  <c r="E22" i="26"/>
  <c r="H53" i="13"/>
  <c r="F37" i="26"/>
  <c r="C36" i="25"/>
  <c r="B30" i="25"/>
  <c r="D13" i="25"/>
  <c r="D40" i="26"/>
  <c r="F17" i="25"/>
  <c r="G18" i="26"/>
  <c r="F35" i="26"/>
  <c r="G15" i="26"/>
  <c r="G54" i="25"/>
  <c r="G12" i="13"/>
  <c r="D52" i="25"/>
  <c r="G39" i="13"/>
  <c r="F26" i="25"/>
  <c r="F32" i="26"/>
  <c r="G22" i="13"/>
  <c r="C41" i="26"/>
  <c r="F38" i="26"/>
  <c r="G54" i="26"/>
  <c r="B50" i="13"/>
  <c r="D29" i="13"/>
  <c r="F21" i="25"/>
  <c r="B8" i="13"/>
  <c r="E49" i="25"/>
  <c r="G20" i="26"/>
  <c r="B53" i="25"/>
  <c r="D32" i="25"/>
  <c r="G27" i="13"/>
  <c r="D35" i="25"/>
  <c r="E35" i="26"/>
  <c r="B10" i="13"/>
  <c r="B11" i="13"/>
  <c r="I10" i="13"/>
  <c r="E53" i="26"/>
  <c r="G18" i="13"/>
  <c r="D8" i="13"/>
  <c r="D33" i="26"/>
  <c r="D9" i="25"/>
  <c r="F32" i="25"/>
  <c r="C13" i="13"/>
  <c r="E13" i="13"/>
  <c r="G14" i="13"/>
  <c r="B44" i="25"/>
  <c r="D16" i="26"/>
  <c r="D49" i="25"/>
  <c r="E55" i="25"/>
  <c r="C46" i="25"/>
  <c r="E9" i="25"/>
  <c r="F43" i="25"/>
  <c r="E38" i="26"/>
  <c r="C20" i="26"/>
  <c r="C32" i="25"/>
  <c r="D36" i="13"/>
  <c r="G33" i="13"/>
  <c r="F19" i="25"/>
  <c r="F7" i="26"/>
  <c r="F22" i="25"/>
  <c r="G29" i="26"/>
  <c r="E39" i="13"/>
  <c r="C38" i="26"/>
  <c r="E50" i="13"/>
  <c r="C35" i="25"/>
  <c r="G13" i="25"/>
  <c r="E8" i="13"/>
  <c r="F39" i="25"/>
  <c r="G39" i="26"/>
  <c r="C30" i="25"/>
  <c r="G29" i="25"/>
  <c r="G21" i="25"/>
  <c r="F36" i="26"/>
  <c r="C26" i="25"/>
  <c r="G48" i="13"/>
  <c r="D46" i="26"/>
  <c r="E46" i="25"/>
  <c r="G23" i="13"/>
  <c r="I36" i="13"/>
  <c r="B13" i="13"/>
  <c r="G38" i="25"/>
  <c r="G31" i="25"/>
  <c r="D53" i="25"/>
  <c r="G16" i="13"/>
  <c r="B26" i="25"/>
  <c r="C20" i="13"/>
  <c r="D29" i="25"/>
  <c r="B31" i="25"/>
  <c r="I18" i="13"/>
  <c r="G44" i="25"/>
  <c r="B13" i="26"/>
  <c r="F48" i="13"/>
  <c r="B15" i="26"/>
  <c r="G46" i="13"/>
  <c r="B52" i="26"/>
  <c r="F49" i="25"/>
  <c r="E10" i="25"/>
  <c r="G37" i="13"/>
  <c r="E47" i="25"/>
  <c r="F29" i="25"/>
  <c r="E42" i="25"/>
  <c r="I17" i="13"/>
  <c r="C25" i="26"/>
  <c r="G30" i="13"/>
  <c r="G49" i="13"/>
  <c r="F42" i="26"/>
  <c r="B50" i="26"/>
  <c r="E8" i="26"/>
  <c r="D27" i="25"/>
  <c r="F20" i="13"/>
  <c r="F18" i="25"/>
  <c r="F9" i="26"/>
  <c r="F41" i="25"/>
  <c r="G42" i="26"/>
  <c r="D51" i="13"/>
  <c r="D10" i="25"/>
  <c r="D46" i="13"/>
  <c r="G26" i="13"/>
  <c r="E29" i="13"/>
  <c r="H28" i="13"/>
  <c r="C46" i="26"/>
  <c r="H40" i="13"/>
  <c r="F16" i="25"/>
  <c r="D22" i="25"/>
  <c r="E8" i="25"/>
  <c r="C27" i="25"/>
  <c r="I20" i="13"/>
  <c r="C40" i="25"/>
  <c r="F25" i="25"/>
  <c r="C27" i="26"/>
  <c r="C40" i="13"/>
  <c r="H7" i="13"/>
  <c r="D50" i="26"/>
  <c r="G32" i="26"/>
  <c r="B17" i="13"/>
  <c r="E17" i="25"/>
  <c r="F51" i="13"/>
  <c r="D11" i="13"/>
  <c r="C28" i="26"/>
  <c r="D7" i="25"/>
  <c r="I14" i="13"/>
  <c r="F31" i="25"/>
  <c r="E28" i="13"/>
  <c r="G9" i="25"/>
  <c r="B30" i="26"/>
  <c r="B30" i="13"/>
  <c r="E11" i="13"/>
  <c r="B39" i="13"/>
  <c r="D39" i="13"/>
  <c r="F27" i="25"/>
  <c r="F11" i="13"/>
  <c r="E31" i="13"/>
  <c r="F47" i="26"/>
  <c r="H9" i="13"/>
  <c r="B27" i="25"/>
  <c r="H20" i="13"/>
  <c r="F33" i="25"/>
  <c r="B7" i="25"/>
  <c r="G10" i="13"/>
  <c r="D15" i="26"/>
  <c r="C43" i="25"/>
  <c r="E39" i="26"/>
  <c r="G33" i="25"/>
  <c r="F21" i="13"/>
  <c r="C39" i="25"/>
  <c r="I12" i="13"/>
</calcChain>
</file>

<file path=xl/sharedStrings.xml><?xml version="1.0" encoding="utf-8"?>
<sst xmlns="http://schemas.openxmlformats.org/spreadsheetml/2006/main" count="3812" uniqueCount="203">
  <si>
    <t>England</t>
  </si>
  <si>
    <t>Total</t>
  </si>
  <si>
    <t>The full set of fire statistics releases, tables and guidance can be found on our landing page, here-</t>
  </si>
  <si>
    <t>https://www.gov.uk/government/collections/fire-statistics</t>
  </si>
  <si>
    <t>Source: Home Office Operational Statistics Data Collection, figures supplied by fire and rescue authorities.</t>
  </si>
  <si>
    <t>Metropolitan fire and rescue authorities</t>
  </si>
  <si>
    <t>Non Metropolitan fire and rescue authorities</t>
  </si>
  <si>
    <t>Avon</t>
  </si>
  <si>
    <t>Bedfordshire</t>
  </si>
  <si>
    <t>Berkshire</t>
  </si>
  <si>
    <t>Buckinghamshire</t>
  </si>
  <si>
    <t>Cambridgeshire</t>
  </si>
  <si>
    <t>Cheshire</t>
  </si>
  <si>
    <t>Cleveland</t>
  </si>
  <si>
    <t>Cornwall</t>
  </si>
  <si>
    <t>Cumbria</t>
  </si>
  <si>
    <t>Derbyshire</t>
  </si>
  <si>
    <t>Devon and Somerset</t>
  </si>
  <si>
    <t>Dorset</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</si>
  <si>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</si>
  <si>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</si>
  <si>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</si>
  <si>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</si>
  <si>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</si>
  <si>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</si>
  <si>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</si>
  <si>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</si>
  <si>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</si>
  <si>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</si>
  <si>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</si>
  <si>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</si>
  <si>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</si>
  <si>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</si>
  <si>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</si>
  <si>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</si>
  <si>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</si>
  <si>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</si>
  <si>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West Fire Control</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</si>
  <si>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</si>
  <si>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</si>
  <si>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</si>
  <si>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</si>
  <si>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</si>
  <si>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</si>
  <si>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</si>
  <si>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</si>
  <si>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</si>
  <si>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</si>
  <si>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</si>
  <si>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</si>
  <si>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</si>
  <si>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</si>
  <si>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</si>
  <si>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Wiltshire</t>
  </si>
  <si>
    <t>2015-16</t>
  </si>
  <si>
    <t>Non-Metropolitan</t>
  </si>
  <si>
    <t>Devon &amp; Somerset</t>
  </si>
  <si>
    <t>Hereford &amp; Worcester</t>
  </si>
  <si>
    <t>Isle of Wight</t>
  </si>
  <si>
    <t>Metropolitan</t>
  </si>
  <si>
    <t>Tyne &amp; Wear</t>
  </si>
  <si>
    <t>FRA</t>
  </si>
  <si>
    <t>Select a year from the drop-down list in the orange box below:</t>
  </si>
  <si>
    <t>2014-15</t>
  </si>
  <si>
    <t>..</t>
  </si>
  <si>
    <t>2010-11</t>
  </si>
  <si>
    <t>2011-12</t>
  </si>
  <si>
    <t>2012-13</t>
  </si>
  <si>
    <t>2013-14</t>
  </si>
  <si>
    <t>2009-10</t>
  </si>
  <si>
    <t>The statistics in this table are Official Statistics.</t>
  </si>
  <si>
    <t>Source: DCLG Annual Returns</t>
  </si>
  <si>
    <t>Brigade Manager</t>
  </si>
  <si>
    <t>Area Manager</t>
  </si>
  <si>
    <t>Group Manager</t>
  </si>
  <si>
    <t>Station Manager</t>
  </si>
  <si>
    <t>Watch Manager</t>
  </si>
  <si>
    <t>Crew Manager</t>
  </si>
  <si>
    <t>Firefighter</t>
  </si>
  <si>
    <t>Appendix 3a. Fire and Rescue Service wholetime firefighters strength (full time equivalents) by role in England at 31 March 2015</t>
  </si>
  <si>
    <t>ENGLAND</t>
  </si>
  <si>
    <t>North West Control Fire</t>
  </si>
  <si>
    <t>Appendix 3b. Fire and Rescue Service retained duty system firefighters strength (24 hour units of cover) by role in England at 31 March 2015</t>
  </si>
  <si>
    <t>Appendix 3c. Fire and Rescue Service fire control personnel strength (full time equivalents) by role in England at 31 March 2015</t>
  </si>
  <si>
    <r>
      <t>Appendix 3a. Fire and Rescue Service wholetime firefighters strength (full time equivalents) by role in England at 31 March 2014</t>
    </r>
    <r>
      <rPr>
        <b/>
        <vertAlign val="superscript"/>
        <sz val="14"/>
        <color indexed="43"/>
        <rFont val="Arial"/>
        <family val="2"/>
      </rPr>
      <t>1</t>
    </r>
  </si>
  <si>
    <r>
      <t>Appendix 3b. Fire and Rescue Service retained duty system firefighters strength (24 hour units of cover) by role in England at 31 March 2014</t>
    </r>
    <r>
      <rPr>
        <b/>
        <vertAlign val="superscript"/>
        <sz val="14"/>
        <color indexed="43"/>
        <rFont val="Arial"/>
        <family val="2"/>
      </rPr>
      <t>1</t>
    </r>
  </si>
  <si>
    <r>
      <t>Appendix 3c. Fire and Rescue Service fire control personnel strength (full time equivalents) by role in England at 31 March 2014</t>
    </r>
    <r>
      <rPr>
        <b/>
        <vertAlign val="superscript"/>
        <sz val="14"/>
        <color indexed="43"/>
        <rFont val="Arial"/>
        <family val="2"/>
      </rPr>
      <t>1</t>
    </r>
  </si>
  <si>
    <r>
      <t>Appendix 3a. Fire and Rescue Service wholetime firefighters strength (full time equivalents) by role in England at 31 March 2013</t>
    </r>
    <r>
      <rPr>
        <b/>
        <vertAlign val="superscript"/>
        <sz val="14"/>
        <color indexed="43"/>
        <rFont val="Arial"/>
        <family val="2"/>
      </rPr>
      <t>1</t>
    </r>
  </si>
  <si>
    <t>1. In full time equivalents (FTEs)</t>
  </si>
  <si>
    <r>
      <t>Appendix 3b. Fire and Rescue Service retained duty system firefighters strength (24 hour units of cover) by role in England at 31 March 2013</t>
    </r>
    <r>
      <rPr>
        <b/>
        <vertAlign val="superscript"/>
        <sz val="14"/>
        <color indexed="43"/>
        <rFont val="Arial"/>
        <family val="2"/>
      </rPr>
      <t>1</t>
    </r>
  </si>
  <si>
    <r>
      <t>Hampshire</t>
    </r>
    <r>
      <rPr>
        <vertAlign val="superscript"/>
        <sz val="10"/>
        <rFont val="Arial"/>
        <family val="2"/>
      </rPr>
      <t>2</t>
    </r>
  </si>
  <si>
    <r>
      <t>West Midlands</t>
    </r>
    <r>
      <rPr>
        <vertAlign val="superscript"/>
        <sz val="10"/>
        <rFont val="Arial"/>
        <family val="2"/>
      </rPr>
      <t>2</t>
    </r>
  </si>
  <si>
    <r>
      <t>Greater London</t>
    </r>
    <r>
      <rPr>
        <vertAlign val="superscript"/>
        <sz val="10"/>
        <rFont val="Arial"/>
        <family val="2"/>
      </rPr>
      <t>2</t>
    </r>
  </si>
  <si>
    <t>1. In 24-hour units of cover</t>
  </si>
  <si>
    <t>2. London and West Midlands do not recruit retained duty system (RDS) firefighters</t>
  </si>
  <si>
    <r>
      <t>Appendix 3c. Fire and Rescue Service fire control personnel strength (full time equivalents) by role in England at 31 March 2013</t>
    </r>
    <r>
      <rPr>
        <b/>
        <vertAlign val="superscript"/>
        <sz val="14"/>
        <color indexed="43"/>
        <rFont val="Arial"/>
        <family val="2"/>
      </rPr>
      <t>1</t>
    </r>
  </si>
  <si>
    <r>
      <t>Appendix 3a. Fire and Rescue Service wholetime firefighters strength (full time equivalents) by role in England at 31 March 2012</t>
    </r>
    <r>
      <rPr>
        <b/>
        <vertAlign val="superscript"/>
        <sz val="14"/>
        <color indexed="43"/>
        <rFont val="Arial"/>
        <family val="2"/>
      </rPr>
      <t>1</t>
    </r>
  </si>
  <si>
    <r>
      <t>Northamptonshire</t>
    </r>
    <r>
      <rPr>
        <vertAlign val="superscript"/>
        <sz val="10"/>
        <rFont val="Arial"/>
        <family val="2"/>
      </rPr>
      <t>2</t>
    </r>
  </si>
  <si>
    <t>2. Northamptonshire are currently over established on wholetime staff due to project posts currently in operation and not part of the establishment. Significant projects and initiatives have required these project posts to be created.</t>
  </si>
  <si>
    <r>
      <t>Appendix 3b. Fire and Rescue Service retained duty system firefighters strength (24 hour units of cover) by role in England at 31 March 2012</t>
    </r>
    <r>
      <rPr>
        <b/>
        <vertAlign val="superscript"/>
        <sz val="14"/>
        <color indexed="43"/>
        <rFont val="Arial"/>
        <family val="2"/>
      </rPr>
      <t>1</t>
    </r>
  </si>
  <si>
    <r>
      <t>West Midlands</t>
    </r>
    <r>
      <rPr>
        <vertAlign val="superscript"/>
        <sz val="10"/>
        <rFont val="Arial"/>
        <family val="2"/>
      </rPr>
      <t>3</t>
    </r>
  </si>
  <si>
    <r>
      <t>Greater London</t>
    </r>
    <r>
      <rPr>
        <vertAlign val="superscript"/>
        <sz val="10"/>
        <rFont val="Arial"/>
        <family val="2"/>
      </rPr>
      <t>3</t>
    </r>
  </si>
  <si>
    <t>2. Merseyside revised figure for retained duty system firefighters in 24-hour units of cover</t>
  </si>
  <si>
    <t>3. London and West Midlands do not recruit retained duty system (RDS) firefighters</t>
  </si>
  <si>
    <r>
      <t>Appendix 3c. Fire and Rescue Service fire control personnel strength (full time equivalents) by role in England at 31 March 2012</t>
    </r>
    <r>
      <rPr>
        <b/>
        <vertAlign val="superscript"/>
        <sz val="14"/>
        <color indexed="43"/>
        <rFont val="Arial"/>
        <family val="2"/>
      </rPr>
      <t>1</t>
    </r>
  </si>
  <si>
    <r>
      <t>Cambridgeshire</t>
    </r>
    <r>
      <rPr>
        <vertAlign val="superscript"/>
        <sz val="10"/>
        <rFont val="Arial"/>
        <family val="2"/>
      </rPr>
      <t>2</t>
    </r>
  </si>
  <si>
    <r>
      <t>Suffolk</t>
    </r>
    <r>
      <rPr>
        <vertAlign val="superscript"/>
        <sz val="10"/>
        <rFont val="Arial"/>
        <family val="2"/>
      </rPr>
      <t>2</t>
    </r>
  </si>
  <si>
    <t>2. Cambridgeshire and Suffolk control rooms merged in 2011-12 and the merged control room is based in Cambridgeshire.</t>
  </si>
  <si>
    <r>
      <t>Appendix 3a. Fire and Rescue Service wholetime firefighters strength (full time equivalents) by role in England at 31 March 2011</t>
    </r>
    <r>
      <rPr>
        <b/>
        <vertAlign val="superscript"/>
        <sz val="14"/>
        <color indexed="43"/>
        <rFont val="Arial"/>
        <family val="2"/>
      </rPr>
      <t>1</t>
    </r>
  </si>
  <si>
    <r>
      <t>Appendix 3b. Fire and Rescue Service retained duty system firefighters strength (24 hour units of cover) by role in England at 31 March 2011</t>
    </r>
    <r>
      <rPr>
        <b/>
        <vertAlign val="superscript"/>
        <sz val="14"/>
        <color indexed="43"/>
        <rFont val="Arial"/>
        <family val="2"/>
      </rPr>
      <t>1</t>
    </r>
  </si>
  <si>
    <r>
      <t>Appendix 3c. Fire and Rescue Service fire control personnel strength (full time equivalents) by role in England at 31 March 2011</t>
    </r>
    <r>
      <rPr>
        <b/>
        <vertAlign val="superscript"/>
        <sz val="14"/>
        <color indexed="43"/>
        <rFont val="Arial"/>
        <family val="2"/>
      </rPr>
      <t>1</t>
    </r>
  </si>
  <si>
    <t>Note</t>
  </si>
  <si>
    <t>Some totals may not aggregate due to rounding</t>
  </si>
  <si>
    <t>FIRE STATISTICS TABLE 1102a: Total staff numbers (Full Time Equivalent) by role and fire authority - Wholetime Firefighters.</t>
  </si>
  <si>
    <t>FIRE STATISTICS TABLE 1102c: Total staff numbers (Full Time Equivalent) by role and fire authority - Fire Control.</t>
  </si>
  <si>
    <t>Dorset and Wiltshire</t>
  </si>
  <si>
    <t>Non-managerial Firefighter</t>
  </si>
  <si>
    <t>Non Managerial Firefighter</t>
  </si>
  <si>
    <t>Non managerial Firefighter</t>
  </si>
  <si>
    <t>Non managerial</t>
  </si>
  <si>
    <t>drop down menu works</t>
  </si>
  <si>
    <t>Mets = Sum of Mets</t>
  </si>
  <si>
    <t>Non Mets = Sum of Non Mets</t>
  </si>
  <si>
    <t>Total = Mets + Non Mets</t>
  </si>
  <si>
    <t>Check totals match 1101</t>
  </si>
  <si>
    <t>David</t>
  </si>
  <si>
    <t>No</t>
  </si>
  <si>
    <t>Paul</t>
  </si>
  <si>
    <t>Yes</t>
  </si>
  <si>
    <t>Checker</t>
  </si>
  <si>
    <t>Error?</t>
  </si>
  <si>
    <t>Comments</t>
  </si>
  <si>
    <t>Eliot</t>
  </si>
  <si>
    <t>Deborah</t>
  </si>
  <si>
    <t>Molly</t>
  </si>
  <si>
    <t>Newest year has been included</t>
  </si>
  <si>
    <t>Footnotes are relevant</t>
  </si>
  <si>
    <t>Notes are correct</t>
  </si>
  <si>
    <t>Links work</t>
  </si>
  <si>
    <t>Last updated date is correct</t>
  </si>
  <si>
    <t>Next update date is planned next  release period</t>
  </si>
  <si>
    <t>Checks left to do or resolve</t>
  </si>
  <si>
    <t>FRS</t>
  </si>
  <si>
    <t>Dorset &amp; Wiltshire</t>
  </si>
  <si>
    <t>Dorset FRS and Wiltshire FRS merged into one FRS on 1 April 2016. The previous results are published combined for ease of comparison.</t>
  </si>
  <si>
    <t>FIRE STATISTICS TABLE 1102b: Total staff numbers (Full Time Equivalent) by role and fire authority - On call firefighters.</t>
  </si>
  <si>
    <t>revised summer 2018</t>
  </si>
  <si>
    <t>Pink cells</t>
  </si>
  <si>
    <t>are the ones picked up in the macro</t>
  </si>
  <si>
    <t>red font</t>
  </si>
  <si>
    <t>are the cells you need to check are still correct</t>
  </si>
  <si>
    <t>Link_Start</t>
  </si>
  <si>
    <t>Year</t>
  </si>
  <si>
    <t>Return_Name</t>
  </si>
  <si>
    <t>FRS_Loop</t>
  </si>
  <si>
    <t>Link_End</t>
  </si>
  <si>
    <t>Sheet_Name_HR1</t>
  </si>
  <si>
    <t>Cell_Loop_HR1</t>
  </si>
  <si>
    <t>Cell_Loop_Desc_HR1</t>
  </si>
  <si>
    <t>2018_19</t>
  </si>
  <si>
    <t>\data supplied\HR\HR_</t>
  </si>
  <si>
    <t>HR1</t>
  </si>
  <si>
    <t>C18</t>
  </si>
  <si>
    <t>C16</t>
  </si>
  <si>
    <t>C14</t>
  </si>
  <si>
    <t>C15</t>
  </si>
  <si>
    <t>C17</t>
  </si>
  <si>
    <t>C19</t>
  </si>
  <si>
    <t>C20</t>
  </si>
  <si>
    <t>Brigade manager</t>
  </si>
  <si>
    <t>Area manager</t>
  </si>
  <si>
    <t>Group manager</t>
  </si>
  <si>
    <t>Station manager</t>
  </si>
  <si>
    <t>Watch manager</t>
  </si>
  <si>
    <t>Crew manager</t>
  </si>
  <si>
    <t>Role</t>
  </si>
  <si>
    <t>Count</t>
  </si>
  <si>
    <t>\\Poise.Homeoffice.Local\Home\RQG\Users\BeevorE\My Documents\003 Fire Operational Statistics\</t>
  </si>
  <si>
    <t>Cell_Loop_HR1(2)</t>
  </si>
  <si>
    <t>Cell_Loop_Desc_HR1(2)</t>
  </si>
  <si>
    <t>Cell_Loop_HR1(3)</t>
  </si>
  <si>
    <t>Cell_Loop_Desc_HR1(3)</t>
  </si>
  <si>
    <t>D16</t>
  </si>
  <si>
    <t>D17</t>
  </si>
  <si>
    <t>D18</t>
  </si>
  <si>
    <t>D19</t>
  </si>
  <si>
    <t>D20</t>
  </si>
  <si>
    <t>G16</t>
  </si>
  <si>
    <t>G17</t>
  </si>
  <si>
    <t>G18</t>
  </si>
  <si>
    <t>G19</t>
  </si>
  <si>
    <t>G20</t>
  </si>
  <si>
    <t>London is the biggest (except for retained)</t>
  </si>
  <si>
    <t>Next Update: Autumn 2020</t>
  </si>
  <si>
    <t>Contact: FireStatistics@homeoffice.gov.uk</t>
  </si>
  <si>
    <t>Isles of Scilly and Isle of Wight/North West Fire Control are the smallest</t>
  </si>
  <si>
    <t>Checks for 1102a, b and c</t>
  </si>
  <si>
    <t>Colleen</t>
  </si>
  <si>
    <t>Victoria</t>
  </si>
  <si>
    <t>Last Updated: 31 October 2019</t>
  </si>
  <si>
    <t>Total firefighters is sum of on call and wholetime</t>
  </si>
  <si>
    <t>Total staff is sum of total firefighters, fire control and support staff</t>
  </si>
  <si>
    <t>spot check some figures from raw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</si>
</sst>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7" x14ac:knownFonts="1">
    <font>
      <sz val="11"/>
      <color theme="1"/>
      <name val="Calibri"/>
      <family val="2"/>
      <scheme val="minor"/>
    </font>
    <font>
      <b/>
      <sz val="11"/>
      <color theme="1"/>
      <name val="Calibri"/>
      <family val="2"/>
      <scheme val="minor"/>
    </font>
    <font>
      <b/>
      <sz val="11"/>
      <color rgb="FFFFFFFF"/>
      <name val="Arial Black"/>
      <family val="2"/>
    </font>
    <font>
      <sz val="11"/>
      <color rgb="FF000000"/>
      <name val="Calibri"/>
      <family val="2"/>
    </font>
    <font>
      <b/>
      <sz val="11"/>
      <color rgb="FF000000"/>
      <name val="Calibri"/>
      <family val="2"/>
    </font>
    <font>
      <u/>
      <sz val="11"/>
      <color rgb="FF0563C1"/>
      <name val="Calibri"/>
      <family val="2"/>
    </font>
    <font>
      <sz val="10"/>
      <name val="MS Sans Serif"/>
      <family val="2"/>
    </font>
    <font>
      <b/>
      <sz val="14"/>
      <color indexed="43"/>
      <name val="Arial"/>
      <family val="2"/>
    </font>
    <font>
      <sz val="11"/>
      <name val="Arial"/>
      <family val="2"/>
    </font>
    <font>
      <b/>
      <sz val="11"/>
      <name val="Arial"/>
      <family val="2"/>
    </font>
    <font>
      <sz val="10"/>
      <name val="Arial"/>
      <family val="2"/>
    </font>
    <font>
      <b/>
      <sz val="10"/>
      <name val="Arial"/>
      <family val="2"/>
    </font>
    <font>
      <sz val="10"/>
      <name val="MS Sans Serif"/>
    </font>
    <font>
      <vertAlign val="superscript"/>
      <sz val="10"/>
      <name val="Arial"/>
      <family val="2"/>
    </font>
    <font>
      <sz val="12"/>
      <name val="Arial"/>
      <family val="2"/>
    </font>
    <font>
      <b/>
      <sz val="12"/>
      <name val="Arial"/>
      <family val="2"/>
    </font>
    <font>
      <b/>
      <vertAlign val="superscript"/>
      <sz val="14"/>
      <color indexed="43"/>
      <name val="Arial"/>
      <family val="2"/>
    </font>
    <font>
      <sz val="10"/>
      <color rgb="FFFF0000"/>
      <name val="Arial"/>
      <family val="2"/>
    </font>
    <font>
      <sz val="11"/>
      <color rgb="FFFF0000"/>
      <name val="Arial"/>
      <family val="2"/>
    </font>
    <font>
      <sz val="11"/>
      <color theme="1"/>
      <name val="Calibri"/>
      <family val="2"/>
      <scheme val="minor"/>
    </font>
    <font>
      <u/>
      <sz val="10"/>
      <color indexed="12"/>
      <name val="MS Sans Serif"/>
      <family val="2"/>
    </font>
    <font>
      <sz val="10"/>
      <name val="Arial"/>
    </font>
    <font>
      <u/>
      <sz val="10"/>
      <color indexed="12"/>
      <name val="MS Sans Serif"/>
    </font>
    <font>
      <sz val="11"/>
      <color rgb="FFFF0000"/>
      <name val="Calibri"/>
      <family val="2"/>
      <scheme val="minor"/>
    </font>
    <font>
      <sz val="10"/>
      <color rgb="FFFF0000"/>
      <name val="Calibri"/>
      <family val="2"/>
      <scheme val="minor"/>
    </font>
    <font>
      <sz val="11"/>
      <color theme="1"/>
      <name val="Arial"/>
      <family val="2"/>
    </font>
    <font>
      <sz val="10"/>
      <color theme="1"/>
      <name val="Arial"/>
      <family val="2"/>
    </font>
  </fonts>
  <fills count="15">
    <fill>
      <patternFill patternType="none"/>
    </fill>
    <fill>
      <patternFill patternType="gray125"/>
    </fill>
    <fill>
      <patternFill patternType="solid">
        <fgColor rgb="FFFF0000"/>
        <bgColor rgb="FFFF0000"/>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rgb="FFFFC000"/>
        <bgColor rgb="FFFFC000"/>
      </patternFill>
    </fill>
    <fill>
      <patternFill patternType="solid">
        <fgColor indexed="10"/>
        <bgColor indexed="64"/>
      </patternFill>
    </fill>
    <fill>
      <patternFill patternType="solid">
        <fgColor rgb="FF00B0F0"/>
        <bgColor indexed="64"/>
      </patternFill>
    </fill>
    <fill>
      <patternFill patternType="solid">
        <fgColor rgb="FFFFFFCC"/>
      </patternFill>
    </fill>
    <fill>
      <patternFill patternType="solid">
        <fgColor rgb="FFFF0000"/>
        <bgColor indexed="64"/>
      </patternFill>
    </fill>
    <fill>
      <patternFill patternType="solid">
        <fgColor indexed="42"/>
        <bgColor indexed="64"/>
      </patternFill>
    </fill>
    <fill>
      <patternFill patternType="solid">
        <fgColor indexed="43"/>
        <bgColor indexed="64"/>
      </patternFill>
    </fill>
    <fill>
      <patternFill patternType="solid">
        <fgColor rgb="FFFFCCFF"/>
        <bgColor indexed="64"/>
      </patternFill>
    </fill>
    <fill>
      <patternFill patternType="solid">
        <fgColor rgb="FF99CCFF"/>
        <bgColor indexed="64"/>
      </patternFill>
    </fill>
  </fills>
  <borders count="14">
    <border>
      <left/>
      <right/>
      <top/>
      <bottom/>
      <diagonal/>
    </border>
    <border>
      <left/>
      <right/>
      <top/>
      <bottom style="medium">
        <color rgb="FFFF0000"/>
      </bottom>
      <diagonal/>
    </border>
    <border>
      <left/>
      <right/>
      <top style="medium">
        <color rgb="FFFF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rgb="FFFF0000"/>
      </top>
      <bottom style="medium">
        <color rgb="FFFF0000"/>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3">
    <xf numFmtId="0" fontId="0" fillId="0" borderId="0"/>
    <xf numFmtId="0" fontId="3" fillId="0" borderId="0"/>
    <xf numFmtId="0" fontId="5" fillId="0" borderId="0" applyNumberFormat="0" applyFill="0" applyBorder="0" applyAlignment="0" applyProtection="0"/>
    <xf numFmtId="0" fontId="6" fillId="0" borderId="0"/>
    <xf numFmtId="0" fontId="10" fillId="0" borderId="0"/>
    <xf numFmtId="0" fontId="12" fillId="0" borderId="0"/>
    <xf numFmtId="9" fontId="6" fillId="0" borderId="0" applyFont="0" applyFill="0" applyBorder="0" applyAlignment="0" applyProtection="0"/>
    <xf numFmtId="9" fontId="12" fillId="0" borderId="0" applyFont="0" applyFill="0" applyBorder="0" applyAlignment="0" applyProtection="0"/>
    <xf numFmtId="0" fontId="10" fillId="0" borderId="0"/>
    <xf numFmtId="0" fontId="20" fillId="0" borderId="0" applyNumberFormat="0" applyFill="0" applyBorder="0" applyAlignment="0" applyProtection="0"/>
    <xf numFmtId="0" fontId="22" fillId="0" borderId="0" applyNumberFormat="0" applyFill="0" applyBorder="0" applyAlignment="0" applyProtection="0"/>
    <xf numFmtId="0" fontId="21" fillId="0" borderId="0"/>
    <xf numFmtId="0" fontId="19" fillId="9" borderId="8" applyNumberFormat="0" applyFont="0" applyAlignment="0" applyProtection="0"/>
  </cellStyleXfs>
  <cellXfs count="165">
    <xf numFmtId="0" fontId="0" fillId="0" borderId="0" xfId="0"/>
    <xf numFmtId="0" fontId="2" fillId="3" borderId="0" xfId="0" applyFont="1" applyFill="1" applyAlignment="1">
      <alignment wrapText="1"/>
    </xf>
    <xf numFmtId="0" fontId="0" fillId="4" borderId="0" xfId="0" applyFill="1" applyAlignment="1">
      <alignment wrapText="1"/>
    </xf>
    <xf numFmtId="0" fontId="0" fillId="5" borderId="0" xfId="0" applyFill="1" applyAlignment="1">
      <alignment wrapText="1"/>
    </xf>
    <xf numFmtId="0" fontId="0" fillId="4" borderId="0" xfId="0" applyFill="1"/>
    <xf numFmtId="0" fontId="0" fillId="5" borderId="0" xfId="0" applyFill="1"/>
    <xf numFmtId="0" fontId="0" fillId="5" borderId="0" xfId="0" applyFill="1" applyAlignment="1">
      <alignment horizontal="center"/>
    </xf>
    <xf numFmtId="0" fontId="0" fillId="5" borderId="0" xfId="0" applyFill="1" applyAlignment="1"/>
    <xf numFmtId="0" fontId="0" fillId="4" borderId="1" xfId="0" applyFill="1" applyBorder="1" applyAlignment="1">
      <alignment horizontal="left" vertical="center" wrapText="1"/>
    </xf>
    <xf numFmtId="0" fontId="0" fillId="4" borderId="0" xfId="0" applyFill="1" applyAlignment="1">
      <alignment horizontal="right" vertical="center" wrapText="1"/>
    </xf>
    <xf numFmtId="1" fontId="0" fillId="4" borderId="0" xfId="0" applyNumberFormat="1" applyFill="1"/>
    <xf numFmtId="164" fontId="0" fillId="5" borderId="0" xfId="0" applyNumberFormat="1" applyFill="1"/>
    <xf numFmtId="1" fontId="0" fillId="5" borderId="0" xfId="0" applyNumberFormat="1" applyFill="1"/>
    <xf numFmtId="3" fontId="0" fillId="5" borderId="0" xfId="0" applyNumberFormat="1" applyFill="1" applyBorder="1" applyAlignment="1">
      <alignment horizontal="right"/>
    </xf>
    <xf numFmtId="3" fontId="1" fillId="5" borderId="0" xfId="0" applyNumberFormat="1" applyFont="1" applyFill="1" applyBorder="1" applyAlignment="1">
      <alignment horizontal="right"/>
    </xf>
    <xf numFmtId="0" fontId="0" fillId="4" borderId="1" xfId="0" applyFill="1" applyBorder="1"/>
    <xf numFmtId="0" fontId="4" fillId="4" borderId="0" xfId="0" applyFont="1" applyFill="1"/>
    <xf numFmtId="0" fontId="5" fillId="4" borderId="0" xfId="2" applyFont="1" applyFill="1"/>
    <xf numFmtId="0" fontId="0" fillId="4" borderId="0" xfId="0" applyFill="1" applyAlignment="1">
      <alignment horizontal="right"/>
    </xf>
    <xf numFmtId="3" fontId="0" fillId="4" borderId="0" xfId="0" applyNumberFormat="1" applyFill="1"/>
    <xf numFmtId="0" fontId="8" fillId="0" borderId="0" xfId="3" applyFont="1" applyBorder="1" applyAlignment="1">
      <alignment vertical="center"/>
    </xf>
    <xf numFmtId="0" fontId="8" fillId="0" borderId="5" xfId="3" applyFont="1" applyBorder="1" applyAlignment="1">
      <alignment horizontal="right" vertical="center" wrapText="1"/>
    </xf>
    <xf numFmtId="0" fontId="9" fillId="0" borderId="5" xfId="3" applyFont="1" applyBorder="1" applyAlignment="1">
      <alignment horizontal="right" vertical="center" wrapText="1"/>
    </xf>
    <xf numFmtId="0" fontId="9" fillId="0" borderId="0" xfId="3" applyFont="1" applyBorder="1" applyAlignment="1">
      <alignment vertical="center"/>
    </xf>
    <xf numFmtId="3" fontId="8" fillId="0" borderId="0" xfId="3" applyNumberFormat="1" applyFont="1" applyBorder="1" applyAlignment="1">
      <alignment vertical="center"/>
    </xf>
    <xf numFmtId="0" fontId="8" fillId="0" borderId="0" xfId="3" applyFont="1" applyAlignment="1">
      <alignment vertical="center"/>
    </xf>
    <xf numFmtId="3" fontId="9" fillId="0" borderId="0" xfId="3" applyNumberFormat="1" applyFont="1" applyBorder="1" applyAlignment="1">
      <alignment horizontal="right" vertical="center"/>
    </xf>
    <xf numFmtId="0" fontId="10" fillId="0" borderId="0" xfId="3" applyFont="1" applyAlignment="1">
      <alignment vertical="center"/>
    </xf>
    <xf numFmtId="0" fontId="10" fillId="0" borderId="0" xfId="3" applyFont="1" applyBorder="1" applyAlignment="1">
      <alignment vertical="center"/>
    </xf>
    <xf numFmtId="0" fontId="10" fillId="0" borderId="0" xfId="3" applyFont="1" applyFill="1" applyBorder="1" applyAlignment="1">
      <alignment vertical="center"/>
    </xf>
    <xf numFmtId="0" fontId="0" fillId="4" borderId="1" xfId="0" applyFill="1" applyBorder="1" applyAlignment="1">
      <alignment horizontal="center"/>
    </xf>
    <xf numFmtId="0" fontId="4" fillId="4" borderId="0" xfId="1" applyFont="1" applyFill="1" applyAlignment="1">
      <alignment vertical="center"/>
    </xf>
    <xf numFmtId="0" fontId="3" fillId="5" borderId="0" xfId="1" applyFill="1"/>
    <xf numFmtId="0" fontId="1" fillId="4" borderId="0" xfId="0" applyFont="1" applyFill="1"/>
    <xf numFmtId="0" fontId="1" fillId="4" borderId="2" xfId="0" applyFont="1" applyFill="1" applyBorder="1"/>
    <xf numFmtId="0" fontId="1" fillId="4" borderId="0" xfId="0" applyFont="1" applyFill="1" applyBorder="1"/>
    <xf numFmtId="0" fontId="8" fillId="0" borderId="0" xfId="5" applyFont="1" applyBorder="1" applyAlignment="1">
      <alignment vertical="center"/>
    </xf>
    <xf numFmtId="0" fontId="9" fillId="0" borderId="0" xfId="5" applyFont="1" applyBorder="1" applyAlignment="1">
      <alignment vertical="center"/>
    </xf>
    <xf numFmtId="0" fontId="8" fillId="0" borderId="0" xfId="5" applyFont="1" applyAlignment="1">
      <alignment vertical="center"/>
    </xf>
    <xf numFmtId="3" fontId="9" fillId="0" borderId="0" xfId="5" applyNumberFormat="1" applyFont="1" applyBorder="1" applyAlignment="1">
      <alignment horizontal="right" vertical="center"/>
    </xf>
    <xf numFmtId="0" fontId="10" fillId="0" borderId="0" xfId="5" applyFont="1" applyAlignment="1">
      <alignment vertical="center"/>
    </xf>
    <xf numFmtId="0" fontId="0" fillId="4" borderId="1" xfId="0" applyFill="1" applyBorder="1" applyAlignment="1">
      <alignment horizontal="center"/>
    </xf>
    <xf numFmtId="0" fontId="10" fillId="0" borderId="5" xfId="3" applyFont="1" applyBorder="1" applyAlignment="1">
      <alignment vertical="center"/>
    </xf>
    <xf numFmtId="3" fontId="10" fillId="0" borderId="0" xfId="3" applyNumberFormat="1" applyFont="1" applyBorder="1" applyAlignment="1">
      <alignment vertical="center"/>
    </xf>
    <xf numFmtId="0" fontId="10" fillId="0" borderId="5" xfId="5" applyFont="1" applyBorder="1" applyAlignment="1">
      <alignment vertical="center"/>
    </xf>
    <xf numFmtId="3" fontId="10" fillId="0" borderId="0" xfId="5" applyNumberFormat="1" applyFont="1" applyBorder="1" applyAlignment="1">
      <alignment vertical="center"/>
    </xf>
    <xf numFmtId="0" fontId="0" fillId="4" borderId="0" xfId="0" applyFill="1" applyAlignment="1">
      <alignment horizontal="left" wrapText="1"/>
    </xf>
    <xf numFmtId="0" fontId="0" fillId="4" borderId="1" xfId="0" applyFill="1" applyBorder="1" applyAlignment="1">
      <alignment horizontal="center"/>
    </xf>
    <xf numFmtId="0" fontId="14" fillId="0" borderId="0" xfId="5" applyFont="1" applyFill="1" applyBorder="1" applyAlignment="1">
      <alignment vertical="center"/>
    </xf>
    <xf numFmtId="3" fontId="0" fillId="5" borderId="0" xfId="0" applyNumberFormat="1" applyFont="1" applyFill="1" applyBorder="1" applyAlignment="1">
      <alignment horizontal="right"/>
    </xf>
    <xf numFmtId="0" fontId="10" fillId="0" borderId="0" xfId="5" applyFont="1" applyBorder="1" applyAlignment="1">
      <alignment vertical="center"/>
    </xf>
    <xf numFmtId="0" fontId="14" fillId="0" borderId="0" xfId="3" applyFont="1" applyBorder="1" applyAlignment="1">
      <alignment vertical="center"/>
    </xf>
    <xf numFmtId="0" fontId="14" fillId="0" borderId="5" xfId="3" applyFont="1" applyBorder="1" applyAlignment="1">
      <alignment vertical="center"/>
    </xf>
    <xf numFmtId="3" fontId="9" fillId="0" borderId="0" xfId="3" applyNumberFormat="1" applyFont="1" applyBorder="1" applyAlignment="1">
      <alignment vertical="center"/>
    </xf>
    <xf numFmtId="3" fontId="9" fillId="0" borderId="0" xfId="3" applyNumberFormat="1" applyFont="1" applyFill="1" applyBorder="1" applyAlignment="1">
      <alignment vertical="center"/>
    </xf>
    <xf numFmtId="3" fontId="10" fillId="0" borderId="0" xfId="3" applyNumberFormat="1" applyFont="1" applyFill="1" applyBorder="1" applyAlignment="1">
      <alignment vertical="center"/>
    </xf>
    <xf numFmtId="3" fontId="11" fillId="0" borderId="0" xfId="3" applyNumberFormat="1" applyFont="1" applyFill="1" applyBorder="1" applyAlignment="1">
      <alignment vertical="center"/>
    </xf>
    <xf numFmtId="3" fontId="10" fillId="0" borderId="5" xfId="3" applyNumberFormat="1" applyFont="1" applyFill="1" applyBorder="1" applyAlignment="1">
      <alignment vertical="center"/>
    </xf>
    <xf numFmtId="3" fontId="11" fillId="0" borderId="5" xfId="3" applyNumberFormat="1" applyFont="1" applyFill="1" applyBorder="1" applyAlignment="1">
      <alignment vertical="center"/>
    </xf>
    <xf numFmtId="3" fontId="14" fillId="0" borderId="0" xfId="3" applyNumberFormat="1" applyFont="1" applyBorder="1" applyAlignment="1">
      <alignment vertical="center"/>
    </xf>
    <xf numFmtId="9" fontId="14" fillId="0" borderId="0" xfId="6" applyFont="1" applyBorder="1" applyAlignment="1">
      <alignment vertical="center"/>
    </xf>
    <xf numFmtId="3" fontId="14" fillId="0" borderId="0" xfId="3" applyNumberFormat="1" applyFont="1" applyFill="1" applyBorder="1" applyAlignment="1">
      <alignment vertical="center"/>
    </xf>
    <xf numFmtId="0" fontId="15" fillId="0" borderId="0" xfId="3" applyFont="1" applyBorder="1" applyAlignment="1">
      <alignment vertical="center"/>
    </xf>
    <xf numFmtId="0" fontId="10" fillId="0" borderId="0" xfId="4" applyFont="1" applyBorder="1" applyAlignment="1">
      <alignment vertical="center"/>
    </xf>
    <xf numFmtId="0" fontId="0" fillId="4" borderId="6" xfId="0" applyFill="1" applyBorder="1" applyAlignment="1">
      <alignment horizontal="center" vertical="center" wrapText="1"/>
    </xf>
    <xf numFmtId="0" fontId="0" fillId="4" borderId="6" xfId="0" applyFill="1" applyBorder="1" applyAlignment="1">
      <alignment horizontal="right" vertical="center" wrapText="1"/>
    </xf>
    <xf numFmtId="0" fontId="1" fillId="4" borderId="6" xfId="0" applyFont="1" applyFill="1" applyBorder="1" applyAlignment="1">
      <alignment horizontal="right" vertical="center" wrapText="1"/>
    </xf>
    <xf numFmtId="0" fontId="10" fillId="8" borderId="0" xfId="3" applyFont="1" applyFill="1" applyBorder="1" applyAlignment="1">
      <alignment vertical="center"/>
    </xf>
    <xf numFmtId="3" fontId="10" fillId="8" borderId="0" xfId="3" applyNumberFormat="1" applyFont="1" applyFill="1" applyBorder="1" applyAlignment="1">
      <alignment horizontal="right" vertical="center"/>
    </xf>
    <xf numFmtId="0" fontId="14" fillId="0" borderId="0" xfId="5" applyFont="1" applyBorder="1" applyAlignment="1">
      <alignment vertical="center"/>
    </xf>
    <xf numFmtId="0" fontId="8" fillId="0" borderId="5" xfId="5" applyFont="1" applyBorder="1" applyAlignment="1">
      <alignment horizontal="right" vertical="center" wrapText="1"/>
    </xf>
    <xf numFmtId="0" fontId="9" fillId="0" borderId="5" xfId="5" applyFont="1" applyBorder="1" applyAlignment="1">
      <alignment horizontal="right" vertical="center" wrapText="1"/>
    </xf>
    <xf numFmtId="3" fontId="9" fillId="0" borderId="0" xfId="5" applyNumberFormat="1" applyFont="1" applyBorder="1" applyAlignment="1">
      <alignment vertical="center"/>
    </xf>
    <xf numFmtId="3" fontId="8" fillId="0" borderId="0" xfId="5" applyNumberFormat="1" applyFont="1" applyBorder="1" applyAlignment="1">
      <alignment vertical="center"/>
    </xf>
    <xf numFmtId="3" fontId="9" fillId="0" borderId="0" xfId="5" applyNumberFormat="1" applyFont="1" applyFill="1" applyBorder="1" applyAlignment="1">
      <alignment vertical="center"/>
    </xf>
    <xf numFmtId="3" fontId="10" fillId="0" borderId="0" xfId="5" applyNumberFormat="1" applyFont="1" applyFill="1" applyBorder="1" applyAlignment="1">
      <alignment vertical="center"/>
    </xf>
    <xf numFmtId="3" fontId="11" fillId="0" borderId="0" xfId="5" applyNumberFormat="1" applyFont="1" applyFill="1" applyBorder="1" applyAlignment="1">
      <alignment vertical="center"/>
    </xf>
    <xf numFmtId="0" fontId="10" fillId="0" borderId="0" xfId="5" applyFont="1" applyFill="1" applyBorder="1" applyAlignment="1">
      <alignment vertical="center"/>
    </xf>
    <xf numFmtId="3" fontId="10" fillId="0" borderId="5" xfId="5" applyNumberFormat="1" applyFont="1" applyFill="1" applyBorder="1" applyAlignment="1">
      <alignment vertical="center"/>
    </xf>
    <xf numFmtId="3" fontId="11" fillId="0" borderId="5" xfId="5" applyNumberFormat="1" applyFont="1" applyFill="1" applyBorder="1" applyAlignment="1">
      <alignment vertical="center"/>
    </xf>
    <xf numFmtId="3" fontId="14" fillId="0" borderId="0" xfId="5" applyNumberFormat="1" applyFont="1" applyFill="1" applyBorder="1" applyAlignment="1">
      <alignment vertical="center"/>
    </xf>
    <xf numFmtId="0" fontId="15" fillId="0" borderId="0" xfId="5" applyFont="1" applyBorder="1" applyAlignment="1">
      <alignment vertical="center"/>
    </xf>
    <xf numFmtId="3" fontId="14" fillId="0" borderId="0" xfId="5" applyNumberFormat="1" applyFont="1" applyBorder="1" applyAlignment="1">
      <alignment vertical="center"/>
    </xf>
    <xf numFmtId="0" fontId="14" fillId="0" borderId="5" xfId="5" applyFont="1" applyBorder="1" applyAlignment="1">
      <alignment vertical="center"/>
    </xf>
    <xf numFmtId="9" fontId="14" fillId="0" borderId="0" xfId="7" applyFont="1" applyBorder="1" applyAlignment="1">
      <alignment vertical="center"/>
    </xf>
    <xf numFmtId="0" fontId="8" fillId="0" borderId="4" xfId="5" applyFont="1" applyBorder="1" applyAlignment="1">
      <alignment horizontal="right" vertical="center" wrapText="1"/>
    </xf>
    <xf numFmtId="165" fontId="8" fillId="0" borderId="0" xfId="5" applyNumberFormat="1" applyFont="1" applyBorder="1" applyAlignment="1">
      <alignment vertical="center"/>
    </xf>
    <xf numFmtId="3" fontId="10" fillId="0" borderId="0" xfId="5" applyNumberFormat="1" applyFont="1" applyFill="1" applyAlignment="1">
      <alignment vertical="center"/>
    </xf>
    <xf numFmtId="3" fontId="8" fillId="0" borderId="0" xfId="4" applyNumberFormat="1" applyFont="1" applyFill="1" applyBorder="1" applyAlignment="1">
      <alignment vertical="center"/>
    </xf>
    <xf numFmtId="3" fontId="10" fillId="0" borderId="0" xfId="4" applyNumberFormat="1" applyFont="1" applyFill="1" applyBorder="1" applyAlignment="1">
      <alignment vertical="center"/>
    </xf>
    <xf numFmtId="0" fontId="0" fillId="4" borderId="0" xfId="0" applyFill="1" applyAlignment="1">
      <alignment horizontal="left" wrapText="1"/>
    </xf>
    <xf numFmtId="3" fontId="17" fillId="0" borderId="0" xfId="5" applyNumberFormat="1" applyFont="1" applyBorder="1" applyAlignment="1">
      <alignment vertical="center"/>
    </xf>
    <xf numFmtId="3" fontId="9" fillId="0" borderId="0" xfId="0" applyNumberFormat="1" applyFont="1" applyBorder="1" applyAlignment="1">
      <alignment vertical="center"/>
    </xf>
    <xf numFmtId="3" fontId="9"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9" fillId="0" borderId="0" xfId="0" applyNumberFormat="1" applyFont="1" applyBorder="1" applyAlignment="1">
      <alignment horizontal="right" vertical="center"/>
    </xf>
    <xf numFmtId="3" fontId="10" fillId="0" borderId="5" xfId="0" applyNumberFormat="1" applyFont="1" applyFill="1" applyBorder="1" applyAlignment="1">
      <alignment vertical="center"/>
    </xf>
    <xf numFmtId="0" fontId="10" fillId="0" borderId="0" xfId="0" applyFont="1" applyBorder="1" applyAlignment="1">
      <alignment vertical="center"/>
    </xf>
    <xf numFmtId="3" fontId="11" fillId="0" borderId="0" xfId="0" applyNumberFormat="1" applyFont="1" applyFill="1" applyBorder="1" applyAlignment="1">
      <alignment vertical="center"/>
    </xf>
    <xf numFmtId="3" fontId="10" fillId="0" borderId="0" xfId="0" applyNumberFormat="1" applyFont="1" applyFill="1" applyAlignment="1">
      <alignment vertical="center"/>
    </xf>
    <xf numFmtId="3" fontId="0" fillId="0" borderId="0" xfId="0" applyNumberFormat="1"/>
    <xf numFmtId="0" fontId="1" fillId="4" borderId="0" xfId="0" applyFont="1" applyFill="1" applyAlignment="1">
      <alignment horizontal="left" wrapText="1"/>
    </xf>
    <xf numFmtId="3" fontId="18" fillId="0" borderId="0" xfId="5" applyNumberFormat="1" applyFont="1" applyBorder="1" applyAlignment="1">
      <alignment vertical="center"/>
    </xf>
    <xf numFmtId="0" fontId="1" fillId="4" borderId="6" xfId="0" applyFont="1" applyFill="1" applyBorder="1" applyAlignment="1">
      <alignment horizontal="center" vertical="center" wrapText="1"/>
    </xf>
    <xf numFmtId="0" fontId="1" fillId="0" borderId="0" xfId="0" applyFont="1"/>
    <xf numFmtId="0" fontId="1" fillId="0" borderId="0" xfId="0" applyFont="1" applyAlignment="1">
      <alignment horizontal="center"/>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xf numFmtId="1" fontId="0" fillId="4" borderId="0" xfId="0" applyNumberFormat="1" applyFill="1" applyAlignment="1"/>
    <xf numFmtId="0" fontId="4" fillId="4" borderId="0" xfId="0" applyFont="1" applyFill="1" applyAlignment="1"/>
    <xf numFmtId="0" fontId="5" fillId="4" borderId="0" xfId="2" applyFont="1" applyFill="1" applyAlignment="1"/>
    <xf numFmtId="3" fontId="0" fillId="5" borderId="2" xfId="0" applyNumberFormat="1" applyFill="1" applyBorder="1" applyAlignment="1">
      <alignment horizontal="right"/>
    </xf>
    <xf numFmtId="3" fontId="1" fillId="5" borderId="2" xfId="0" applyNumberFormat="1" applyFont="1" applyFill="1" applyBorder="1" applyAlignment="1">
      <alignment horizontal="right"/>
    </xf>
    <xf numFmtId="0" fontId="0" fillId="4" borderId="0" xfId="0" applyFill="1" applyBorder="1"/>
    <xf numFmtId="0" fontId="0" fillId="5" borderId="2" xfId="0" applyFill="1" applyBorder="1"/>
    <xf numFmtId="3" fontId="0" fillId="5" borderId="2" xfId="0" applyNumberFormat="1" applyFont="1" applyFill="1" applyBorder="1" applyAlignment="1">
      <alignment horizontal="right"/>
    </xf>
    <xf numFmtId="3" fontId="10" fillId="10" borderId="0" xfId="5" applyNumberFormat="1" applyFont="1" applyFill="1" applyBorder="1" applyAlignment="1">
      <alignment vertical="center"/>
    </xf>
    <xf numFmtId="3" fontId="11" fillId="10" borderId="0" xfId="5" applyNumberFormat="1" applyFont="1" applyFill="1" applyBorder="1" applyAlignment="1">
      <alignment vertical="center"/>
    </xf>
    <xf numFmtId="3" fontId="10" fillId="10" borderId="0" xfId="3" applyNumberFormat="1" applyFont="1" applyFill="1" applyBorder="1" applyAlignment="1">
      <alignment vertical="center"/>
    </xf>
    <xf numFmtId="3" fontId="11" fillId="10" borderId="0" xfId="3" applyNumberFormat="1" applyFont="1" applyFill="1" applyBorder="1" applyAlignment="1">
      <alignment vertical="center"/>
    </xf>
    <xf numFmtId="3" fontId="21" fillId="12" borderId="11" xfId="11" applyNumberFormat="1" applyFont="1" applyFill="1" applyBorder="1" applyAlignment="1" applyProtection="1">
      <alignment horizontal="right" vertical="center"/>
      <protection locked="0"/>
    </xf>
    <xf numFmtId="3" fontId="21" fillId="12" borderId="10" xfId="11" applyNumberFormat="1" applyFont="1" applyFill="1" applyBorder="1" applyAlignment="1" applyProtection="1">
      <alignment horizontal="right" vertical="center"/>
      <protection locked="0"/>
    </xf>
    <xf numFmtId="3" fontId="21" fillId="12" borderId="12" xfId="11" applyNumberFormat="1" applyFont="1" applyFill="1" applyBorder="1" applyAlignment="1" applyProtection="1">
      <alignment horizontal="right" vertical="center"/>
      <protection locked="0"/>
    </xf>
    <xf numFmtId="3" fontId="21" fillId="12" borderId="13" xfId="11" applyNumberFormat="1" applyFont="1" applyFill="1" applyBorder="1" applyAlignment="1" applyProtection="1">
      <alignment horizontal="right" vertical="center"/>
      <protection locked="0"/>
    </xf>
    <xf numFmtId="3" fontId="11" fillId="11" borderId="9" xfId="11" applyNumberFormat="1" applyFont="1" applyFill="1" applyBorder="1" applyAlignment="1">
      <alignment horizontal="right" vertical="center"/>
    </xf>
    <xf numFmtId="0" fontId="12" fillId="13" borderId="0" xfId="5" applyFill="1"/>
    <xf numFmtId="0" fontId="12" fillId="0" borderId="0" xfId="5"/>
    <xf numFmtId="0" fontId="23" fillId="0" borderId="0" xfId="5" applyFont="1"/>
    <xf numFmtId="0" fontId="12" fillId="14" borderId="0" xfId="5" applyFill="1"/>
    <xf numFmtId="0" fontId="1" fillId="14" borderId="0" xfId="5" applyFont="1" applyFill="1"/>
    <xf numFmtId="0" fontId="0" fillId="14" borderId="0" xfId="0" applyFill="1"/>
    <xf numFmtId="0" fontId="23" fillId="13" borderId="0" xfId="5" quotePrefix="1" applyFont="1" applyFill="1"/>
    <xf numFmtId="0" fontId="23" fillId="13" borderId="0" xfId="5" applyFont="1" applyFill="1"/>
    <xf numFmtId="0" fontId="23" fillId="13" borderId="0" xfId="0" applyFont="1" applyFill="1"/>
    <xf numFmtId="0" fontId="12" fillId="13" borderId="0" xfId="5" applyFont="1" applyFill="1"/>
    <xf numFmtId="0" fontId="23" fillId="0" borderId="0" xfId="0" applyFont="1"/>
    <xf numFmtId="0" fontId="23" fillId="0" borderId="0" xfId="5" applyFont="1" applyFill="1"/>
    <xf numFmtId="0" fontId="12" fillId="0" borderId="0" xfId="5" applyFill="1"/>
    <xf numFmtId="0" fontId="24" fillId="0" borderId="0" xfId="5" applyFont="1"/>
    <xf numFmtId="3" fontId="0" fillId="5" borderId="0" xfId="0" applyNumberFormat="1" applyFill="1"/>
    <xf numFmtId="0" fontId="7" fillId="0" borderId="3" xfId="3" applyFont="1" applyFill="1" applyBorder="1" applyAlignment="1">
      <alignment vertical="center" wrapText="1"/>
    </xf>
    <xf numFmtId="0" fontId="25" fillId="5" borderId="0" xfId="0" applyFont="1" applyFill="1"/>
    <xf numFmtId="0" fontId="26" fillId="5" borderId="0" xfId="0" applyFont="1" applyFill="1"/>
    <xf numFmtId="0" fontId="26" fillId="0" borderId="0" xfId="0" applyFont="1"/>
    <xf numFmtId="0" fontId="5" fillId="4" borderId="0" xfId="2" applyFill="1" applyAlignment="1"/>
    <xf numFmtId="0" fontId="5" fillId="5" borderId="0" xfId="2" applyFill="1" applyAlignment="1">
      <alignment wrapText="1"/>
    </xf>
    <xf numFmtId="0" fontId="5" fillId="4" borderId="0" xfId="2" applyFill="1"/>
    <xf numFmtId="0" fontId="7" fillId="7" borderId="0" xfId="5" applyFont="1" applyFill="1" applyBorder="1" applyAlignment="1">
      <alignment vertical="center" wrapText="1"/>
    </xf>
    <xf numFmtId="0" fontId="7" fillId="7" borderId="3" xfId="5" applyFont="1" applyFill="1" applyBorder="1" applyAlignment="1">
      <alignment vertical="center" wrapText="1"/>
    </xf>
    <xf numFmtId="0" fontId="7" fillId="7" borderId="4" xfId="5" applyFont="1" applyFill="1" applyBorder="1" applyAlignment="1">
      <alignment vertical="center" wrapText="1"/>
    </xf>
    <xf numFmtId="0" fontId="7" fillId="7" borderId="7" xfId="5" applyFont="1" applyFill="1" applyBorder="1" applyAlignment="1">
      <alignment vertical="center" wrapText="1"/>
    </xf>
    <xf numFmtId="0" fontId="7" fillId="7" borderId="3" xfId="3" applyFont="1" applyFill="1" applyBorder="1" applyAlignment="1">
      <alignment vertical="center" wrapText="1"/>
    </xf>
    <xf numFmtId="0" fontId="7" fillId="7" borderId="4" xfId="3" applyFont="1" applyFill="1" applyBorder="1" applyAlignment="1">
      <alignment vertical="center" wrapText="1"/>
    </xf>
    <xf numFmtId="0" fontId="7" fillId="7" borderId="7" xfId="3" applyFont="1" applyFill="1" applyBorder="1" applyAlignment="1">
      <alignment vertical="center" wrapText="1"/>
    </xf>
    <xf numFmtId="0" fontId="7" fillId="7" borderId="0" xfId="3" applyFont="1" applyFill="1" applyBorder="1" applyAlignment="1">
      <alignment horizontal="center" vertical="center" wrapText="1"/>
    </xf>
    <xf numFmtId="0" fontId="2" fillId="3" borderId="0" xfId="0" applyFont="1" applyFill="1" applyAlignment="1">
      <alignment horizontal="left" wrapText="1"/>
    </xf>
    <xf numFmtId="0" fontId="0" fillId="4" borderId="1" xfId="0" applyFill="1" applyBorder="1" applyAlignment="1">
      <alignment horizontal="center"/>
    </xf>
    <xf numFmtId="0" fontId="4" fillId="6" borderId="0" xfId="1" applyFont="1" applyFill="1" applyAlignment="1">
      <alignment horizontal="center" vertical="center"/>
    </xf>
    <xf numFmtId="0" fontId="0" fillId="4" borderId="0" xfId="0" applyFill="1" applyAlignment="1">
      <alignment horizontal="left" wrapText="1"/>
    </xf>
    <xf numFmtId="0" fontId="0" fillId="4" borderId="0" xfId="0" applyFill="1" applyAlignment="1">
      <alignment horizontal="left"/>
    </xf>
    <xf numFmtId="0" fontId="5" fillId="5" borderId="0" xfId="2" applyFill="1" applyAlignment="1">
      <alignment horizontal="right"/>
    </xf>
    <xf numFmtId="0" fontId="5" fillId="4" borderId="0" xfId="2" applyFont="1" applyFill="1" applyAlignment="1">
      <alignment horizontal="left"/>
    </xf>
    <xf numFmtId="0" fontId="2" fillId="2" borderId="0" xfId="0" applyFont="1" applyFill="1" applyAlignment="1">
      <alignment horizontal="left" wrapText="1"/>
    </xf>
    <xf numFmtId="0" fontId="5" fillId="5" borderId="0" xfId="2" applyFill="1" applyAlignment="1">
      <alignment horizontal="right" wrapText="1"/>
    </xf>
  </cellXfs>
  <cellStyles count="13">
    <cellStyle name="Hyperlink" xfId="2" xr:uid="{00000000-0005-0000-0000-000000000000}"/>
    <cellStyle name="Hyperlink 2" xfId="9" xr:uid="{00000000-0005-0000-0000-000001000000}"/>
    <cellStyle name="Hyperlink 3" xfId="10" xr:uid="{00000000-0005-0000-0000-000002000000}"/>
    <cellStyle name="Normal" xfId="0" builtinId="0"/>
    <cellStyle name="Normal 2" xfId="1" xr:uid="{00000000-0005-0000-0000-000004000000}"/>
    <cellStyle name="Normal 2 2" xfId="3" xr:uid="{00000000-0005-0000-0000-000005000000}"/>
    <cellStyle name="Normal 3" xfId="5" xr:uid="{00000000-0005-0000-0000-000006000000}"/>
    <cellStyle name="Normal 4" xfId="8" xr:uid="{00000000-0005-0000-0000-000007000000}"/>
    <cellStyle name="Normal 5" xfId="11" xr:uid="{00000000-0005-0000-0000-000008000000}"/>
    <cellStyle name="Normal_Book1" xfId="4" xr:uid="{00000000-0005-0000-0000-000009000000}"/>
    <cellStyle name="Note 2" xfId="12" xr:uid="{00000000-0005-0000-0000-00000A000000}"/>
    <cellStyle name="Percent 2" xfId="6" xr:uid="{00000000-0005-0000-0000-00000B000000}"/>
    <cellStyle name="Percent 3" xfId="7" xr:uid="{00000000-0005-0000-0000-00000C000000}"/>
  </cellStyles>
  <dxfs count="20">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27</xdr:row>
      <xdr:rowOff>130629</xdr:rowOff>
    </xdr:to>
    <xdr:sp macro="" textlink="">
      <xdr:nvSpPr>
        <xdr:cNvPr id="2" name="Star: 5 Points 1">
          <a:extLst>
            <a:ext uri="{FF2B5EF4-FFF2-40B4-BE49-F238E27FC236}">
              <a16:creationId xmlns:a16="http://schemas.microsoft.com/office/drawing/2014/main" id="{1B69C50A-F672-4AB6-B7F2-0DD422CFD8FE}"/>
            </a:ext>
          </a:extLst>
        </xdr:cNvPr>
        <xdr:cNvSpPr/>
      </xdr:nvSpPr>
      <xdr:spPr>
        <a:xfrm>
          <a:off x="291737" y="2277564"/>
          <a:ext cx="3752306" cy="29108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36.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37.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37.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38.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38.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tabColor indexed="22"/>
    <pageSetUpPr fitToPage="1"/>
  </sheetPr>
  <dimension ref="A1:L64"/>
  <sheetViews>
    <sheetView showGridLines="0" zoomScale="85" zoomScaleNormal="85" workbookViewId="0">
      <pane xSplit="2" ySplit="2" topLeftCell="C21" activePane="bottomRight" state="frozen"/>
      <selection activeCell="A4" sqref="A4:H4"/>
      <selection pane="topRight" activeCell="A4" sqref="A4:H4"/>
      <selection pane="bottomLeft" activeCell="A4" sqref="A4:H4"/>
      <selection pane="bottomRight" activeCell="A4" sqref="A4:H4"/>
    </sheetView>
  </sheetViews>
  <sheetFormatPr defaultRowHeight="15.5" x14ac:dyDescent="0.35"/>
  <cols>
    <col min="1" max="1" width="3.453125" style="40" hidden="1" customWidth="1"/>
    <col min="2" max="2" width="22.7265625" style="69" customWidth="1"/>
    <col min="3" max="8" width="13" style="69" customWidth="1"/>
    <col min="9" max="10" width="13.54296875" style="69" customWidth="1"/>
    <col min="11" max="256" width="9.1796875" style="69"/>
    <col min="257" max="257" width="0" style="69" hidden="1" customWidth="1"/>
    <col min="258" max="258" width="22.7265625" style="69" customWidth="1"/>
    <col min="259" max="264" width="13" style="69" customWidth="1"/>
    <col min="265" max="266" width="13.54296875" style="69" customWidth="1"/>
    <col min="267" max="512" width="9.1796875" style="69"/>
    <col min="513" max="513" width="0" style="69" hidden="1" customWidth="1"/>
    <col min="514" max="514" width="22.7265625" style="69" customWidth="1"/>
    <col min="515" max="520" width="13" style="69" customWidth="1"/>
    <col min="521" max="522" width="13.54296875" style="69" customWidth="1"/>
    <col min="523" max="768" width="9.1796875" style="69"/>
    <col min="769" max="769" width="0" style="69" hidden="1" customWidth="1"/>
    <col min="770" max="770" width="22.7265625" style="69" customWidth="1"/>
    <col min="771" max="776" width="13" style="69" customWidth="1"/>
    <col min="777" max="778" width="13.54296875" style="69" customWidth="1"/>
    <col min="779" max="1024" width="9.1796875" style="69"/>
    <col min="1025" max="1025" width="0" style="69" hidden="1" customWidth="1"/>
    <col min="1026" max="1026" width="22.7265625" style="69" customWidth="1"/>
    <col min="1027" max="1032" width="13" style="69" customWidth="1"/>
    <col min="1033" max="1034" width="13.54296875" style="69" customWidth="1"/>
    <col min="1035" max="1280" width="9.1796875" style="69"/>
    <col min="1281" max="1281" width="0" style="69" hidden="1" customWidth="1"/>
    <col min="1282" max="1282" width="22.7265625" style="69" customWidth="1"/>
    <col min="1283" max="1288" width="13" style="69" customWidth="1"/>
    <col min="1289" max="1290" width="13.54296875" style="69" customWidth="1"/>
    <col min="1291" max="1536" width="9.1796875" style="69"/>
    <col min="1537" max="1537" width="0" style="69" hidden="1" customWidth="1"/>
    <col min="1538" max="1538" width="22.7265625" style="69" customWidth="1"/>
    <col min="1539" max="1544" width="13" style="69" customWidth="1"/>
    <col min="1545" max="1546" width="13.54296875" style="69" customWidth="1"/>
    <col min="1547" max="1792" width="9.1796875" style="69"/>
    <col min="1793" max="1793" width="0" style="69" hidden="1" customWidth="1"/>
    <col min="1794" max="1794" width="22.7265625" style="69" customWidth="1"/>
    <col min="1795" max="1800" width="13" style="69" customWidth="1"/>
    <col min="1801" max="1802" width="13.54296875" style="69" customWidth="1"/>
    <col min="1803" max="2048" width="9.1796875" style="69"/>
    <col min="2049" max="2049" width="0" style="69" hidden="1" customWidth="1"/>
    <col min="2050" max="2050" width="22.7265625" style="69" customWidth="1"/>
    <col min="2051" max="2056" width="13" style="69" customWidth="1"/>
    <col min="2057" max="2058" width="13.54296875" style="69" customWidth="1"/>
    <col min="2059" max="2304" width="9.1796875" style="69"/>
    <col min="2305" max="2305" width="0" style="69" hidden="1" customWidth="1"/>
    <col min="2306" max="2306" width="22.7265625" style="69" customWidth="1"/>
    <col min="2307" max="2312" width="13" style="69" customWidth="1"/>
    <col min="2313" max="2314" width="13.54296875" style="69" customWidth="1"/>
    <col min="2315" max="2560" width="9.1796875" style="69"/>
    <col min="2561" max="2561" width="0" style="69" hidden="1" customWidth="1"/>
    <col min="2562" max="2562" width="22.7265625" style="69" customWidth="1"/>
    <col min="2563" max="2568" width="13" style="69" customWidth="1"/>
    <col min="2569" max="2570" width="13.54296875" style="69" customWidth="1"/>
    <col min="2571" max="2816" width="9.1796875" style="69"/>
    <col min="2817" max="2817" width="0" style="69" hidden="1" customWidth="1"/>
    <col min="2818" max="2818" width="22.7265625" style="69" customWidth="1"/>
    <col min="2819" max="2824" width="13" style="69" customWidth="1"/>
    <col min="2825" max="2826" width="13.54296875" style="69" customWidth="1"/>
    <col min="2827" max="3072" width="9.1796875" style="69"/>
    <col min="3073" max="3073" width="0" style="69" hidden="1" customWidth="1"/>
    <col min="3074" max="3074" width="22.7265625" style="69" customWidth="1"/>
    <col min="3075" max="3080" width="13" style="69" customWidth="1"/>
    <col min="3081" max="3082" width="13.54296875" style="69" customWidth="1"/>
    <col min="3083" max="3328" width="9.1796875" style="69"/>
    <col min="3329" max="3329" width="0" style="69" hidden="1" customWidth="1"/>
    <col min="3330" max="3330" width="22.7265625" style="69" customWidth="1"/>
    <col min="3331" max="3336" width="13" style="69" customWidth="1"/>
    <col min="3337" max="3338" width="13.54296875" style="69" customWidth="1"/>
    <col min="3339" max="3584" width="9.1796875" style="69"/>
    <col min="3585" max="3585" width="0" style="69" hidden="1" customWidth="1"/>
    <col min="3586" max="3586" width="22.7265625" style="69" customWidth="1"/>
    <col min="3587" max="3592" width="13" style="69" customWidth="1"/>
    <col min="3593" max="3594" width="13.54296875" style="69" customWidth="1"/>
    <col min="3595" max="3840" width="9.1796875" style="69"/>
    <col min="3841" max="3841" width="0" style="69" hidden="1" customWidth="1"/>
    <col min="3842" max="3842" width="22.7265625" style="69" customWidth="1"/>
    <col min="3843" max="3848" width="13" style="69" customWidth="1"/>
    <col min="3849" max="3850" width="13.54296875" style="69" customWidth="1"/>
    <col min="3851" max="4096" width="9.1796875" style="69"/>
    <col min="4097" max="4097" width="0" style="69" hidden="1" customWidth="1"/>
    <col min="4098" max="4098" width="22.7265625" style="69" customWidth="1"/>
    <col min="4099" max="4104" width="13" style="69" customWidth="1"/>
    <col min="4105" max="4106" width="13.54296875" style="69" customWidth="1"/>
    <col min="4107" max="4352" width="9.1796875" style="69"/>
    <col min="4353" max="4353" width="0" style="69" hidden="1" customWidth="1"/>
    <col min="4354" max="4354" width="22.7265625" style="69" customWidth="1"/>
    <col min="4355" max="4360" width="13" style="69" customWidth="1"/>
    <col min="4361" max="4362" width="13.54296875" style="69" customWidth="1"/>
    <col min="4363" max="4608" width="9.1796875" style="69"/>
    <col min="4609" max="4609" width="0" style="69" hidden="1" customWidth="1"/>
    <col min="4610" max="4610" width="22.7265625" style="69" customWidth="1"/>
    <col min="4611" max="4616" width="13" style="69" customWidth="1"/>
    <col min="4617" max="4618" width="13.54296875" style="69" customWidth="1"/>
    <col min="4619" max="4864" width="9.1796875" style="69"/>
    <col min="4865" max="4865" width="0" style="69" hidden="1" customWidth="1"/>
    <col min="4866" max="4866" width="22.7265625" style="69" customWidth="1"/>
    <col min="4867" max="4872" width="13" style="69" customWidth="1"/>
    <col min="4873" max="4874" width="13.54296875" style="69" customWidth="1"/>
    <col min="4875" max="5120" width="9.1796875" style="69"/>
    <col min="5121" max="5121" width="0" style="69" hidden="1" customWidth="1"/>
    <col min="5122" max="5122" width="22.7265625" style="69" customWidth="1"/>
    <col min="5123" max="5128" width="13" style="69" customWidth="1"/>
    <col min="5129" max="5130" width="13.54296875" style="69" customWidth="1"/>
    <col min="5131" max="5376" width="9.1796875" style="69"/>
    <col min="5377" max="5377" width="0" style="69" hidden="1" customWidth="1"/>
    <col min="5378" max="5378" width="22.7265625" style="69" customWidth="1"/>
    <col min="5379" max="5384" width="13" style="69" customWidth="1"/>
    <col min="5385" max="5386" width="13.54296875" style="69" customWidth="1"/>
    <col min="5387" max="5632" width="9.1796875" style="69"/>
    <col min="5633" max="5633" width="0" style="69" hidden="1" customWidth="1"/>
    <col min="5634" max="5634" width="22.7265625" style="69" customWidth="1"/>
    <col min="5635" max="5640" width="13" style="69" customWidth="1"/>
    <col min="5641" max="5642" width="13.54296875" style="69" customWidth="1"/>
    <col min="5643" max="5888" width="9.1796875" style="69"/>
    <col min="5889" max="5889" width="0" style="69" hidden="1" customWidth="1"/>
    <col min="5890" max="5890" width="22.7265625" style="69" customWidth="1"/>
    <col min="5891" max="5896" width="13" style="69" customWidth="1"/>
    <col min="5897" max="5898" width="13.54296875" style="69" customWidth="1"/>
    <col min="5899" max="6144" width="9.1796875" style="69"/>
    <col min="6145" max="6145" width="0" style="69" hidden="1" customWidth="1"/>
    <col min="6146" max="6146" width="22.7265625" style="69" customWidth="1"/>
    <col min="6147" max="6152" width="13" style="69" customWidth="1"/>
    <col min="6153" max="6154" width="13.54296875" style="69" customWidth="1"/>
    <col min="6155" max="6400" width="9.1796875" style="69"/>
    <col min="6401" max="6401" width="0" style="69" hidden="1" customWidth="1"/>
    <col min="6402" max="6402" width="22.7265625" style="69" customWidth="1"/>
    <col min="6403" max="6408" width="13" style="69" customWidth="1"/>
    <col min="6409" max="6410" width="13.54296875" style="69" customWidth="1"/>
    <col min="6411" max="6656" width="9.1796875" style="69"/>
    <col min="6657" max="6657" width="0" style="69" hidden="1" customWidth="1"/>
    <col min="6658" max="6658" width="22.7265625" style="69" customWidth="1"/>
    <col min="6659" max="6664" width="13" style="69" customWidth="1"/>
    <col min="6665" max="6666" width="13.54296875" style="69" customWidth="1"/>
    <col min="6667" max="6912" width="9.1796875" style="69"/>
    <col min="6913" max="6913" width="0" style="69" hidden="1" customWidth="1"/>
    <col min="6914" max="6914" width="22.7265625" style="69" customWidth="1"/>
    <col min="6915" max="6920" width="13" style="69" customWidth="1"/>
    <col min="6921" max="6922" width="13.54296875" style="69" customWidth="1"/>
    <col min="6923" max="7168" width="9.1796875" style="69"/>
    <col min="7169" max="7169" width="0" style="69" hidden="1" customWidth="1"/>
    <col min="7170" max="7170" width="22.7265625" style="69" customWidth="1"/>
    <col min="7171" max="7176" width="13" style="69" customWidth="1"/>
    <col min="7177" max="7178" width="13.54296875" style="69" customWidth="1"/>
    <col min="7179" max="7424" width="9.1796875" style="69"/>
    <col min="7425" max="7425" width="0" style="69" hidden="1" customWidth="1"/>
    <col min="7426" max="7426" width="22.7265625" style="69" customWidth="1"/>
    <col min="7427" max="7432" width="13" style="69" customWidth="1"/>
    <col min="7433" max="7434" width="13.54296875" style="69" customWidth="1"/>
    <col min="7435" max="7680" width="9.1796875" style="69"/>
    <col min="7681" max="7681" width="0" style="69" hidden="1" customWidth="1"/>
    <col min="7682" max="7682" width="22.7265625" style="69" customWidth="1"/>
    <col min="7683" max="7688" width="13" style="69" customWidth="1"/>
    <col min="7689" max="7690" width="13.54296875" style="69" customWidth="1"/>
    <col min="7691" max="7936" width="9.1796875" style="69"/>
    <col min="7937" max="7937" width="0" style="69" hidden="1" customWidth="1"/>
    <col min="7938" max="7938" width="22.7265625" style="69" customWidth="1"/>
    <col min="7939" max="7944" width="13" style="69" customWidth="1"/>
    <col min="7945" max="7946" width="13.54296875" style="69" customWidth="1"/>
    <col min="7947" max="8192" width="9.1796875" style="69"/>
    <col min="8193" max="8193" width="0" style="69" hidden="1" customWidth="1"/>
    <col min="8194" max="8194" width="22.7265625" style="69" customWidth="1"/>
    <col min="8195" max="8200" width="13" style="69" customWidth="1"/>
    <col min="8201" max="8202" width="13.54296875" style="69" customWidth="1"/>
    <col min="8203" max="8448" width="9.1796875" style="69"/>
    <col min="8449" max="8449" width="0" style="69" hidden="1" customWidth="1"/>
    <col min="8450" max="8450" width="22.7265625" style="69" customWidth="1"/>
    <col min="8451" max="8456" width="13" style="69" customWidth="1"/>
    <col min="8457" max="8458" width="13.54296875" style="69" customWidth="1"/>
    <col min="8459" max="8704" width="9.1796875" style="69"/>
    <col min="8705" max="8705" width="0" style="69" hidden="1" customWidth="1"/>
    <col min="8706" max="8706" width="22.7265625" style="69" customWidth="1"/>
    <col min="8707" max="8712" width="13" style="69" customWidth="1"/>
    <col min="8713" max="8714" width="13.54296875" style="69" customWidth="1"/>
    <col min="8715" max="8960" width="9.1796875" style="69"/>
    <col min="8961" max="8961" width="0" style="69" hidden="1" customWidth="1"/>
    <col min="8962" max="8962" width="22.7265625" style="69" customWidth="1"/>
    <col min="8963" max="8968" width="13" style="69" customWidth="1"/>
    <col min="8969" max="8970" width="13.54296875" style="69" customWidth="1"/>
    <col min="8971" max="9216" width="9.1796875" style="69"/>
    <col min="9217" max="9217" width="0" style="69" hidden="1" customWidth="1"/>
    <col min="9218" max="9218" width="22.7265625" style="69" customWidth="1"/>
    <col min="9219" max="9224" width="13" style="69" customWidth="1"/>
    <col min="9225" max="9226" width="13.54296875" style="69" customWidth="1"/>
    <col min="9227" max="9472" width="9.1796875" style="69"/>
    <col min="9473" max="9473" width="0" style="69" hidden="1" customWidth="1"/>
    <col min="9474" max="9474" width="22.7265625" style="69" customWidth="1"/>
    <col min="9475" max="9480" width="13" style="69" customWidth="1"/>
    <col min="9481" max="9482" width="13.54296875" style="69" customWidth="1"/>
    <col min="9483" max="9728" width="9.1796875" style="69"/>
    <col min="9729" max="9729" width="0" style="69" hidden="1" customWidth="1"/>
    <col min="9730" max="9730" width="22.7265625" style="69" customWidth="1"/>
    <col min="9731" max="9736" width="13" style="69" customWidth="1"/>
    <col min="9737" max="9738" width="13.54296875" style="69" customWidth="1"/>
    <col min="9739" max="9984" width="9.1796875" style="69"/>
    <col min="9985" max="9985" width="0" style="69" hidden="1" customWidth="1"/>
    <col min="9986" max="9986" width="22.7265625" style="69" customWidth="1"/>
    <col min="9987" max="9992" width="13" style="69" customWidth="1"/>
    <col min="9993" max="9994" width="13.54296875" style="69" customWidth="1"/>
    <col min="9995" max="10240" width="9.1796875" style="69"/>
    <col min="10241" max="10241" width="0" style="69" hidden="1" customWidth="1"/>
    <col min="10242" max="10242" width="22.7265625" style="69" customWidth="1"/>
    <col min="10243" max="10248" width="13" style="69" customWidth="1"/>
    <col min="10249" max="10250" width="13.54296875" style="69" customWidth="1"/>
    <col min="10251" max="10496" width="9.1796875" style="69"/>
    <col min="10497" max="10497" width="0" style="69" hidden="1" customWidth="1"/>
    <col min="10498" max="10498" width="22.7265625" style="69" customWidth="1"/>
    <col min="10499" max="10504" width="13" style="69" customWidth="1"/>
    <col min="10505" max="10506" width="13.54296875" style="69" customWidth="1"/>
    <col min="10507" max="10752" width="9.1796875" style="69"/>
    <col min="10753" max="10753" width="0" style="69" hidden="1" customWidth="1"/>
    <col min="10754" max="10754" width="22.7265625" style="69" customWidth="1"/>
    <col min="10755" max="10760" width="13" style="69" customWidth="1"/>
    <col min="10761" max="10762" width="13.54296875" style="69" customWidth="1"/>
    <col min="10763" max="11008" width="9.1796875" style="69"/>
    <col min="11009" max="11009" width="0" style="69" hidden="1" customWidth="1"/>
    <col min="11010" max="11010" width="22.7265625" style="69" customWidth="1"/>
    <col min="11011" max="11016" width="13" style="69" customWidth="1"/>
    <col min="11017" max="11018" width="13.54296875" style="69" customWidth="1"/>
    <col min="11019" max="11264" width="9.1796875" style="69"/>
    <col min="11265" max="11265" width="0" style="69" hidden="1" customWidth="1"/>
    <col min="11266" max="11266" width="22.7265625" style="69" customWidth="1"/>
    <col min="11267" max="11272" width="13" style="69" customWidth="1"/>
    <col min="11273" max="11274" width="13.54296875" style="69" customWidth="1"/>
    <col min="11275" max="11520" width="9.1796875" style="69"/>
    <col min="11521" max="11521" width="0" style="69" hidden="1" customWidth="1"/>
    <col min="11522" max="11522" width="22.7265625" style="69" customWidth="1"/>
    <col min="11523" max="11528" width="13" style="69" customWidth="1"/>
    <col min="11529" max="11530" width="13.54296875" style="69" customWidth="1"/>
    <col min="11531" max="11776" width="9.1796875" style="69"/>
    <col min="11777" max="11777" width="0" style="69" hidden="1" customWidth="1"/>
    <col min="11778" max="11778" width="22.7265625" style="69" customWidth="1"/>
    <col min="11779" max="11784" width="13" style="69" customWidth="1"/>
    <col min="11785" max="11786" width="13.54296875" style="69" customWidth="1"/>
    <col min="11787" max="12032" width="9.1796875" style="69"/>
    <col min="12033" max="12033" width="0" style="69" hidden="1" customWidth="1"/>
    <col min="12034" max="12034" width="22.7265625" style="69" customWidth="1"/>
    <col min="12035" max="12040" width="13" style="69" customWidth="1"/>
    <col min="12041" max="12042" width="13.54296875" style="69" customWidth="1"/>
    <col min="12043" max="12288" width="9.1796875" style="69"/>
    <col min="12289" max="12289" width="0" style="69" hidden="1" customWidth="1"/>
    <col min="12290" max="12290" width="22.7265625" style="69" customWidth="1"/>
    <col min="12291" max="12296" width="13" style="69" customWidth="1"/>
    <col min="12297" max="12298" width="13.54296875" style="69" customWidth="1"/>
    <col min="12299" max="12544" width="9.1796875" style="69"/>
    <col min="12545" max="12545" width="0" style="69" hidden="1" customWidth="1"/>
    <col min="12546" max="12546" width="22.7265625" style="69" customWidth="1"/>
    <col min="12547" max="12552" width="13" style="69" customWidth="1"/>
    <col min="12553" max="12554" width="13.54296875" style="69" customWidth="1"/>
    <col min="12555" max="12800" width="9.1796875" style="69"/>
    <col min="12801" max="12801" width="0" style="69" hidden="1" customWidth="1"/>
    <col min="12802" max="12802" width="22.7265625" style="69" customWidth="1"/>
    <col min="12803" max="12808" width="13" style="69" customWidth="1"/>
    <col min="12809" max="12810" width="13.54296875" style="69" customWidth="1"/>
    <col min="12811" max="13056" width="9.1796875" style="69"/>
    <col min="13057" max="13057" width="0" style="69" hidden="1" customWidth="1"/>
    <col min="13058" max="13058" width="22.7265625" style="69" customWidth="1"/>
    <col min="13059" max="13064" width="13" style="69" customWidth="1"/>
    <col min="13065" max="13066" width="13.54296875" style="69" customWidth="1"/>
    <col min="13067" max="13312" width="9.1796875" style="69"/>
    <col min="13313" max="13313" width="0" style="69" hidden="1" customWidth="1"/>
    <col min="13314" max="13314" width="22.7265625" style="69" customWidth="1"/>
    <col min="13315" max="13320" width="13" style="69" customWidth="1"/>
    <col min="13321" max="13322" width="13.54296875" style="69" customWidth="1"/>
    <col min="13323" max="13568" width="9.1796875" style="69"/>
    <col min="13569" max="13569" width="0" style="69" hidden="1" customWidth="1"/>
    <col min="13570" max="13570" width="22.7265625" style="69" customWidth="1"/>
    <col min="13571" max="13576" width="13" style="69" customWidth="1"/>
    <col min="13577" max="13578" width="13.54296875" style="69" customWidth="1"/>
    <col min="13579" max="13824" width="9.1796875" style="69"/>
    <col min="13825" max="13825" width="0" style="69" hidden="1" customWidth="1"/>
    <col min="13826" max="13826" width="22.7265625" style="69" customWidth="1"/>
    <col min="13827" max="13832" width="13" style="69" customWidth="1"/>
    <col min="13833" max="13834" width="13.54296875" style="69" customWidth="1"/>
    <col min="13835" max="14080" width="9.1796875" style="69"/>
    <col min="14081" max="14081" width="0" style="69" hidden="1" customWidth="1"/>
    <col min="14082" max="14082" width="22.7265625" style="69" customWidth="1"/>
    <col min="14083" max="14088" width="13" style="69" customWidth="1"/>
    <col min="14089" max="14090" width="13.54296875" style="69" customWidth="1"/>
    <col min="14091" max="14336" width="9.1796875" style="69"/>
    <col min="14337" max="14337" width="0" style="69" hidden="1" customWidth="1"/>
    <col min="14338" max="14338" width="22.7265625" style="69" customWidth="1"/>
    <col min="14339" max="14344" width="13" style="69" customWidth="1"/>
    <col min="14345" max="14346" width="13.54296875" style="69" customWidth="1"/>
    <col min="14347" max="14592" width="9.1796875" style="69"/>
    <col min="14593" max="14593" width="0" style="69" hidden="1" customWidth="1"/>
    <col min="14594" max="14594" width="22.7265625" style="69" customWidth="1"/>
    <col min="14595" max="14600" width="13" style="69" customWidth="1"/>
    <col min="14601" max="14602" width="13.54296875" style="69" customWidth="1"/>
    <col min="14603" max="14848" width="9.1796875" style="69"/>
    <col min="14849" max="14849" width="0" style="69" hidden="1" customWidth="1"/>
    <col min="14850" max="14850" width="22.7265625" style="69" customWidth="1"/>
    <col min="14851" max="14856" width="13" style="69" customWidth="1"/>
    <col min="14857" max="14858" width="13.54296875" style="69" customWidth="1"/>
    <col min="14859" max="15104" width="9.1796875" style="69"/>
    <col min="15105" max="15105" width="0" style="69" hidden="1" customWidth="1"/>
    <col min="15106" max="15106" width="22.7265625" style="69" customWidth="1"/>
    <col min="15107" max="15112" width="13" style="69" customWidth="1"/>
    <col min="15113" max="15114" width="13.54296875" style="69" customWidth="1"/>
    <col min="15115" max="15360" width="9.1796875" style="69"/>
    <col min="15361" max="15361" width="0" style="69" hidden="1" customWidth="1"/>
    <col min="15362" max="15362" width="22.7265625" style="69" customWidth="1"/>
    <col min="15363" max="15368" width="13" style="69" customWidth="1"/>
    <col min="15369" max="15370" width="13.54296875" style="69" customWidth="1"/>
    <col min="15371" max="15616" width="9.1796875" style="69"/>
    <col min="15617" max="15617" width="0" style="69" hidden="1" customWidth="1"/>
    <col min="15618" max="15618" width="22.7265625" style="69" customWidth="1"/>
    <col min="15619" max="15624" width="13" style="69" customWidth="1"/>
    <col min="15625" max="15626" width="13.54296875" style="69" customWidth="1"/>
    <col min="15627" max="15872" width="9.1796875" style="69"/>
    <col min="15873" max="15873" width="0" style="69" hidden="1" customWidth="1"/>
    <col min="15874" max="15874" width="22.7265625" style="69" customWidth="1"/>
    <col min="15875" max="15880" width="13" style="69" customWidth="1"/>
    <col min="15881" max="15882" width="13.54296875" style="69" customWidth="1"/>
    <col min="15883" max="16128" width="9.1796875" style="69"/>
    <col min="16129" max="16129" width="0" style="69" hidden="1" customWidth="1"/>
    <col min="16130" max="16130" width="22.7265625" style="69" customWidth="1"/>
    <col min="16131" max="16136" width="13" style="69" customWidth="1"/>
    <col min="16137" max="16138" width="13.54296875" style="69" customWidth="1"/>
    <col min="16139" max="16384" width="9.1796875" style="69"/>
  </cols>
  <sheetData>
    <row r="1" spans="1:12" ht="39.75" customHeight="1" x14ac:dyDescent="0.35">
      <c r="B1" s="148" t="s">
        <v>108</v>
      </c>
      <c r="C1" s="148"/>
      <c r="D1" s="148"/>
      <c r="E1" s="148"/>
      <c r="F1" s="148"/>
      <c r="G1" s="148"/>
      <c r="H1" s="148"/>
      <c r="I1" s="148"/>
      <c r="J1" s="148"/>
    </row>
    <row r="2" spans="1:12" ht="30" customHeight="1" x14ac:dyDescent="0.35">
      <c r="B2" s="83"/>
      <c r="C2" s="70" t="s">
        <v>72</v>
      </c>
      <c r="D2" s="70" t="s">
        <v>73</v>
      </c>
      <c r="E2" s="85" t="s">
        <v>74</v>
      </c>
      <c r="F2" s="85" t="s">
        <v>75</v>
      </c>
      <c r="G2" s="85" t="s">
        <v>76</v>
      </c>
      <c r="H2" s="85" t="s">
        <v>77</v>
      </c>
      <c r="I2" s="70" t="s">
        <v>78</v>
      </c>
      <c r="J2" s="71" t="s">
        <v>1</v>
      </c>
    </row>
    <row r="3" spans="1:12" s="36" customFormat="1" ht="26.25" customHeight="1" x14ac:dyDescent="0.35">
      <c r="A3" s="38"/>
      <c r="B3" s="37" t="s">
        <v>80</v>
      </c>
      <c r="C3" s="72">
        <f t="shared" ref="C3:J3" si="0">C4+C44</f>
        <v>158.19999999999999</v>
      </c>
      <c r="D3" s="72">
        <f t="shared" si="0"/>
        <v>195</v>
      </c>
      <c r="E3" s="72">
        <f t="shared" si="0"/>
        <v>638</v>
      </c>
      <c r="F3" s="72">
        <f t="shared" si="0"/>
        <v>1569.3400000000001</v>
      </c>
      <c r="G3" s="72">
        <f t="shared" si="0"/>
        <v>4480.5</v>
      </c>
      <c r="H3" s="72">
        <f t="shared" si="0"/>
        <v>3903.1800000000003</v>
      </c>
      <c r="I3" s="72">
        <f t="shared" si="0"/>
        <v>18073.309520000003</v>
      </c>
      <c r="J3" s="72">
        <f t="shared" si="0"/>
        <v>29017.529520000004</v>
      </c>
      <c r="K3" s="73"/>
    </row>
    <row r="4" spans="1:12" s="37" customFormat="1" ht="26.25" customHeight="1" x14ac:dyDescent="0.35">
      <c r="A4" s="38"/>
      <c r="B4" s="37" t="s">
        <v>55</v>
      </c>
      <c r="C4" s="74">
        <f t="shared" ref="C4:J4" si="1">SUM(C5:C43)</f>
        <v>128.19999999999999</v>
      </c>
      <c r="D4" s="74">
        <f t="shared" si="1"/>
        <v>149</v>
      </c>
      <c r="E4" s="74">
        <f t="shared" si="1"/>
        <v>434</v>
      </c>
      <c r="F4" s="74">
        <f t="shared" si="1"/>
        <v>1086.3400000000001</v>
      </c>
      <c r="G4" s="74">
        <f t="shared" si="1"/>
        <v>2422.5</v>
      </c>
      <c r="H4" s="74">
        <f t="shared" si="1"/>
        <v>2175</v>
      </c>
      <c r="I4" s="74">
        <f t="shared" si="1"/>
        <v>9376.739520000001</v>
      </c>
      <c r="J4" s="74">
        <f t="shared" si="1"/>
        <v>15771.779520000002</v>
      </c>
    </row>
    <row r="5" spans="1:12" s="50" customFormat="1" ht="13" x14ac:dyDescent="0.35">
      <c r="A5" s="40">
        <v>51</v>
      </c>
      <c r="B5" s="50" t="s">
        <v>7</v>
      </c>
      <c r="C5" s="75">
        <v>3</v>
      </c>
      <c r="D5" s="75">
        <v>2</v>
      </c>
      <c r="E5" s="75">
        <v>9</v>
      </c>
      <c r="F5" s="75">
        <v>21</v>
      </c>
      <c r="G5" s="75">
        <v>93</v>
      </c>
      <c r="H5" s="75">
        <v>85</v>
      </c>
      <c r="I5" s="75">
        <v>451</v>
      </c>
      <c r="J5" s="76">
        <v>664</v>
      </c>
      <c r="K5" s="50">
        <v>664</v>
      </c>
      <c r="L5" s="91">
        <f>J5-K5</f>
        <v>0</v>
      </c>
    </row>
    <row r="6" spans="1:12" s="50" customFormat="1" ht="13" x14ac:dyDescent="0.35">
      <c r="A6" s="40">
        <v>52</v>
      </c>
      <c r="B6" s="50" t="s">
        <v>8</v>
      </c>
      <c r="C6" s="75">
        <v>3</v>
      </c>
      <c r="D6" s="75">
        <v>5</v>
      </c>
      <c r="E6" s="75">
        <v>10</v>
      </c>
      <c r="F6" s="75">
        <v>24</v>
      </c>
      <c r="G6" s="75">
        <v>32</v>
      </c>
      <c r="H6" s="75">
        <v>51</v>
      </c>
      <c r="I6" s="75">
        <v>191</v>
      </c>
      <c r="J6" s="76">
        <v>316</v>
      </c>
      <c r="K6" s="50">
        <v>316</v>
      </c>
      <c r="L6" s="91">
        <f t="shared" ref="L6:L51" si="2">J6-K6</f>
        <v>0</v>
      </c>
    </row>
    <row r="7" spans="1:12" s="50" customFormat="1" ht="13" x14ac:dyDescent="0.35">
      <c r="A7" s="40">
        <v>86</v>
      </c>
      <c r="B7" s="50" t="s">
        <v>9</v>
      </c>
      <c r="C7" s="75">
        <v>3</v>
      </c>
      <c r="D7" s="75">
        <v>4</v>
      </c>
      <c r="E7" s="75">
        <v>15</v>
      </c>
      <c r="F7" s="75">
        <v>25</v>
      </c>
      <c r="G7" s="75">
        <v>48</v>
      </c>
      <c r="H7" s="75">
        <v>65</v>
      </c>
      <c r="I7" s="75">
        <v>253</v>
      </c>
      <c r="J7" s="76">
        <v>413</v>
      </c>
      <c r="K7" s="50">
        <v>413</v>
      </c>
      <c r="L7" s="91">
        <f t="shared" si="2"/>
        <v>0</v>
      </c>
    </row>
    <row r="8" spans="1:12" s="50" customFormat="1" ht="13" x14ac:dyDescent="0.35">
      <c r="A8" s="40">
        <v>53</v>
      </c>
      <c r="B8" s="50" t="s">
        <v>10</v>
      </c>
      <c r="C8" s="75">
        <v>4</v>
      </c>
      <c r="D8" s="75">
        <v>2</v>
      </c>
      <c r="E8" s="75">
        <v>9</v>
      </c>
      <c r="F8" s="75">
        <v>24</v>
      </c>
      <c r="G8" s="75">
        <v>51</v>
      </c>
      <c r="H8" s="75">
        <v>59</v>
      </c>
      <c r="I8" s="75">
        <v>199</v>
      </c>
      <c r="J8" s="76">
        <v>348</v>
      </c>
      <c r="K8" s="50">
        <v>348</v>
      </c>
      <c r="L8" s="91">
        <f t="shared" si="2"/>
        <v>0</v>
      </c>
    </row>
    <row r="9" spans="1:12" s="50" customFormat="1" ht="13" x14ac:dyDescent="0.35">
      <c r="A9" s="40">
        <v>54</v>
      </c>
      <c r="B9" s="50" t="s">
        <v>11</v>
      </c>
      <c r="C9" s="75">
        <v>3</v>
      </c>
      <c r="D9" s="75">
        <v>3</v>
      </c>
      <c r="E9" s="75">
        <v>9</v>
      </c>
      <c r="F9" s="75">
        <v>33.270000000000003</v>
      </c>
      <c r="G9" s="75">
        <v>40</v>
      </c>
      <c r="H9" s="75">
        <v>43</v>
      </c>
      <c r="I9" s="75">
        <v>140</v>
      </c>
      <c r="J9" s="76">
        <v>271.27</v>
      </c>
      <c r="K9" s="50">
        <v>271.27</v>
      </c>
      <c r="L9" s="91">
        <f t="shared" si="2"/>
        <v>0</v>
      </c>
    </row>
    <row r="10" spans="1:12" s="50" customFormat="1" ht="13" x14ac:dyDescent="0.35">
      <c r="A10" s="40">
        <v>55</v>
      </c>
      <c r="B10" s="50" t="s">
        <v>12</v>
      </c>
      <c r="C10" s="75">
        <v>3</v>
      </c>
      <c r="D10" s="75">
        <v>4</v>
      </c>
      <c r="E10" s="75">
        <v>8</v>
      </c>
      <c r="F10" s="75">
        <v>35</v>
      </c>
      <c r="G10" s="75">
        <v>69</v>
      </c>
      <c r="H10" s="75">
        <v>67</v>
      </c>
      <c r="I10" s="75">
        <v>339.57</v>
      </c>
      <c r="J10" s="76">
        <v>525.57000000000005</v>
      </c>
      <c r="K10" s="50">
        <v>525.57000000000005</v>
      </c>
      <c r="L10" s="91">
        <f t="shared" si="2"/>
        <v>0</v>
      </c>
    </row>
    <row r="11" spans="1:12" s="50" customFormat="1" ht="13" x14ac:dyDescent="0.35">
      <c r="A11" s="40">
        <v>56</v>
      </c>
      <c r="B11" s="50" t="s">
        <v>13</v>
      </c>
      <c r="C11" s="75">
        <v>1</v>
      </c>
      <c r="D11" s="75">
        <v>3</v>
      </c>
      <c r="E11" s="75">
        <v>8</v>
      </c>
      <c r="F11" s="75">
        <v>17</v>
      </c>
      <c r="G11" s="75">
        <v>54</v>
      </c>
      <c r="H11" s="75">
        <v>68</v>
      </c>
      <c r="I11" s="75">
        <v>310</v>
      </c>
      <c r="J11" s="76">
        <v>461</v>
      </c>
      <c r="K11" s="50">
        <v>461</v>
      </c>
      <c r="L11" s="91">
        <f t="shared" si="2"/>
        <v>0</v>
      </c>
    </row>
    <row r="12" spans="1:12" s="50" customFormat="1" ht="13" x14ac:dyDescent="0.35">
      <c r="A12" s="40">
        <v>57</v>
      </c>
      <c r="B12" s="50" t="s">
        <v>14</v>
      </c>
      <c r="C12" s="75">
        <v>4</v>
      </c>
      <c r="D12" s="75">
        <v>4</v>
      </c>
      <c r="E12" s="75">
        <v>12</v>
      </c>
      <c r="F12" s="75">
        <v>15</v>
      </c>
      <c r="G12" s="75">
        <v>41</v>
      </c>
      <c r="H12" s="75">
        <v>24</v>
      </c>
      <c r="I12" s="75">
        <v>107</v>
      </c>
      <c r="J12" s="76">
        <v>207</v>
      </c>
      <c r="K12" s="50">
        <v>207</v>
      </c>
      <c r="L12" s="91">
        <f t="shared" si="2"/>
        <v>0</v>
      </c>
    </row>
    <row r="13" spans="1:12" s="50" customFormat="1" ht="13" x14ac:dyDescent="0.35">
      <c r="A13" s="40">
        <v>59</v>
      </c>
      <c r="B13" s="50" t="s">
        <v>15</v>
      </c>
      <c r="C13" s="75">
        <v>3</v>
      </c>
      <c r="D13" s="75">
        <v>3</v>
      </c>
      <c r="E13" s="75">
        <v>16</v>
      </c>
      <c r="F13" s="75">
        <v>13</v>
      </c>
      <c r="G13" s="75">
        <v>30</v>
      </c>
      <c r="H13" s="75">
        <v>37</v>
      </c>
      <c r="I13" s="75">
        <v>132.16999999999999</v>
      </c>
      <c r="J13" s="76">
        <v>234.17</v>
      </c>
      <c r="K13" s="50">
        <v>234.17</v>
      </c>
      <c r="L13" s="91">
        <f t="shared" si="2"/>
        <v>0</v>
      </c>
    </row>
    <row r="14" spans="1:12" s="50" customFormat="1" ht="13" x14ac:dyDescent="0.35">
      <c r="A14" s="40">
        <v>60</v>
      </c>
      <c r="B14" s="50" t="s">
        <v>16</v>
      </c>
      <c r="C14" s="75">
        <v>2</v>
      </c>
      <c r="D14" s="75">
        <v>4</v>
      </c>
      <c r="E14" s="75">
        <v>13</v>
      </c>
      <c r="F14" s="75">
        <v>37</v>
      </c>
      <c r="G14" s="75">
        <v>71</v>
      </c>
      <c r="H14" s="75">
        <v>55</v>
      </c>
      <c r="I14" s="75">
        <v>247</v>
      </c>
      <c r="J14" s="76">
        <v>429</v>
      </c>
      <c r="K14" s="50">
        <v>429</v>
      </c>
      <c r="L14" s="91">
        <f t="shared" si="2"/>
        <v>0</v>
      </c>
    </row>
    <row r="15" spans="1:12" s="50" customFormat="1" ht="13" x14ac:dyDescent="0.35">
      <c r="A15" s="40">
        <v>61</v>
      </c>
      <c r="B15" s="77" t="s">
        <v>56</v>
      </c>
      <c r="C15" s="75">
        <v>4</v>
      </c>
      <c r="D15" s="75">
        <v>8</v>
      </c>
      <c r="E15" s="75">
        <v>41</v>
      </c>
      <c r="F15" s="75">
        <v>58</v>
      </c>
      <c r="G15" s="75">
        <v>119</v>
      </c>
      <c r="H15" s="75">
        <v>101</v>
      </c>
      <c r="I15" s="75">
        <v>374.5</v>
      </c>
      <c r="J15" s="76">
        <v>705.5</v>
      </c>
      <c r="K15" s="50">
        <v>705.5</v>
      </c>
      <c r="L15" s="91">
        <f t="shared" si="2"/>
        <v>0</v>
      </c>
    </row>
    <row r="16" spans="1:12" s="50" customFormat="1" ht="12.5" x14ac:dyDescent="0.35">
      <c r="A16" s="40">
        <v>62</v>
      </c>
      <c r="B16" s="50" t="s">
        <v>143</v>
      </c>
      <c r="C16" s="75">
        <f>C63+C64</f>
        <v>7</v>
      </c>
      <c r="D16" s="75">
        <f t="shared" ref="D16:J16" si="3">D63+D64</f>
        <v>10</v>
      </c>
      <c r="E16" s="75">
        <f t="shared" si="3"/>
        <v>18</v>
      </c>
      <c r="F16" s="75">
        <f t="shared" si="3"/>
        <v>49</v>
      </c>
      <c r="G16" s="75">
        <f t="shared" si="3"/>
        <v>74</v>
      </c>
      <c r="H16" s="75">
        <f t="shared" si="3"/>
        <v>66</v>
      </c>
      <c r="I16" s="75">
        <f t="shared" si="3"/>
        <v>260.44</v>
      </c>
      <c r="J16" s="75">
        <f t="shared" si="3"/>
        <v>484.44</v>
      </c>
      <c r="K16" s="50">
        <v>285</v>
      </c>
      <c r="L16" s="91">
        <f t="shared" si="2"/>
        <v>199.44</v>
      </c>
    </row>
    <row r="17" spans="1:12" s="50" customFormat="1" ht="13" x14ac:dyDescent="0.35">
      <c r="A17" s="40">
        <v>58</v>
      </c>
      <c r="B17" s="50" t="s">
        <v>19</v>
      </c>
      <c r="C17" s="75">
        <v>2</v>
      </c>
      <c r="D17" s="75">
        <v>3</v>
      </c>
      <c r="E17" s="75">
        <v>4</v>
      </c>
      <c r="F17" s="75">
        <v>30</v>
      </c>
      <c r="G17" s="75">
        <v>63</v>
      </c>
      <c r="H17" s="75">
        <v>59</v>
      </c>
      <c r="I17" s="75">
        <v>220</v>
      </c>
      <c r="J17" s="76">
        <v>381</v>
      </c>
      <c r="K17" s="50">
        <v>381</v>
      </c>
      <c r="L17" s="91">
        <f t="shared" si="2"/>
        <v>0</v>
      </c>
    </row>
    <row r="18" spans="1:12" s="50" customFormat="1" ht="13" x14ac:dyDescent="0.35">
      <c r="A18" s="40">
        <v>63</v>
      </c>
      <c r="B18" s="50" t="s">
        <v>20</v>
      </c>
      <c r="C18" s="75">
        <v>3</v>
      </c>
      <c r="D18" s="75">
        <v>3</v>
      </c>
      <c r="E18" s="75">
        <v>17</v>
      </c>
      <c r="F18" s="75">
        <v>30</v>
      </c>
      <c r="G18" s="75">
        <v>53</v>
      </c>
      <c r="H18" s="75">
        <v>62</v>
      </c>
      <c r="I18" s="75">
        <v>263</v>
      </c>
      <c r="J18" s="76">
        <v>431</v>
      </c>
      <c r="K18" s="50">
        <v>431</v>
      </c>
      <c r="L18" s="91">
        <f t="shared" si="2"/>
        <v>0</v>
      </c>
    </row>
    <row r="19" spans="1:12" s="50" customFormat="1" ht="13" x14ac:dyDescent="0.35">
      <c r="A19" s="40">
        <v>64</v>
      </c>
      <c r="B19" s="50" t="s">
        <v>21</v>
      </c>
      <c r="C19" s="75">
        <v>5</v>
      </c>
      <c r="D19" s="75">
        <v>6</v>
      </c>
      <c r="E19" s="75">
        <v>14</v>
      </c>
      <c r="F19" s="75">
        <v>52</v>
      </c>
      <c r="G19" s="75">
        <v>162</v>
      </c>
      <c r="H19" s="75">
        <v>108</v>
      </c>
      <c r="I19" s="75">
        <v>527</v>
      </c>
      <c r="J19" s="76">
        <v>874</v>
      </c>
      <c r="K19" s="50">
        <v>874</v>
      </c>
      <c r="L19" s="91">
        <f t="shared" si="2"/>
        <v>0</v>
      </c>
    </row>
    <row r="20" spans="1:12" s="50" customFormat="1" ht="13" x14ac:dyDescent="0.35">
      <c r="A20" s="40">
        <v>65</v>
      </c>
      <c r="B20" s="50" t="s">
        <v>22</v>
      </c>
      <c r="C20" s="75">
        <v>2</v>
      </c>
      <c r="D20" s="75">
        <v>2</v>
      </c>
      <c r="E20" s="75">
        <v>4</v>
      </c>
      <c r="F20" s="75">
        <v>21</v>
      </c>
      <c r="G20" s="75">
        <v>25</v>
      </c>
      <c r="H20" s="75">
        <v>27</v>
      </c>
      <c r="I20" s="75">
        <v>135</v>
      </c>
      <c r="J20" s="76">
        <v>216</v>
      </c>
      <c r="K20" s="50">
        <v>216</v>
      </c>
      <c r="L20" s="91">
        <f t="shared" si="2"/>
        <v>0</v>
      </c>
    </row>
    <row r="21" spans="1:12" s="50" customFormat="1" ht="13" x14ac:dyDescent="0.35">
      <c r="A21" s="40">
        <v>67</v>
      </c>
      <c r="B21" s="50" t="s">
        <v>25</v>
      </c>
      <c r="C21" s="75">
        <v>4</v>
      </c>
      <c r="D21" s="75">
        <v>6</v>
      </c>
      <c r="E21" s="75">
        <v>24</v>
      </c>
      <c r="F21" s="75">
        <v>53.5</v>
      </c>
      <c r="G21" s="75">
        <v>112</v>
      </c>
      <c r="H21" s="75">
        <v>103</v>
      </c>
      <c r="I21" s="75">
        <v>473.5</v>
      </c>
      <c r="J21" s="76">
        <v>776</v>
      </c>
      <c r="K21" s="50">
        <v>776</v>
      </c>
      <c r="L21" s="91">
        <f t="shared" si="2"/>
        <v>0</v>
      </c>
    </row>
    <row r="22" spans="1:12" s="50" customFormat="1" ht="13" x14ac:dyDescent="0.35">
      <c r="A22" s="40">
        <v>68</v>
      </c>
      <c r="B22" s="50" t="s">
        <v>57</v>
      </c>
      <c r="C22" s="75">
        <v>3</v>
      </c>
      <c r="D22" s="75">
        <v>3</v>
      </c>
      <c r="E22" s="75">
        <v>8</v>
      </c>
      <c r="F22" s="75">
        <v>29</v>
      </c>
      <c r="G22" s="75">
        <v>56</v>
      </c>
      <c r="H22" s="75">
        <v>36</v>
      </c>
      <c r="I22" s="75">
        <v>178</v>
      </c>
      <c r="J22" s="76">
        <v>313</v>
      </c>
      <c r="K22" s="50">
        <v>313</v>
      </c>
      <c r="L22" s="91">
        <f t="shared" si="2"/>
        <v>0</v>
      </c>
    </row>
    <row r="23" spans="1:12" s="50" customFormat="1" ht="13" x14ac:dyDescent="0.35">
      <c r="A23" s="40">
        <v>69</v>
      </c>
      <c r="B23" s="50" t="s">
        <v>27</v>
      </c>
      <c r="C23" s="75">
        <v>4</v>
      </c>
      <c r="D23" s="75">
        <v>4</v>
      </c>
      <c r="E23" s="75">
        <v>11</v>
      </c>
      <c r="F23" s="75">
        <v>29</v>
      </c>
      <c r="G23" s="75">
        <v>93</v>
      </c>
      <c r="H23" s="75">
        <v>76</v>
      </c>
      <c r="I23" s="75">
        <v>353</v>
      </c>
      <c r="J23" s="76">
        <v>570</v>
      </c>
      <c r="K23" s="50">
        <v>570</v>
      </c>
      <c r="L23" s="91">
        <f t="shared" si="2"/>
        <v>0</v>
      </c>
    </row>
    <row r="24" spans="1:12" s="50" customFormat="1" ht="13" x14ac:dyDescent="0.35">
      <c r="A24" s="40">
        <v>70</v>
      </c>
      <c r="B24" s="50" t="s">
        <v>28</v>
      </c>
      <c r="C24" s="75">
        <v>5</v>
      </c>
      <c r="D24" s="75">
        <v>6</v>
      </c>
      <c r="E24" s="75">
        <v>12</v>
      </c>
      <c r="F24" s="75">
        <v>28</v>
      </c>
      <c r="G24" s="75">
        <v>91</v>
      </c>
      <c r="H24" s="75">
        <v>89</v>
      </c>
      <c r="I24" s="75">
        <v>401</v>
      </c>
      <c r="J24" s="76">
        <v>632</v>
      </c>
      <c r="K24" s="50">
        <v>632</v>
      </c>
      <c r="L24" s="91">
        <f t="shared" si="2"/>
        <v>0</v>
      </c>
    </row>
    <row r="25" spans="1:12" s="50" customFormat="1" ht="13" x14ac:dyDescent="0.35">
      <c r="A25" s="40">
        <v>71</v>
      </c>
      <c r="B25" s="50" t="s">
        <v>58</v>
      </c>
      <c r="C25" s="75">
        <v>3</v>
      </c>
      <c r="D25" s="75">
        <v>0</v>
      </c>
      <c r="E25" s="75">
        <v>2</v>
      </c>
      <c r="F25" s="75">
        <v>10</v>
      </c>
      <c r="G25" s="75">
        <v>12</v>
      </c>
      <c r="H25" s="75">
        <v>8</v>
      </c>
      <c r="I25" s="75">
        <v>41</v>
      </c>
      <c r="J25" s="76">
        <v>76</v>
      </c>
      <c r="K25" s="50">
        <v>76</v>
      </c>
      <c r="L25" s="91">
        <f t="shared" si="2"/>
        <v>0</v>
      </c>
    </row>
    <row r="26" spans="1:12" s="50" customFormat="1" ht="13" x14ac:dyDescent="0.35">
      <c r="A26" s="40">
        <v>73</v>
      </c>
      <c r="B26" s="50" t="s">
        <v>31</v>
      </c>
      <c r="C26" s="75">
        <v>4</v>
      </c>
      <c r="D26" s="75">
        <v>6</v>
      </c>
      <c r="E26" s="75">
        <v>17</v>
      </c>
      <c r="F26" s="75">
        <v>84</v>
      </c>
      <c r="G26" s="75">
        <v>121</v>
      </c>
      <c r="H26" s="75">
        <v>116</v>
      </c>
      <c r="I26" s="75">
        <v>490</v>
      </c>
      <c r="J26" s="76">
        <v>838</v>
      </c>
      <c r="K26" s="50">
        <v>838</v>
      </c>
      <c r="L26" s="91">
        <f t="shared" si="2"/>
        <v>0</v>
      </c>
    </row>
    <row r="27" spans="1:12" s="50" customFormat="1" ht="13" x14ac:dyDescent="0.35">
      <c r="A27" s="40">
        <v>74</v>
      </c>
      <c r="B27" s="50" t="s">
        <v>32</v>
      </c>
      <c r="C27" s="75">
        <v>3</v>
      </c>
      <c r="D27" s="75">
        <v>6</v>
      </c>
      <c r="E27" s="75">
        <v>9</v>
      </c>
      <c r="F27" s="75">
        <v>24</v>
      </c>
      <c r="G27" s="75">
        <v>140</v>
      </c>
      <c r="H27" s="75">
        <v>105</v>
      </c>
      <c r="I27" s="75">
        <v>542</v>
      </c>
      <c r="J27" s="76">
        <v>829</v>
      </c>
      <c r="K27" s="50">
        <v>829</v>
      </c>
      <c r="L27" s="91">
        <f t="shared" si="2"/>
        <v>0</v>
      </c>
    </row>
    <row r="28" spans="1:12" s="50" customFormat="1" ht="13" x14ac:dyDescent="0.35">
      <c r="A28" s="40">
        <v>75</v>
      </c>
      <c r="B28" s="50" t="s">
        <v>33</v>
      </c>
      <c r="C28" s="75">
        <v>4</v>
      </c>
      <c r="D28" s="75">
        <v>3</v>
      </c>
      <c r="E28" s="75">
        <v>8</v>
      </c>
      <c r="F28" s="75">
        <v>23</v>
      </c>
      <c r="G28" s="75">
        <v>78</v>
      </c>
      <c r="H28" s="75">
        <v>66</v>
      </c>
      <c r="I28" s="75">
        <v>276</v>
      </c>
      <c r="J28" s="76">
        <v>458</v>
      </c>
      <c r="K28" s="50">
        <v>458</v>
      </c>
      <c r="L28" s="91">
        <f t="shared" si="2"/>
        <v>0</v>
      </c>
    </row>
    <row r="29" spans="1:12" s="50" customFormat="1" ht="13" x14ac:dyDescent="0.35">
      <c r="A29" s="40">
        <v>76</v>
      </c>
      <c r="B29" s="50" t="s">
        <v>34</v>
      </c>
      <c r="C29" s="75">
        <v>3</v>
      </c>
      <c r="D29" s="75">
        <v>5</v>
      </c>
      <c r="E29" s="75">
        <v>12</v>
      </c>
      <c r="F29" s="75">
        <v>24</v>
      </c>
      <c r="G29" s="75">
        <v>45</v>
      </c>
      <c r="H29" s="75">
        <v>47</v>
      </c>
      <c r="I29" s="75">
        <v>86</v>
      </c>
      <c r="J29" s="76">
        <v>222</v>
      </c>
      <c r="K29" s="50">
        <v>222</v>
      </c>
      <c r="L29" s="91">
        <f t="shared" si="2"/>
        <v>0</v>
      </c>
    </row>
    <row r="30" spans="1:12" s="50" customFormat="1" ht="13" x14ac:dyDescent="0.35">
      <c r="A30" s="40">
        <v>79</v>
      </c>
      <c r="B30" s="50" t="s">
        <v>36</v>
      </c>
      <c r="C30" s="75">
        <v>3</v>
      </c>
      <c r="D30" s="75">
        <v>6</v>
      </c>
      <c r="E30" s="75">
        <v>7</v>
      </c>
      <c r="F30" s="75">
        <v>23</v>
      </c>
      <c r="G30" s="75">
        <v>44</v>
      </c>
      <c r="H30" s="75">
        <v>38</v>
      </c>
      <c r="I30" s="75">
        <v>168</v>
      </c>
      <c r="J30" s="76">
        <v>289</v>
      </c>
      <c r="K30" s="50">
        <v>289</v>
      </c>
      <c r="L30" s="91">
        <f t="shared" si="2"/>
        <v>0</v>
      </c>
    </row>
    <row r="31" spans="1:12" s="50" customFormat="1" ht="12.5" x14ac:dyDescent="0.35">
      <c r="A31" s="40"/>
      <c r="B31" s="67" t="s">
        <v>81</v>
      </c>
      <c r="C31" s="68" t="s">
        <v>64</v>
      </c>
      <c r="D31" s="68" t="s">
        <v>64</v>
      </c>
      <c r="E31" s="68" t="s">
        <v>64</v>
      </c>
      <c r="F31" s="68" t="s">
        <v>64</v>
      </c>
      <c r="G31" s="68" t="s">
        <v>64</v>
      </c>
      <c r="H31" s="68" t="s">
        <v>64</v>
      </c>
      <c r="I31" s="68" t="s">
        <v>64</v>
      </c>
      <c r="J31" s="68" t="s">
        <v>64</v>
      </c>
      <c r="L31" s="91" t="e">
        <f t="shared" si="2"/>
        <v>#VALUE!</v>
      </c>
    </row>
    <row r="32" spans="1:12" s="50" customFormat="1" ht="13" x14ac:dyDescent="0.35">
      <c r="A32" s="40">
        <v>80</v>
      </c>
      <c r="B32" s="50" t="s">
        <v>38</v>
      </c>
      <c r="C32" s="75">
        <v>3</v>
      </c>
      <c r="D32" s="75">
        <v>3</v>
      </c>
      <c r="E32" s="75">
        <v>9</v>
      </c>
      <c r="F32" s="75">
        <v>22</v>
      </c>
      <c r="G32" s="75">
        <v>52</v>
      </c>
      <c r="H32" s="75">
        <v>47</v>
      </c>
      <c r="I32" s="75">
        <v>205.67</v>
      </c>
      <c r="J32" s="76">
        <v>341.67</v>
      </c>
      <c r="K32" s="50">
        <v>341.67</v>
      </c>
      <c r="L32" s="91">
        <f t="shared" si="2"/>
        <v>0</v>
      </c>
    </row>
    <row r="33" spans="1:12" s="50" customFormat="1" ht="13" x14ac:dyDescent="0.35">
      <c r="A33" s="40">
        <v>81</v>
      </c>
      <c r="B33" s="50" t="s">
        <v>39</v>
      </c>
      <c r="C33" s="75">
        <v>3</v>
      </c>
      <c r="D33" s="75">
        <v>3</v>
      </c>
      <c r="E33" s="75">
        <v>14</v>
      </c>
      <c r="F33" s="75">
        <v>25</v>
      </c>
      <c r="G33" s="75">
        <v>46</v>
      </c>
      <c r="H33" s="75">
        <v>35</v>
      </c>
      <c r="I33" s="75">
        <v>172</v>
      </c>
      <c r="J33" s="76">
        <v>298</v>
      </c>
      <c r="K33" s="50">
        <v>298</v>
      </c>
      <c r="L33" s="91">
        <f t="shared" si="2"/>
        <v>0</v>
      </c>
    </row>
    <row r="34" spans="1:12" s="50" customFormat="1" ht="13" x14ac:dyDescent="0.35">
      <c r="A34" s="40">
        <v>83</v>
      </c>
      <c r="B34" s="50" t="s">
        <v>40</v>
      </c>
      <c r="C34" s="75">
        <v>3</v>
      </c>
      <c r="D34" s="75">
        <v>0</v>
      </c>
      <c r="E34" s="75">
        <v>7</v>
      </c>
      <c r="F34" s="75">
        <v>11</v>
      </c>
      <c r="G34" s="75">
        <v>25</v>
      </c>
      <c r="H34" s="75">
        <v>19</v>
      </c>
      <c r="I34" s="75">
        <v>102</v>
      </c>
      <c r="J34" s="76">
        <v>167</v>
      </c>
      <c r="K34" s="50">
        <v>167</v>
      </c>
      <c r="L34" s="91">
        <f t="shared" si="2"/>
        <v>0</v>
      </c>
    </row>
    <row r="35" spans="1:12" s="50" customFormat="1" ht="13" x14ac:dyDescent="0.35">
      <c r="A35" s="40">
        <v>84</v>
      </c>
      <c r="B35" s="50" t="s">
        <v>41</v>
      </c>
      <c r="C35" s="75">
        <v>4</v>
      </c>
      <c r="D35" s="75">
        <v>4</v>
      </c>
      <c r="E35" s="75">
        <v>7</v>
      </c>
      <c r="F35" s="75">
        <v>34</v>
      </c>
      <c r="G35" s="75">
        <v>84</v>
      </c>
      <c r="H35" s="75">
        <v>74</v>
      </c>
      <c r="I35" s="75">
        <v>343.58</v>
      </c>
      <c r="J35" s="76">
        <v>550.58000000000004</v>
      </c>
      <c r="K35" s="50">
        <v>550.58000000000004</v>
      </c>
      <c r="L35" s="91">
        <f t="shared" si="2"/>
        <v>0</v>
      </c>
    </row>
    <row r="36" spans="1:12" s="50" customFormat="1" ht="13" x14ac:dyDescent="0.35">
      <c r="A36" s="40">
        <v>85</v>
      </c>
      <c r="B36" s="50" t="s">
        <v>42</v>
      </c>
      <c r="C36" s="75">
        <v>3</v>
      </c>
      <c r="D36" s="75">
        <v>3</v>
      </c>
      <c r="E36" s="75">
        <v>10</v>
      </c>
      <c r="F36" s="75">
        <v>31.57</v>
      </c>
      <c r="G36" s="75">
        <v>53</v>
      </c>
      <c r="H36" s="75">
        <v>21</v>
      </c>
      <c r="I36" s="75">
        <v>127</v>
      </c>
      <c r="J36" s="76">
        <v>248.57</v>
      </c>
      <c r="K36" s="50">
        <v>248.57</v>
      </c>
      <c r="L36" s="91">
        <f t="shared" si="2"/>
        <v>0</v>
      </c>
    </row>
    <row r="37" spans="1:12" s="50" customFormat="1" ht="13" x14ac:dyDescent="0.35">
      <c r="A37" s="40">
        <v>87</v>
      </c>
      <c r="B37" s="50" t="s">
        <v>43</v>
      </c>
      <c r="C37" s="75">
        <v>5</v>
      </c>
      <c r="D37" s="75">
        <v>4</v>
      </c>
      <c r="E37" s="75">
        <v>7</v>
      </c>
      <c r="F37" s="75">
        <v>16</v>
      </c>
      <c r="G37" s="75">
        <v>27</v>
      </c>
      <c r="H37" s="75">
        <v>22</v>
      </c>
      <c r="I37" s="75">
        <v>125</v>
      </c>
      <c r="J37" s="76">
        <v>206</v>
      </c>
      <c r="K37" s="50">
        <v>206</v>
      </c>
      <c r="L37" s="91">
        <f t="shared" si="2"/>
        <v>0</v>
      </c>
    </row>
    <row r="38" spans="1:12" s="50" customFormat="1" ht="13" x14ac:dyDescent="0.35">
      <c r="A38" s="40">
        <v>90</v>
      </c>
      <c r="B38" s="50" t="s">
        <v>45</v>
      </c>
      <c r="C38" s="75">
        <v>3</v>
      </c>
      <c r="D38" s="75">
        <v>2</v>
      </c>
      <c r="E38" s="75">
        <v>18</v>
      </c>
      <c r="F38" s="75">
        <v>33</v>
      </c>
      <c r="G38" s="75">
        <v>77</v>
      </c>
      <c r="H38" s="75">
        <v>68</v>
      </c>
      <c r="I38" s="75">
        <v>246</v>
      </c>
      <c r="J38" s="76">
        <v>447</v>
      </c>
      <c r="K38" s="50">
        <v>447</v>
      </c>
      <c r="L38" s="91">
        <f t="shared" si="2"/>
        <v>0</v>
      </c>
    </row>
    <row r="39" spans="1:12" s="50" customFormat="1" ht="13" x14ac:dyDescent="0.35">
      <c r="A39" s="40">
        <v>91</v>
      </c>
      <c r="B39" s="50" t="s">
        <v>46</v>
      </c>
      <c r="C39" s="75">
        <v>4</v>
      </c>
      <c r="D39" s="75">
        <v>4</v>
      </c>
      <c r="E39" s="75">
        <v>14</v>
      </c>
      <c r="F39" s="75">
        <v>13</v>
      </c>
      <c r="G39" s="75">
        <v>44.5</v>
      </c>
      <c r="H39" s="75">
        <v>32</v>
      </c>
      <c r="I39" s="75">
        <v>129</v>
      </c>
      <c r="J39" s="76">
        <v>240.5</v>
      </c>
      <c r="K39" s="50">
        <v>240.5</v>
      </c>
      <c r="L39" s="91">
        <f t="shared" si="2"/>
        <v>0</v>
      </c>
    </row>
    <row r="40" spans="1:12" s="50" customFormat="1" ht="13" x14ac:dyDescent="0.35">
      <c r="A40" s="40">
        <v>92</v>
      </c>
      <c r="B40" s="50" t="s">
        <v>47</v>
      </c>
      <c r="C40" s="75">
        <v>6</v>
      </c>
      <c r="D40" s="75">
        <v>7</v>
      </c>
      <c r="E40" s="75">
        <v>11</v>
      </c>
      <c r="F40" s="75">
        <v>43</v>
      </c>
      <c r="G40" s="75">
        <v>91</v>
      </c>
      <c r="H40" s="75">
        <v>91</v>
      </c>
      <c r="I40" s="75">
        <v>392</v>
      </c>
      <c r="J40" s="76">
        <v>641</v>
      </c>
      <c r="K40" s="50">
        <v>641</v>
      </c>
      <c r="L40" s="91">
        <f t="shared" si="2"/>
        <v>0</v>
      </c>
    </row>
    <row r="41" spans="1:12" s="50" customFormat="1" ht="13" x14ac:dyDescent="0.35">
      <c r="A41" s="40">
        <v>94</v>
      </c>
      <c r="B41" s="50" t="s">
        <v>49</v>
      </c>
      <c r="C41" s="75">
        <v>3</v>
      </c>
      <c r="D41" s="75">
        <v>4</v>
      </c>
      <c r="E41" s="75">
        <v>10</v>
      </c>
      <c r="F41" s="75">
        <v>12</v>
      </c>
      <c r="G41" s="75">
        <v>44</v>
      </c>
      <c r="H41" s="75">
        <v>41</v>
      </c>
      <c r="I41" s="75">
        <v>159.80952000000002</v>
      </c>
      <c r="J41" s="76">
        <v>273.80952000000002</v>
      </c>
      <c r="K41" s="50">
        <v>273.80952000000002</v>
      </c>
      <c r="L41" s="91">
        <f t="shared" si="2"/>
        <v>0</v>
      </c>
    </row>
    <row r="42" spans="1:12" s="50" customFormat="1" ht="13" x14ac:dyDescent="0.35">
      <c r="A42" s="40">
        <v>96</v>
      </c>
      <c r="B42" s="50" t="s">
        <v>51</v>
      </c>
      <c r="C42" s="75">
        <v>3</v>
      </c>
      <c r="D42" s="75">
        <v>4</v>
      </c>
      <c r="E42" s="75">
        <v>10</v>
      </c>
      <c r="F42" s="75">
        <v>33</v>
      </c>
      <c r="G42" s="75">
        <v>60</v>
      </c>
      <c r="H42" s="75">
        <v>62</v>
      </c>
      <c r="I42" s="75">
        <v>210.5</v>
      </c>
      <c r="J42" s="76">
        <v>382.5</v>
      </c>
      <c r="K42" s="50">
        <v>382.5</v>
      </c>
      <c r="L42" s="91">
        <f t="shared" si="2"/>
        <v>0</v>
      </c>
    </row>
    <row r="43" spans="1:12" s="50" customFormat="1" ht="13" x14ac:dyDescent="0.35">
      <c r="A43" s="40">
        <v>72</v>
      </c>
      <c r="B43" s="50" t="s">
        <v>30</v>
      </c>
      <c r="C43" s="75">
        <v>0.2</v>
      </c>
      <c r="D43" s="75">
        <v>0</v>
      </c>
      <c r="E43" s="75">
        <v>0</v>
      </c>
      <c r="F43" s="75">
        <v>1</v>
      </c>
      <c r="G43" s="75">
        <v>2</v>
      </c>
      <c r="H43" s="75">
        <v>2</v>
      </c>
      <c r="I43" s="75">
        <v>6</v>
      </c>
      <c r="J43" s="76">
        <v>11.2</v>
      </c>
      <c r="K43" s="50">
        <v>11.2</v>
      </c>
      <c r="L43" s="91">
        <f t="shared" si="2"/>
        <v>0</v>
      </c>
    </row>
    <row r="44" spans="1:12" s="37" customFormat="1" ht="26.25" customHeight="1" x14ac:dyDescent="0.35">
      <c r="A44" s="38"/>
      <c r="B44" s="37" t="s">
        <v>59</v>
      </c>
      <c r="C44" s="39">
        <f t="shared" ref="C44:I44" si="4">SUM(C45:C51)</f>
        <v>30</v>
      </c>
      <c r="D44" s="39">
        <f t="shared" si="4"/>
        <v>46</v>
      </c>
      <c r="E44" s="39">
        <f t="shared" si="4"/>
        <v>204</v>
      </c>
      <c r="F44" s="39">
        <f t="shared" si="4"/>
        <v>483</v>
      </c>
      <c r="G44" s="39">
        <f t="shared" si="4"/>
        <v>2058</v>
      </c>
      <c r="H44" s="39">
        <f t="shared" si="4"/>
        <v>1728.18</v>
      </c>
      <c r="I44" s="39">
        <f t="shared" si="4"/>
        <v>8696.57</v>
      </c>
      <c r="J44" s="39">
        <f>SUM(J45:J51)</f>
        <v>13245.75</v>
      </c>
      <c r="L44" s="91">
        <f t="shared" si="2"/>
        <v>13245.75</v>
      </c>
    </row>
    <row r="45" spans="1:12" s="50" customFormat="1" ht="13" x14ac:dyDescent="0.35">
      <c r="A45" s="40">
        <v>66</v>
      </c>
      <c r="B45" s="50" t="s">
        <v>24</v>
      </c>
      <c r="C45" s="75">
        <v>4</v>
      </c>
      <c r="D45" s="75">
        <v>6</v>
      </c>
      <c r="E45" s="75">
        <v>29</v>
      </c>
      <c r="F45" s="75">
        <v>77</v>
      </c>
      <c r="G45" s="75">
        <v>237</v>
      </c>
      <c r="H45" s="87">
        <v>195.98</v>
      </c>
      <c r="I45" s="75">
        <v>1220</v>
      </c>
      <c r="J45" s="76">
        <v>1768.98</v>
      </c>
      <c r="K45" s="50">
        <v>1768.98</v>
      </c>
      <c r="L45" s="91">
        <f t="shared" si="2"/>
        <v>0</v>
      </c>
    </row>
    <row r="46" spans="1:12" s="50" customFormat="1" ht="14" x14ac:dyDescent="0.35">
      <c r="A46" s="40">
        <v>78</v>
      </c>
      <c r="B46" s="50" t="s">
        <v>35</v>
      </c>
      <c r="C46" s="75">
        <v>3</v>
      </c>
      <c r="D46" s="75">
        <v>3</v>
      </c>
      <c r="E46" s="75">
        <v>10</v>
      </c>
      <c r="F46" s="75">
        <v>24</v>
      </c>
      <c r="G46" s="87">
        <v>180</v>
      </c>
      <c r="H46" s="87">
        <v>61.7</v>
      </c>
      <c r="I46" s="75">
        <v>603.57000000000005</v>
      </c>
      <c r="J46" s="76">
        <v>885.27</v>
      </c>
      <c r="K46" s="37">
        <v>885.27</v>
      </c>
      <c r="L46" s="91">
        <f t="shared" si="2"/>
        <v>0</v>
      </c>
    </row>
    <row r="47" spans="1:12" s="50" customFormat="1" ht="13" x14ac:dyDescent="0.35">
      <c r="A47" s="40">
        <v>89</v>
      </c>
      <c r="B47" s="50" t="s">
        <v>44</v>
      </c>
      <c r="C47" s="75">
        <v>3</v>
      </c>
      <c r="D47" s="75">
        <v>3</v>
      </c>
      <c r="E47" s="75">
        <v>10</v>
      </c>
      <c r="F47" s="75">
        <v>29</v>
      </c>
      <c r="G47" s="87">
        <v>120</v>
      </c>
      <c r="H47" s="87">
        <v>104</v>
      </c>
      <c r="I47" s="75">
        <v>483</v>
      </c>
      <c r="J47" s="76">
        <v>752</v>
      </c>
      <c r="K47" s="50">
        <v>752</v>
      </c>
      <c r="L47" s="91">
        <f t="shared" si="2"/>
        <v>0</v>
      </c>
    </row>
    <row r="48" spans="1:12" s="50" customFormat="1" ht="13" x14ac:dyDescent="0.35">
      <c r="A48" s="40">
        <v>93</v>
      </c>
      <c r="B48" s="50" t="s">
        <v>60</v>
      </c>
      <c r="C48" s="75">
        <v>4</v>
      </c>
      <c r="D48" s="75">
        <v>5</v>
      </c>
      <c r="E48" s="75">
        <v>21</v>
      </c>
      <c r="F48" s="75">
        <v>23</v>
      </c>
      <c r="G48" s="87">
        <v>147</v>
      </c>
      <c r="H48" s="87">
        <v>135</v>
      </c>
      <c r="I48" s="75">
        <v>523</v>
      </c>
      <c r="J48" s="76">
        <v>858</v>
      </c>
      <c r="K48" s="50">
        <v>858</v>
      </c>
      <c r="L48" s="91">
        <f t="shared" si="2"/>
        <v>0</v>
      </c>
    </row>
    <row r="49" spans="1:12" s="50" customFormat="1" ht="13" x14ac:dyDescent="0.35">
      <c r="A49" s="40">
        <v>95</v>
      </c>
      <c r="B49" s="50" t="s">
        <v>50</v>
      </c>
      <c r="C49" s="75">
        <v>4</v>
      </c>
      <c r="D49" s="75">
        <v>7</v>
      </c>
      <c r="E49" s="75">
        <v>26</v>
      </c>
      <c r="F49" s="75">
        <v>49</v>
      </c>
      <c r="G49" s="87">
        <v>311</v>
      </c>
      <c r="H49" s="87">
        <v>264</v>
      </c>
      <c r="I49" s="75">
        <v>1127</v>
      </c>
      <c r="J49" s="76">
        <v>1788</v>
      </c>
      <c r="K49" s="50">
        <v>1788</v>
      </c>
      <c r="L49" s="91">
        <f t="shared" si="2"/>
        <v>0</v>
      </c>
    </row>
    <row r="50" spans="1:12" s="50" customFormat="1" ht="13" x14ac:dyDescent="0.35">
      <c r="A50" s="40">
        <v>97</v>
      </c>
      <c r="B50" s="50" t="s">
        <v>52</v>
      </c>
      <c r="C50" s="75">
        <v>4</v>
      </c>
      <c r="D50" s="75">
        <v>4</v>
      </c>
      <c r="E50" s="75">
        <v>14</v>
      </c>
      <c r="F50" s="75">
        <v>62</v>
      </c>
      <c r="G50" s="75">
        <v>209</v>
      </c>
      <c r="H50" s="75">
        <v>241.5</v>
      </c>
      <c r="I50" s="75">
        <v>876</v>
      </c>
      <c r="J50" s="76">
        <v>1410.5</v>
      </c>
      <c r="K50" s="50">
        <v>1410.5</v>
      </c>
      <c r="L50" s="91">
        <f t="shared" si="2"/>
        <v>0</v>
      </c>
    </row>
    <row r="51" spans="1:12" s="50" customFormat="1" ht="13" x14ac:dyDescent="0.35">
      <c r="A51" s="50">
        <v>77</v>
      </c>
      <c r="B51" s="44" t="s">
        <v>23</v>
      </c>
      <c r="C51" s="78">
        <v>8</v>
      </c>
      <c r="D51" s="78">
        <v>18</v>
      </c>
      <c r="E51" s="78">
        <v>94</v>
      </c>
      <c r="F51" s="78">
        <v>219</v>
      </c>
      <c r="G51" s="78">
        <v>854</v>
      </c>
      <c r="H51" s="78">
        <v>726</v>
      </c>
      <c r="I51" s="78">
        <v>3864</v>
      </c>
      <c r="J51" s="79">
        <v>5783</v>
      </c>
      <c r="K51" s="50">
        <v>5783</v>
      </c>
      <c r="L51" s="91">
        <f t="shared" si="2"/>
        <v>0</v>
      </c>
    </row>
    <row r="52" spans="1:12" s="81" customFormat="1" x14ac:dyDescent="0.35">
      <c r="A52" s="40"/>
      <c r="B52" s="69"/>
      <c r="C52" s="82"/>
      <c r="D52" s="82"/>
      <c r="E52" s="60"/>
      <c r="F52" s="60"/>
      <c r="G52" s="80"/>
      <c r="H52" s="80"/>
      <c r="I52" s="80"/>
      <c r="J52" s="80"/>
    </row>
    <row r="53" spans="1:12" s="50" customFormat="1" ht="12.5" x14ac:dyDescent="0.35">
      <c r="A53" s="40"/>
      <c r="H53" s="45"/>
    </row>
    <row r="54" spans="1:12" s="50" customFormat="1" ht="12.5" x14ac:dyDescent="0.35">
      <c r="A54" s="40"/>
      <c r="B54" s="63" t="s">
        <v>71</v>
      </c>
      <c r="D54" s="45"/>
      <c r="E54" s="45"/>
    </row>
    <row r="55" spans="1:12" x14ac:dyDescent="0.35">
      <c r="I55" s="82"/>
      <c r="J55" s="82"/>
    </row>
    <row r="56" spans="1:12" x14ac:dyDescent="0.35">
      <c r="H56" s="82"/>
    </row>
    <row r="63" spans="1:12" x14ac:dyDescent="0.35">
      <c r="B63" s="50" t="s">
        <v>18</v>
      </c>
      <c r="C63" s="75">
        <v>3</v>
      </c>
      <c r="D63" s="75">
        <v>4</v>
      </c>
      <c r="E63" s="75">
        <v>8</v>
      </c>
      <c r="F63" s="75">
        <v>25</v>
      </c>
      <c r="G63" s="75">
        <v>41</v>
      </c>
      <c r="H63" s="75">
        <v>37</v>
      </c>
      <c r="I63" s="75">
        <v>167</v>
      </c>
      <c r="J63" s="76">
        <v>285</v>
      </c>
    </row>
    <row r="64" spans="1:12" x14ac:dyDescent="0.35">
      <c r="B64" s="50" t="s">
        <v>53</v>
      </c>
      <c r="C64" s="75">
        <v>4</v>
      </c>
      <c r="D64" s="75">
        <v>6</v>
      </c>
      <c r="E64" s="75">
        <v>10</v>
      </c>
      <c r="F64" s="75">
        <v>24</v>
      </c>
      <c r="G64" s="75">
        <v>33</v>
      </c>
      <c r="H64" s="75">
        <v>29</v>
      </c>
      <c r="I64" s="75">
        <v>93.44</v>
      </c>
      <c r="J64" s="76">
        <v>199.44</v>
      </c>
    </row>
  </sheetData>
  <mergeCells count="1">
    <mergeCell ref="B1:J1"/>
  </mergeCells>
  <printOptions horizontalCentered="1" verticalCentered="1"/>
  <pageMargins left="0.43" right="0.46" top="0.33" bottom="0.25" header="0.31" footer="0.51181102362204722"/>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indexed="22"/>
    <pageSetUpPr fitToPage="1"/>
  </sheetPr>
  <dimension ref="A1:S66"/>
  <sheetViews>
    <sheetView showGridLines="0" zoomScale="85" zoomScaleNormal="85" workbookViewId="0">
      <pane xSplit="2" ySplit="2" topLeftCell="C9" activePane="bottomRight" state="frozen"/>
      <selection activeCell="A4" sqref="A4:H4"/>
      <selection pane="topRight" activeCell="A4" sqref="A4:H4"/>
      <selection pane="bottomLeft" activeCell="A4" sqref="A4:H4"/>
      <selection pane="bottomRight" activeCell="A4" sqref="A4:H4"/>
    </sheetView>
  </sheetViews>
  <sheetFormatPr defaultRowHeight="15.5" x14ac:dyDescent="0.35"/>
  <cols>
    <col min="1" max="1" width="3.453125" style="40" hidden="1" customWidth="1"/>
    <col min="2" max="2" width="22.7265625" style="69" customWidth="1"/>
    <col min="3" max="8" width="13" style="69" customWidth="1"/>
    <col min="9" max="10" width="13.54296875" style="69" customWidth="1"/>
    <col min="11" max="255" width="9.1796875" style="69"/>
    <col min="256" max="256" width="0" style="69" hidden="1" customWidth="1"/>
    <col min="257" max="257" width="22.7265625" style="69" customWidth="1"/>
    <col min="258" max="263" width="13" style="69" customWidth="1"/>
    <col min="264" max="265" width="13.54296875" style="69" customWidth="1"/>
    <col min="266" max="511" width="9.1796875" style="69"/>
    <col min="512" max="512" width="0" style="69" hidden="1" customWidth="1"/>
    <col min="513" max="513" width="22.7265625" style="69" customWidth="1"/>
    <col min="514" max="519" width="13" style="69" customWidth="1"/>
    <col min="520" max="521" width="13.54296875" style="69" customWidth="1"/>
    <col min="522" max="767" width="9.1796875" style="69"/>
    <col min="768" max="768" width="0" style="69" hidden="1" customWidth="1"/>
    <col min="769" max="769" width="22.7265625" style="69" customWidth="1"/>
    <col min="770" max="775" width="13" style="69" customWidth="1"/>
    <col min="776" max="777" width="13.54296875" style="69" customWidth="1"/>
    <col min="778" max="1023" width="9.1796875" style="69"/>
    <col min="1024" max="1024" width="0" style="69" hidden="1" customWidth="1"/>
    <col min="1025" max="1025" width="22.7265625" style="69" customWidth="1"/>
    <col min="1026" max="1031" width="13" style="69" customWidth="1"/>
    <col min="1032" max="1033" width="13.54296875" style="69" customWidth="1"/>
    <col min="1034" max="1279" width="9.1796875" style="69"/>
    <col min="1280" max="1280" width="0" style="69" hidden="1" customWidth="1"/>
    <col min="1281" max="1281" width="22.7265625" style="69" customWidth="1"/>
    <col min="1282" max="1287" width="13" style="69" customWidth="1"/>
    <col min="1288" max="1289" width="13.54296875" style="69" customWidth="1"/>
    <col min="1290" max="1535" width="9.1796875" style="69"/>
    <col min="1536" max="1536" width="0" style="69" hidden="1" customWidth="1"/>
    <col min="1537" max="1537" width="22.7265625" style="69" customWidth="1"/>
    <col min="1538" max="1543" width="13" style="69" customWidth="1"/>
    <col min="1544" max="1545" width="13.54296875" style="69" customWidth="1"/>
    <col min="1546" max="1791" width="9.1796875" style="69"/>
    <col min="1792" max="1792" width="0" style="69" hidden="1" customWidth="1"/>
    <col min="1793" max="1793" width="22.7265625" style="69" customWidth="1"/>
    <col min="1794" max="1799" width="13" style="69" customWidth="1"/>
    <col min="1800" max="1801" width="13.54296875" style="69" customWidth="1"/>
    <col min="1802" max="2047" width="9.1796875" style="69"/>
    <col min="2048" max="2048" width="0" style="69" hidden="1" customWidth="1"/>
    <col min="2049" max="2049" width="22.7265625" style="69" customWidth="1"/>
    <col min="2050" max="2055" width="13" style="69" customWidth="1"/>
    <col min="2056" max="2057" width="13.54296875" style="69" customWidth="1"/>
    <col min="2058" max="2303" width="9.1796875" style="69"/>
    <col min="2304" max="2304" width="0" style="69" hidden="1" customWidth="1"/>
    <col min="2305" max="2305" width="22.7265625" style="69" customWidth="1"/>
    <col min="2306" max="2311" width="13" style="69" customWidth="1"/>
    <col min="2312" max="2313" width="13.54296875" style="69" customWidth="1"/>
    <col min="2314" max="2559" width="9.1796875" style="69"/>
    <col min="2560" max="2560" width="0" style="69" hidden="1" customWidth="1"/>
    <col min="2561" max="2561" width="22.7265625" style="69" customWidth="1"/>
    <col min="2562" max="2567" width="13" style="69" customWidth="1"/>
    <col min="2568" max="2569" width="13.54296875" style="69" customWidth="1"/>
    <col min="2570" max="2815" width="9.1796875" style="69"/>
    <col min="2816" max="2816" width="0" style="69" hidden="1" customWidth="1"/>
    <col min="2817" max="2817" width="22.7265625" style="69" customWidth="1"/>
    <col min="2818" max="2823" width="13" style="69" customWidth="1"/>
    <col min="2824" max="2825" width="13.54296875" style="69" customWidth="1"/>
    <col min="2826" max="3071" width="9.1796875" style="69"/>
    <col min="3072" max="3072" width="0" style="69" hidden="1" customWidth="1"/>
    <col min="3073" max="3073" width="22.7265625" style="69" customWidth="1"/>
    <col min="3074" max="3079" width="13" style="69" customWidth="1"/>
    <col min="3080" max="3081" width="13.54296875" style="69" customWidth="1"/>
    <col min="3082" max="3327" width="9.1796875" style="69"/>
    <col min="3328" max="3328" width="0" style="69" hidden="1" customWidth="1"/>
    <col min="3329" max="3329" width="22.7265625" style="69" customWidth="1"/>
    <col min="3330" max="3335" width="13" style="69" customWidth="1"/>
    <col min="3336" max="3337" width="13.54296875" style="69" customWidth="1"/>
    <col min="3338" max="3583" width="9.1796875" style="69"/>
    <col min="3584" max="3584" width="0" style="69" hidden="1" customWidth="1"/>
    <col min="3585" max="3585" width="22.7265625" style="69" customWidth="1"/>
    <col min="3586" max="3591" width="13" style="69" customWidth="1"/>
    <col min="3592" max="3593" width="13.54296875" style="69" customWidth="1"/>
    <col min="3594" max="3839" width="9.1796875" style="69"/>
    <col min="3840" max="3840" width="0" style="69" hidden="1" customWidth="1"/>
    <col min="3841" max="3841" width="22.7265625" style="69" customWidth="1"/>
    <col min="3842" max="3847" width="13" style="69" customWidth="1"/>
    <col min="3848" max="3849" width="13.54296875" style="69" customWidth="1"/>
    <col min="3850" max="4095" width="9.1796875" style="69"/>
    <col min="4096" max="4096" width="0" style="69" hidden="1" customWidth="1"/>
    <col min="4097" max="4097" width="22.7265625" style="69" customWidth="1"/>
    <col min="4098" max="4103" width="13" style="69" customWidth="1"/>
    <col min="4104" max="4105" width="13.54296875" style="69" customWidth="1"/>
    <col min="4106" max="4351" width="9.1796875" style="69"/>
    <col min="4352" max="4352" width="0" style="69" hidden="1" customWidth="1"/>
    <col min="4353" max="4353" width="22.7265625" style="69" customWidth="1"/>
    <col min="4354" max="4359" width="13" style="69" customWidth="1"/>
    <col min="4360" max="4361" width="13.54296875" style="69" customWidth="1"/>
    <col min="4362" max="4607" width="9.1796875" style="69"/>
    <col min="4608" max="4608" width="0" style="69" hidden="1" customWidth="1"/>
    <col min="4609" max="4609" width="22.7265625" style="69" customWidth="1"/>
    <col min="4610" max="4615" width="13" style="69" customWidth="1"/>
    <col min="4616" max="4617" width="13.54296875" style="69" customWidth="1"/>
    <col min="4618" max="4863" width="9.1796875" style="69"/>
    <col min="4864" max="4864" width="0" style="69" hidden="1" customWidth="1"/>
    <col min="4865" max="4865" width="22.7265625" style="69" customWidth="1"/>
    <col min="4866" max="4871" width="13" style="69" customWidth="1"/>
    <col min="4872" max="4873" width="13.54296875" style="69" customWidth="1"/>
    <col min="4874" max="5119" width="9.1796875" style="69"/>
    <col min="5120" max="5120" width="0" style="69" hidden="1" customWidth="1"/>
    <col min="5121" max="5121" width="22.7265625" style="69" customWidth="1"/>
    <col min="5122" max="5127" width="13" style="69" customWidth="1"/>
    <col min="5128" max="5129" width="13.54296875" style="69" customWidth="1"/>
    <col min="5130" max="5375" width="9.1796875" style="69"/>
    <col min="5376" max="5376" width="0" style="69" hidden="1" customWidth="1"/>
    <col min="5377" max="5377" width="22.7265625" style="69" customWidth="1"/>
    <col min="5378" max="5383" width="13" style="69" customWidth="1"/>
    <col min="5384" max="5385" width="13.54296875" style="69" customWidth="1"/>
    <col min="5386" max="5631" width="9.1796875" style="69"/>
    <col min="5632" max="5632" width="0" style="69" hidden="1" customWidth="1"/>
    <col min="5633" max="5633" width="22.7265625" style="69" customWidth="1"/>
    <col min="5634" max="5639" width="13" style="69" customWidth="1"/>
    <col min="5640" max="5641" width="13.54296875" style="69" customWidth="1"/>
    <col min="5642" max="5887" width="9.1796875" style="69"/>
    <col min="5888" max="5888" width="0" style="69" hidden="1" customWidth="1"/>
    <col min="5889" max="5889" width="22.7265625" style="69" customWidth="1"/>
    <col min="5890" max="5895" width="13" style="69" customWidth="1"/>
    <col min="5896" max="5897" width="13.54296875" style="69" customWidth="1"/>
    <col min="5898" max="6143" width="9.1796875" style="69"/>
    <col min="6144" max="6144" width="0" style="69" hidden="1" customWidth="1"/>
    <col min="6145" max="6145" width="22.7265625" style="69" customWidth="1"/>
    <col min="6146" max="6151" width="13" style="69" customWidth="1"/>
    <col min="6152" max="6153" width="13.54296875" style="69" customWidth="1"/>
    <col min="6154" max="6399" width="9.1796875" style="69"/>
    <col min="6400" max="6400" width="0" style="69" hidden="1" customWidth="1"/>
    <col min="6401" max="6401" width="22.7265625" style="69" customWidth="1"/>
    <col min="6402" max="6407" width="13" style="69" customWidth="1"/>
    <col min="6408" max="6409" width="13.54296875" style="69" customWidth="1"/>
    <col min="6410" max="6655" width="9.1796875" style="69"/>
    <col min="6656" max="6656" width="0" style="69" hidden="1" customWidth="1"/>
    <col min="6657" max="6657" width="22.7265625" style="69" customWidth="1"/>
    <col min="6658" max="6663" width="13" style="69" customWidth="1"/>
    <col min="6664" max="6665" width="13.54296875" style="69" customWidth="1"/>
    <col min="6666" max="6911" width="9.1796875" style="69"/>
    <col min="6912" max="6912" width="0" style="69" hidden="1" customWidth="1"/>
    <col min="6913" max="6913" width="22.7265625" style="69" customWidth="1"/>
    <col min="6914" max="6919" width="13" style="69" customWidth="1"/>
    <col min="6920" max="6921" width="13.54296875" style="69" customWidth="1"/>
    <col min="6922" max="7167" width="9.1796875" style="69"/>
    <col min="7168" max="7168" width="0" style="69" hidden="1" customWidth="1"/>
    <col min="7169" max="7169" width="22.7265625" style="69" customWidth="1"/>
    <col min="7170" max="7175" width="13" style="69" customWidth="1"/>
    <col min="7176" max="7177" width="13.54296875" style="69" customWidth="1"/>
    <col min="7178" max="7423" width="9.1796875" style="69"/>
    <col min="7424" max="7424" width="0" style="69" hidden="1" customWidth="1"/>
    <col min="7425" max="7425" width="22.7265625" style="69" customWidth="1"/>
    <col min="7426" max="7431" width="13" style="69" customWidth="1"/>
    <col min="7432" max="7433" width="13.54296875" style="69" customWidth="1"/>
    <col min="7434" max="7679" width="9.1796875" style="69"/>
    <col min="7680" max="7680" width="0" style="69" hidden="1" customWidth="1"/>
    <col min="7681" max="7681" width="22.7265625" style="69" customWidth="1"/>
    <col min="7682" max="7687" width="13" style="69" customWidth="1"/>
    <col min="7688" max="7689" width="13.54296875" style="69" customWidth="1"/>
    <col min="7690" max="7935" width="9.1796875" style="69"/>
    <col min="7936" max="7936" width="0" style="69" hidden="1" customWidth="1"/>
    <col min="7937" max="7937" width="22.7265625" style="69" customWidth="1"/>
    <col min="7938" max="7943" width="13" style="69" customWidth="1"/>
    <col min="7944" max="7945" width="13.54296875" style="69" customWidth="1"/>
    <col min="7946" max="8191" width="9.1796875" style="69"/>
    <col min="8192" max="8192" width="0" style="69" hidden="1" customWidth="1"/>
    <col min="8193" max="8193" width="22.7265625" style="69" customWidth="1"/>
    <col min="8194" max="8199" width="13" style="69" customWidth="1"/>
    <col min="8200" max="8201" width="13.54296875" style="69" customWidth="1"/>
    <col min="8202" max="8447" width="9.1796875" style="69"/>
    <col min="8448" max="8448" width="0" style="69" hidden="1" customWidth="1"/>
    <col min="8449" max="8449" width="22.7265625" style="69" customWidth="1"/>
    <col min="8450" max="8455" width="13" style="69" customWidth="1"/>
    <col min="8456" max="8457" width="13.54296875" style="69" customWidth="1"/>
    <col min="8458" max="8703" width="9.1796875" style="69"/>
    <col min="8704" max="8704" width="0" style="69" hidden="1" customWidth="1"/>
    <col min="8705" max="8705" width="22.7265625" style="69" customWidth="1"/>
    <col min="8706" max="8711" width="13" style="69" customWidth="1"/>
    <col min="8712" max="8713" width="13.54296875" style="69" customWidth="1"/>
    <col min="8714" max="8959" width="9.1796875" style="69"/>
    <col min="8960" max="8960" width="0" style="69" hidden="1" customWidth="1"/>
    <col min="8961" max="8961" width="22.7265625" style="69" customWidth="1"/>
    <col min="8962" max="8967" width="13" style="69" customWidth="1"/>
    <col min="8968" max="8969" width="13.54296875" style="69" customWidth="1"/>
    <col min="8970" max="9215" width="9.1796875" style="69"/>
    <col min="9216" max="9216" width="0" style="69" hidden="1" customWidth="1"/>
    <col min="9217" max="9217" width="22.7265625" style="69" customWidth="1"/>
    <col min="9218" max="9223" width="13" style="69" customWidth="1"/>
    <col min="9224" max="9225" width="13.54296875" style="69" customWidth="1"/>
    <col min="9226" max="9471" width="9.1796875" style="69"/>
    <col min="9472" max="9472" width="0" style="69" hidden="1" customWidth="1"/>
    <col min="9473" max="9473" width="22.7265625" style="69" customWidth="1"/>
    <col min="9474" max="9479" width="13" style="69" customWidth="1"/>
    <col min="9480" max="9481" width="13.54296875" style="69" customWidth="1"/>
    <col min="9482" max="9727" width="9.1796875" style="69"/>
    <col min="9728" max="9728" width="0" style="69" hidden="1" customWidth="1"/>
    <col min="9729" max="9729" width="22.7265625" style="69" customWidth="1"/>
    <col min="9730" max="9735" width="13" style="69" customWidth="1"/>
    <col min="9736" max="9737" width="13.54296875" style="69" customWidth="1"/>
    <col min="9738" max="9983" width="9.1796875" style="69"/>
    <col min="9984" max="9984" width="0" style="69" hidden="1" customWidth="1"/>
    <col min="9985" max="9985" width="22.7265625" style="69" customWidth="1"/>
    <col min="9986" max="9991" width="13" style="69" customWidth="1"/>
    <col min="9992" max="9993" width="13.54296875" style="69" customWidth="1"/>
    <col min="9994" max="10239" width="9.1796875" style="69"/>
    <col min="10240" max="10240" width="0" style="69" hidden="1" customWidth="1"/>
    <col min="10241" max="10241" width="22.7265625" style="69" customWidth="1"/>
    <col min="10242" max="10247" width="13" style="69" customWidth="1"/>
    <col min="10248" max="10249" width="13.54296875" style="69" customWidth="1"/>
    <col min="10250" max="10495" width="9.1796875" style="69"/>
    <col min="10496" max="10496" width="0" style="69" hidden="1" customWidth="1"/>
    <col min="10497" max="10497" width="22.7265625" style="69" customWidth="1"/>
    <col min="10498" max="10503" width="13" style="69" customWidth="1"/>
    <col min="10504" max="10505" width="13.54296875" style="69" customWidth="1"/>
    <col min="10506" max="10751" width="9.1796875" style="69"/>
    <col min="10752" max="10752" width="0" style="69" hidden="1" customWidth="1"/>
    <col min="10753" max="10753" width="22.7265625" style="69" customWidth="1"/>
    <col min="10754" max="10759" width="13" style="69" customWidth="1"/>
    <col min="10760" max="10761" width="13.54296875" style="69" customWidth="1"/>
    <col min="10762" max="11007" width="9.1796875" style="69"/>
    <col min="11008" max="11008" width="0" style="69" hidden="1" customWidth="1"/>
    <col min="11009" max="11009" width="22.7265625" style="69" customWidth="1"/>
    <col min="11010" max="11015" width="13" style="69" customWidth="1"/>
    <col min="11016" max="11017" width="13.54296875" style="69" customWidth="1"/>
    <col min="11018" max="11263" width="9.1796875" style="69"/>
    <col min="11264" max="11264" width="0" style="69" hidden="1" customWidth="1"/>
    <col min="11265" max="11265" width="22.7265625" style="69" customWidth="1"/>
    <col min="11266" max="11271" width="13" style="69" customWidth="1"/>
    <col min="11272" max="11273" width="13.54296875" style="69" customWidth="1"/>
    <col min="11274" max="11519" width="9.1796875" style="69"/>
    <col min="11520" max="11520" width="0" style="69" hidden="1" customWidth="1"/>
    <col min="11521" max="11521" width="22.7265625" style="69" customWidth="1"/>
    <col min="11522" max="11527" width="13" style="69" customWidth="1"/>
    <col min="11528" max="11529" width="13.54296875" style="69" customWidth="1"/>
    <col min="11530" max="11775" width="9.1796875" style="69"/>
    <col min="11776" max="11776" width="0" style="69" hidden="1" customWidth="1"/>
    <col min="11777" max="11777" width="22.7265625" style="69" customWidth="1"/>
    <col min="11778" max="11783" width="13" style="69" customWidth="1"/>
    <col min="11784" max="11785" width="13.54296875" style="69" customWidth="1"/>
    <col min="11786" max="12031" width="9.1796875" style="69"/>
    <col min="12032" max="12032" width="0" style="69" hidden="1" customWidth="1"/>
    <col min="12033" max="12033" width="22.7265625" style="69" customWidth="1"/>
    <col min="12034" max="12039" width="13" style="69" customWidth="1"/>
    <col min="12040" max="12041" width="13.54296875" style="69" customWidth="1"/>
    <col min="12042" max="12287" width="9.1796875" style="69"/>
    <col min="12288" max="12288" width="0" style="69" hidden="1" customWidth="1"/>
    <col min="12289" max="12289" width="22.7265625" style="69" customWidth="1"/>
    <col min="12290" max="12295" width="13" style="69" customWidth="1"/>
    <col min="12296" max="12297" width="13.54296875" style="69" customWidth="1"/>
    <col min="12298" max="12543" width="9.1796875" style="69"/>
    <col min="12544" max="12544" width="0" style="69" hidden="1" customWidth="1"/>
    <col min="12545" max="12545" width="22.7265625" style="69" customWidth="1"/>
    <col min="12546" max="12551" width="13" style="69" customWidth="1"/>
    <col min="12552" max="12553" width="13.54296875" style="69" customWidth="1"/>
    <col min="12554" max="12799" width="9.1796875" style="69"/>
    <col min="12800" max="12800" width="0" style="69" hidden="1" customWidth="1"/>
    <col min="12801" max="12801" width="22.7265625" style="69" customWidth="1"/>
    <col min="12802" max="12807" width="13" style="69" customWidth="1"/>
    <col min="12808" max="12809" width="13.54296875" style="69" customWidth="1"/>
    <col min="12810" max="13055" width="9.1796875" style="69"/>
    <col min="13056" max="13056" width="0" style="69" hidden="1" customWidth="1"/>
    <col min="13057" max="13057" width="22.7265625" style="69" customWidth="1"/>
    <col min="13058" max="13063" width="13" style="69" customWidth="1"/>
    <col min="13064" max="13065" width="13.54296875" style="69" customWidth="1"/>
    <col min="13066" max="13311" width="9.1796875" style="69"/>
    <col min="13312" max="13312" width="0" style="69" hidden="1" customWidth="1"/>
    <col min="13313" max="13313" width="22.7265625" style="69" customWidth="1"/>
    <col min="13314" max="13319" width="13" style="69" customWidth="1"/>
    <col min="13320" max="13321" width="13.54296875" style="69" customWidth="1"/>
    <col min="13322" max="13567" width="9.1796875" style="69"/>
    <col min="13568" max="13568" width="0" style="69" hidden="1" customWidth="1"/>
    <col min="13569" max="13569" width="22.7265625" style="69" customWidth="1"/>
    <col min="13570" max="13575" width="13" style="69" customWidth="1"/>
    <col min="13576" max="13577" width="13.54296875" style="69" customWidth="1"/>
    <col min="13578" max="13823" width="9.1796875" style="69"/>
    <col min="13824" max="13824" width="0" style="69" hidden="1" customWidth="1"/>
    <col min="13825" max="13825" width="22.7265625" style="69" customWidth="1"/>
    <col min="13826" max="13831" width="13" style="69" customWidth="1"/>
    <col min="13832" max="13833" width="13.54296875" style="69" customWidth="1"/>
    <col min="13834" max="14079" width="9.1796875" style="69"/>
    <col min="14080" max="14080" width="0" style="69" hidden="1" customWidth="1"/>
    <col min="14081" max="14081" width="22.7265625" style="69" customWidth="1"/>
    <col min="14082" max="14087" width="13" style="69" customWidth="1"/>
    <col min="14088" max="14089" width="13.54296875" style="69" customWidth="1"/>
    <col min="14090" max="14335" width="9.1796875" style="69"/>
    <col min="14336" max="14336" width="0" style="69" hidden="1" customWidth="1"/>
    <col min="14337" max="14337" width="22.7265625" style="69" customWidth="1"/>
    <col min="14338" max="14343" width="13" style="69" customWidth="1"/>
    <col min="14344" max="14345" width="13.54296875" style="69" customWidth="1"/>
    <col min="14346" max="14591" width="9.1796875" style="69"/>
    <col min="14592" max="14592" width="0" style="69" hidden="1" customWidth="1"/>
    <col min="14593" max="14593" width="22.7265625" style="69" customWidth="1"/>
    <col min="14594" max="14599" width="13" style="69" customWidth="1"/>
    <col min="14600" max="14601" width="13.54296875" style="69" customWidth="1"/>
    <col min="14602" max="14847" width="9.1796875" style="69"/>
    <col min="14848" max="14848" width="0" style="69" hidden="1" customWidth="1"/>
    <col min="14849" max="14849" width="22.7265625" style="69" customWidth="1"/>
    <col min="14850" max="14855" width="13" style="69" customWidth="1"/>
    <col min="14856" max="14857" width="13.54296875" style="69" customWidth="1"/>
    <col min="14858" max="15103" width="9.1796875" style="69"/>
    <col min="15104" max="15104" width="0" style="69" hidden="1" customWidth="1"/>
    <col min="15105" max="15105" width="22.7265625" style="69" customWidth="1"/>
    <col min="15106" max="15111" width="13" style="69" customWidth="1"/>
    <col min="15112" max="15113" width="13.54296875" style="69" customWidth="1"/>
    <col min="15114" max="15359" width="9.1796875" style="69"/>
    <col min="15360" max="15360" width="0" style="69" hidden="1" customWidth="1"/>
    <col min="15361" max="15361" width="22.7265625" style="69" customWidth="1"/>
    <col min="15362" max="15367" width="13" style="69" customWidth="1"/>
    <col min="15368" max="15369" width="13.54296875" style="69" customWidth="1"/>
    <col min="15370" max="15615" width="9.1796875" style="69"/>
    <col min="15616" max="15616" width="0" style="69" hidden="1" customWidth="1"/>
    <col min="15617" max="15617" width="22.7265625" style="69" customWidth="1"/>
    <col min="15618" max="15623" width="13" style="69" customWidth="1"/>
    <col min="15624" max="15625" width="13.54296875" style="69" customWidth="1"/>
    <col min="15626" max="15871" width="9.1796875" style="69"/>
    <col min="15872" max="15872" width="0" style="69" hidden="1" customWidth="1"/>
    <col min="15873" max="15873" width="22.7265625" style="69" customWidth="1"/>
    <col min="15874" max="15879" width="13" style="69" customWidth="1"/>
    <col min="15880" max="15881" width="13.54296875" style="69" customWidth="1"/>
    <col min="15882" max="16127" width="9.1796875" style="69"/>
    <col min="16128" max="16128" width="0" style="69" hidden="1" customWidth="1"/>
    <col min="16129" max="16129" width="22.7265625" style="69" customWidth="1"/>
    <col min="16130" max="16135" width="13" style="69" customWidth="1"/>
    <col min="16136" max="16137" width="13.54296875" style="69" customWidth="1"/>
    <col min="16138" max="16383" width="9.1796875" style="69"/>
    <col min="16384" max="16384" width="9.1796875" style="69" customWidth="1"/>
  </cols>
  <sheetData>
    <row r="1" spans="1:19" ht="39.75" customHeight="1" x14ac:dyDescent="0.35">
      <c r="B1" s="149" t="s">
        <v>84</v>
      </c>
      <c r="C1" s="150"/>
      <c r="D1" s="150"/>
      <c r="E1" s="150"/>
      <c r="F1" s="150"/>
      <c r="G1" s="150"/>
      <c r="H1" s="150"/>
      <c r="I1" s="150"/>
      <c r="J1" s="151"/>
    </row>
    <row r="2" spans="1:19" ht="30" customHeight="1" x14ac:dyDescent="0.35">
      <c r="B2" s="83"/>
      <c r="C2" s="70" t="s">
        <v>72</v>
      </c>
      <c r="D2" s="70" t="s">
        <v>73</v>
      </c>
      <c r="E2" s="70" t="s">
        <v>74</v>
      </c>
      <c r="F2" s="70" t="s">
        <v>75</v>
      </c>
      <c r="G2" s="70" t="s">
        <v>76</v>
      </c>
      <c r="H2" s="70" t="s">
        <v>77</v>
      </c>
      <c r="I2" s="70" t="s">
        <v>78</v>
      </c>
      <c r="J2" s="71" t="s">
        <v>1</v>
      </c>
    </row>
    <row r="3" spans="1:19" s="36" customFormat="1" ht="26.25" customHeight="1" x14ac:dyDescent="0.35">
      <c r="A3" s="38"/>
      <c r="B3" s="37" t="s">
        <v>80</v>
      </c>
      <c r="C3" s="72">
        <v>133.19999999999999</v>
      </c>
      <c r="D3" s="72">
        <v>194</v>
      </c>
      <c r="E3" s="72">
        <v>513.6</v>
      </c>
      <c r="F3" s="72">
        <v>1399.0700000000002</v>
      </c>
      <c r="G3" s="72">
        <v>4088.0699999999997</v>
      </c>
      <c r="H3" s="72">
        <v>3592.63</v>
      </c>
      <c r="I3" s="72">
        <v>16255.52952</v>
      </c>
      <c r="J3" s="72">
        <v>26178</v>
      </c>
      <c r="K3" s="73"/>
      <c r="L3" s="73"/>
      <c r="M3" s="73"/>
      <c r="N3" s="73"/>
      <c r="O3" s="73"/>
      <c r="P3" s="73"/>
      <c r="Q3" s="73"/>
      <c r="R3" s="73"/>
      <c r="S3" s="73"/>
    </row>
    <row r="4" spans="1:19" s="37" customFormat="1" ht="26.25" customHeight="1" x14ac:dyDescent="0.35">
      <c r="A4" s="38"/>
      <c r="B4" s="37" t="s">
        <v>55</v>
      </c>
      <c r="C4" s="74">
        <v>105.2</v>
      </c>
      <c r="D4" s="74">
        <v>152</v>
      </c>
      <c r="E4" s="74">
        <v>362.6</v>
      </c>
      <c r="F4" s="74">
        <v>994.07</v>
      </c>
      <c r="G4" s="74">
        <v>2315.0699999999997</v>
      </c>
      <c r="H4" s="74">
        <v>2037.8</v>
      </c>
      <c r="I4" s="74">
        <v>8407.02952</v>
      </c>
      <c r="J4" s="74">
        <v>14376</v>
      </c>
      <c r="L4" s="73"/>
      <c r="M4" s="73"/>
      <c r="N4" s="73"/>
      <c r="O4" s="73"/>
      <c r="P4" s="73"/>
      <c r="Q4" s="73"/>
      <c r="R4" s="73"/>
    </row>
    <row r="5" spans="1:19" s="50" customFormat="1" ht="14.5" x14ac:dyDescent="0.35">
      <c r="A5" s="40">
        <v>51</v>
      </c>
      <c r="B5" s="50" t="s">
        <v>7</v>
      </c>
      <c r="C5" s="75">
        <v>5</v>
      </c>
      <c r="D5" s="75">
        <v>2</v>
      </c>
      <c r="E5" s="75">
        <v>8</v>
      </c>
      <c r="F5" s="75">
        <v>19</v>
      </c>
      <c r="G5" s="75">
        <v>106.57</v>
      </c>
      <c r="H5" s="75">
        <v>51</v>
      </c>
      <c r="I5" s="75">
        <v>374.93</v>
      </c>
      <c r="J5" s="76">
        <v>566.5</v>
      </c>
      <c r="K5" s="100"/>
      <c r="L5" s="73"/>
      <c r="M5" s="102"/>
      <c r="N5" s="73"/>
      <c r="O5" s="73"/>
      <c r="P5" s="73"/>
      <c r="Q5" s="73"/>
      <c r="R5" s="73"/>
    </row>
    <row r="6" spans="1:19" s="50" customFormat="1" ht="14.5" x14ac:dyDescent="0.35">
      <c r="A6" s="40">
        <v>52</v>
      </c>
      <c r="B6" s="50" t="s">
        <v>8</v>
      </c>
      <c r="C6" s="75">
        <v>3</v>
      </c>
      <c r="D6" s="75">
        <v>5</v>
      </c>
      <c r="E6" s="75">
        <v>10</v>
      </c>
      <c r="F6" s="75">
        <v>16</v>
      </c>
      <c r="G6" s="75">
        <v>38</v>
      </c>
      <c r="H6" s="75">
        <v>48</v>
      </c>
      <c r="I6" s="75">
        <v>171</v>
      </c>
      <c r="J6" s="76">
        <v>291</v>
      </c>
      <c r="K6" s="100"/>
      <c r="L6" s="73"/>
      <c r="M6" s="102"/>
      <c r="N6" s="73"/>
      <c r="O6" s="73"/>
      <c r="P6" s="73"/>
      <c r="Q6" s="73"/>
      <c r="R6" s="73"/>
    </row>
    <row r="7" spans="1:19" s="50" customFormat="1" ht="14.5" x14ac:dyDescent="0.35">
      <c r="A7" s="40">
        <v>86</v>
      </c>
      <c r="B7" s="50" t="s">
        <v>9</v>
      </c>
      <c r="C7" s="75">
        <v>3</v>
      </c>
      <c r="D7" s="75">
        <v>4</v>
      </c>
      <c r="E7" s="75">
        <v>9</v>
      </c>
      <c r="F7" s="75">
        <v>26</v>
      </c>
      <c r="G7" s="75">
        <v>57</v>
      </c>
      <c r="H7" s="75">
        <v>68</v>
      </c>
      <c r="I7" s="75">
        <v>218</v>
      </c>
      <c r="J7" s="76">
        <v>385</v>
      </c>
      <c r="K7" s="100"/>
      <c r="L7" s="73"/>
      <c r="M7" s="102"/>
      <c r="N7" s="73"/>
      <c r="O7" s="73"/>
      <c r="P7" s="73"/>
      <c r="Q7" s="73"/>
      <c r="R7" s="73"/>
    </row>
    <row r="8" spans="1:19" s="50" customFormat="1" ht="14.5" x14ac:dyDescent="0.35">
      <c r="A8" s="40">
        <v>53</v>
      </c>
      <c r="B8" s="50" t="s">
        <v>10</v>
      </c>
      <c r="C8" s="75">
        <v>2</v>
      </c>
      <c r="D8" s="75">
        <v>3</v>
      </c>
      <c r="E8" s="75">
        <v>9</v>
      </c>
      <c r="F8" s="75">
        <v>25</v>
      </c>
      <c r="G8" s="75">
        <v>43</v>
      </c>
      <c r="H8" s="75">
        <v>48</v>
      </c>
      <c r="I8" s="75">
        <v>179</v>
      </c>
      <c r="J8" s="76">
        <v>309</v>
      </c>
      <c r="K8" s="100"/>
      <c r="L8" s="73"/>
      <c r="M8" s="102"/>
      <c r="N8" s="73"/>
      <c r="O8" s="73"/>
      <c r="P8" s="73"/>
      <c r="Q8" s="73"/>
      <c r="R8" s="73"/>
    </row>
    <row r="9" spans="1:19" s="50" customFormat="1" ht="14.5" x14ac:dyDescent="0.35">
      <c r="A9" s="40">
        <v>54</v>
      </c>
      <c r="B9" s="50" t="s">
        <v>11</v>
      </c>
      <c r="C9" s="75">
        <v>3</v>
      </c>
      <c r="D9" s="75">
        <v>4</v>
      </c>
      <c r="E9" s="75">
        <v>7</v>
      </c>
      <c r="F9" s="75">
        <v>26</v>
      </c>
      <c r="G9" s="75">
        <v>45</v>
      </c>
      <c r="H9" s="75">
        <v>25</v>
      </c>
      <c r="I9" s="75">
        <v>132</v>
      </c>
      <c r="J9" s="76">
        <v>242</v>
      </c>
      <c r="K9" s="100"/>
      <c r="L9" s="73"/>
      <c r="M9" s="102"/>
      <c r="N9" s="73"/>
      <c r="O9" s="73"/>
      <c r="P9" s="73"/>
      <c r="Q9" s="73"/>
      <c r="R9" s="73"/>
    </row>
    <row r="10" spans="1:19" s="50" customFormat="1" ht="14.5" x14ac:dyDescent="0.35">
      <c r="A10" s="40">
        <v>55</v>
      </c>
      <c r="B10" s="50" t="s">
        <v>12</v>
      </c>
      <c r="C10" s="75">
        <v>3</v>
      </c>
      <c r="D10" s="75">
        <v>3</v>
      </c>
      <c r="E10" s="75">
        <v>8</v>
      </c>
      <c r="F10" s="75">
        <v>32</v>
      </c>
      <c r="G10" s="75">
        <v>67</v>
      </c>
      <c r="H10" s="75">
        <v>66</v>
      </c>
      <c r="I10" s="75">
        <v>277</v>
      </c>
      <c r="J10" s="76">
        <v>456</v>
      </c>
      <c r="K10" s="100"/>
      <c r="L10" s="73"/>
      <c r="M10" s="102"/>
      <c r="N10" s="73"/>
      <c r="O10" s="73"/>
      <c r="P10" s="73"/>
      <c r="Q10" s="73"/>
      <c r="R10" s="73"/>
    </row>
    <row r="11" spans="1:19" s="50" customFormat="1" ht="14.5" x14ac:dyDescent="0.35">
      <c r="A11" s="40">
        <v>56</v>
      </c>
      <c r="B11" s="50" t="s">
        <v>13</v>
      </c>
      <c r="C11" s="75">
        <v>1</v>
      </c>
      <c r="D11" s="75">
        <v>3</v>
      </c>
      <c r="E11" s="75">
        <v>6</v>
      </c>
      <c r="F11" s="75">
        <v>11</v>
      </c>
      <c r="G11" s="75">
        <v>50</v>
      </c>
      <c r="H11" s="75">
        <v>74</v>
      </c>
      <c r="I11" s="75">
        <v>275</v>
      </c>
      <c r="J11" s="76">
        <v>420</v>
      </c>
      <c r="K11" s="100"/>
      <c r="L11" s="73"/>
      <c r="M11" s="102"/>
      <c r="N11" s="73"/>
      <c r="O11" s="73"/>
      <c r="P11" s="73"/>
      <c r="Q11" s="73"/>
      <c r="R11" s="73"/>
    </row>
    <row r="12" spans="1:19" s="50" customFormat="1" ht="14.5" x14ac:dyDescent="0.35">
      <c r="A12" s="40">
        <v>57</v>
      </c>
      <c r="B12" s="50" t="s">
        <v>14</v>
      </c>
      <c r="C12" s="75">
        <v>3</v>
      </c>
      <c r="D12" s="75">
        <v>4</v>
      </c>
      <c r="E12" s="75">
        <v>10</v>
      </c>
      <c r="F12" s="75">
        <v>14</v>
      </c>
      <c r="G12" s="75">
        <v>37</v>
      </c>
      <c r="H12" s="75">
        <v>21</v>
      </c>
      <c r="I12" s="75">
        <v>112</v>
      </c>
      <c r="J12" s="76">
        <v>201</v>
      </c>
      <c r="K12" s="100"/>
      <c r="L12" s="73"/>
      <c r="M12" s="102"/>
      <c r="N12" s="73"/>
      <c r="O12" s="73"/>
      <c r="P12" s="73"/>
      <c r="Q12" s="73"/>
      <c r="R12" s="73"/>
    </row>
    <row r="13" spans="1:19" s="50" customFormat="1" ht="14.5" x14ac:dyDescent="0.35">
      <c r="A13" s="40">
        <v>59</v>
      </c>
      <c r="B13" s="50" t="s">
        <v>15</v>
      </c>
      <c r="C13" s="75">
        <v>2</v>
      </c>
      <c r="D13" s="75">
        <v>4</v>
      </c>
      <c r="E13" s="75">
        <v>8</v>
      </c>
      <c r="F13" s="75">
        <v>15</v>
      </c>
      <c r="G13" s="75">
        <v>23</v>
      </c>
      <c r="H13" s="75">
        <v>35</v>
      </c>
      <c r="I13" s="75">
        <v>116</v>
      </c>
      <c r="J13" s="76">
        <v>203</v>
      </c>
      <c r="K13" s="100"/>
      <c r="L13" s="73"/>
      <c r="M13" s="102"/>
      <c r="N13" s="73"/>
      <c r="O13" s="73"/>
      <c r="P13" s="73"/>
      <c r="Q13" s="73"/>
      <c r="R13" s="73"/>
    </row>
    <row r="14" spans="1:19" s="50" customFormat="1" ht="14.5" x14ac:dyDescent="0.35">
      <c r="A14" s="40">
        <v>60</v>
      </c>
      <c r="B14" s="50" t="s">
        <v>16</v>
      </c>
      <c r="C14" s="75">
        <v>2</v>
      </c>
      <c r="D14" s="75">
        <v>4</v>
      </c>
      <c r="E14" s="75">
        <v>9</v>
      </c>
      <c r="F14" s="75">
        <v>26</v>
      </c>
      <c r="G14" s="75">
        <v>60</v>
      </c>
      <c r="H14" s="75">
        <v>64</v>
      </c>
      <c r="I14" s="75">
        <v>205</v>
      </c>
      <c r="J14" s="76">
        <v>370</v>
      </c>
      <c r="K14" s="100"/>
      <c r="L14" s="73"/>
      <c r="M14" s="102"/>
      <c r="N14" s="73"/>
      <c r="O14" s="73"/>
      <c r="P14" s="73"/>
      <c r="Q14" s="73"/>
      <c r="R14" s="73"/>
    </row>
    <row r="15" spans="1:19" s="50" customFormat="1" ht="14.5" x14ac:dyDescent="0.35">
      <c r="A15" s="40">
        <v>61</v>
      </c>
      <c r="B15" s="77" t="s">
        <v>56</v>
      </c>
      <c r="C15" s="75">
        <v>2</v>
      </c>
      <c r="D15" s="75">
        <v>8</v>
      </c>
      <c r="E15" s="75">
        <v>33</v>
      </c>
      <c r="F15" s="75">
        <v>63</v>
      </c>
      <c r="G15" s="75">
        <v>119.5</v>
      </c>
      <c r="H15" s="75">
        <v>91</v>
      </c>
      <c r="I15" s="75">
        <v>317.36</v>
      </c>
      <c r="J15" s="76">
        <v>633.86</v>
      </c>
      <c r="K15" s="100"/>
      <c r="L15" s="73"/>
      <c r="M15" s="102"/>
      <c r="N15" s="73"/>
      <c r="O15" s="73"/>
      <c r="P15" s="73"/>
      <c r="Q15" s="73"/>
      <c r="R15" s="73"/>
    </row>
    <row r="16" spans="1:19" s="50" customFormat="1" ht="14.5" x14ac:dyDescent="0.35">
      <c r="A16" s="40">
        <v>62</v>
      </c>
      <c r="B16" s="50" t="s">
        <v>143</v>
      </c>
      <c r="C16" s="75">
        <f>C65+C66</f>
        <v>5</v>
      </c>
      <c r="D16" s="75">
        <f t="shared" ref="D16:J16" si="0">D65+D66</f>
        <v>10</v>
      </c>
      <c r="E16" s="75">
        <f t="shared" si="0"/>
        <v>15</v>
      </c>
      <c r="F16" s="75">
        <f t="shared" si="0"/>
        <v>36</v>
      </c>
      <c r="G16" s="75">
        <f t="shared" si="0"/>
        <v>76</v>
      </c>
      <c r="H16" s="75">
        <f t="shared" si="0"/>
        <v>67</v>
      </c>
      <c r="I16" s="75">
        <f t="shared" si="0"/>
        <v>247</v>
      </c>
      <c r="J16" s="76">
        <f t="shared" si="0"/>
        <v>456</v>
      </c>
      <c r="K16" s="100"/>
      <c r="L16" s="73"/>
      <c r="M16" s="102"/>
      <c r="N16" s="73"/>
      <c r="O16" s="73"/>
      <c r="P16" s="73"/>
      <c r="Q16" s="73"/>
      <c r="R16" s="73"/>
    </row>
    <row r="17" spans="1:18" s="50" customFormat="1" ht="14.5" x14ac:dyDescent="0.35">
      <c r="A17" s="40">
        <v>58</v>
      </c>
      <c r="B17" s="50" t="s">
        <v>19</v>
      </c>
      <c r="C17" s="75">
        <v>2</v>
      </c>
      <c r="D17" s="75">
        <v>4</v>
      </c>
      <c r="E17" s="75">
        <v>8</v>
      </c>
      <c r="F17" s="75">
        <v>26</v>
      </c>
      <c r="G17" s="75">
        <v>56</v>
      </c>
      <c r="H17" s="75">
        <v>51</v>
      </c>
      <c r="I17" s="75">
        <v>196</v>
      </c>
      <c r="J17" s="76">
        <v>343</v>
      </c>
      <c r="K17" s="100"/>
      <c r="L17" s="73"/>
      <c r="M17" s="102"/>
      <c r="N17" s="73"/>
      <c r="O17" s="73"/>
      <c r="P17" s="73"/>
      <c r="Q17" s="73"/>
      <c r="R17" s="73"/>
    </row>
    <row r="18" spans="1:18" s="50" customFormat="1" ht="14.5" x14ac:dyDescent="0.35">
      <c r="A18" s="40">
        <v>63</v>
      </c>
      <c r="B18" s="50" t="s">
        <v>20</v>
      </c>
      <c r="C18" s="75">
        <v>3</v>
      </c>
      <c r="D18" s="75">
        <v>3</v>
      </c>
      <c r="E18" s="75">
        <v>13</v>
      </c>
      <c r="F18" s="75">
        <v>28</v>
      </c>
      <c r="G18" s="75">
        <v>46</v>
      </c>
      <c r="H18" s="75">
        <v>61</v>
      </c>
      <c r="I18" s="75">
        <v>253</v>
      </c>
      <c r="J18" s="76">
        <v>407</v>
      </c>
      <c r="K18" s="100"/>
      <c r="L18" s="73"/>
      <c r="M18" s="102"/>
      <c r="N18" s="73"/>
      <c r="O18" s="73"/>
      <c r="P18" s="73"/>
      <c r="Q18" s="73"/>
      <c r="R18" s="73"/>
    </row>
    <row r="19" spans="1:18" s="50" customFormat="1" ht="14.5" x14ac:dyDescent="0.35">
      <c r="A19" s="40">
        <v>64</v>
      </c>
      <c r="B19" s="50" t="s">
        <v>21</v>
      </c>
      <c r="C19" s="75">
        <v>4</v>
      </c>
      <c r="D19" s="75">
        <v>8</v>
      </c>
      <c r="E19" s="75">
        <v>15</v>
      </c>
      <c r="F19" s="75">
        <v>43</v>
      </c>
      <c r="G19" s="75">
        <v>154</v>
      </c>
      <c r="H19" s="75">
        <v>105</v>
      </c>
      <c r="I19" s="75">
        <v>448</v>
      </c>
      <c r="J19" s="76">
        <v>777</v>
      </c>
      <c r="K19" s="100"/>
      <c r="L19" s="73"/>
      <c r="M19" s="102"/>
      <c r="N19" s="73"/>
      <c r="O19" s="73"/>
      <c r="P19" s="73"/>
      <c r="Q19" s="73"/>
      <c r="R19" s="73"/>
    </row>
    <row r="20" spans="1:18" s="50" customFormat="1" ht="14.5" x14ac:dyDescent="0.35">
      <c r="A20" s="40">
        <v>65</v>
      </c>
      <c r="B20" s="50" t="s">
        <v>22</v>
      </c>
      <c r="C20" s="75">
        <v>2</v>
      </c>
      <c r="D20" s="75">
        <v>4</v>
      </c>
      <c r="E20" s="75">
        <v>6</v>
      </c>
      <c r="F20" s="75">
        <v>21</v>
      </c>
      <c r="G20" s="75">
        <v>34</v>
      </c>
      <c r="H20" s="75">
        <v>25</v>
      </c>
      <c r="I20" s="75">
        <v>112.5</v>
      </c>
      <c r="J20" s="76">
        <v>204.5</v>
      </c>
      <c r="K20" s="100"/>
      <c r="L20" s="73"/>
      <c r="M20" s="102"/>
      <c r="N20" s="73"/>
      <c r="O20" s="73"/>
      <c r="P20" s="73"/>
      <c r="Q20" s="73"/>
      <c r="R20" s="73"/>
    </row>
    <row r="21" spans="1:18" s="50" customFormat="1" ht="14.5" x14ac:dyDescent="0.35">
      <c r="A21" s="40">
        <v>67</v>
      </c>
      <c r="B21" s="50" t="s">
        <v>25</v>
      </c>
      <c r="C21" s="75">
        <v>4</v>
      </c>
      <c r="D21" s="75">
        <v>6</v>
      </c>
      <c r="E21" s="75">
        <v>21</v>
      </c>
      <c r="F21" s="75">
        <v>52.5</v>
      </c>
      <c r="G21" s="75">
        <v>98.5</v>
      </c>
      <c r="H21" s="75">
        <v>97</v>
      </c>
      <c r="I21" s="75">
        <v>447.93</v>
      </c>
      <c r="J21" s="76">
        <v>726.93000000000006</v>
      </c>
      <c r="K21" s="100"/>
      <c r="L21" s="73"/>
      <c r="M21" s="102"/>
      <c r="N21" s="73"/>
      <c r="O21" s="73"/>
      <c r="P21" s="73"/>
      <c r="Q21" s="73"/>
      <c r="R21" s="73"/>
    </row>
    <row r="22" spans="1:18" s="50" customFormat="1" ht="14.5" x14ac:dyDescent="0.35">
      <c r="A22" s="40">
        <v>68</v>
      </c>
      <c r="B22" s="50" t="s">
        <v>57</v>
      </c>
      <c r="C22" s="75">
        <v>3</v>
      </c>
      <c r="D22" s="75">
        <v>4</v>
      </c>
      <c r="E22" s="75">
        <v>9</v>
      </c>
      <c r="F22" s="75">
        <v>24</v>
      </c>
      <c r="G22" s="75">
        <v>56</v>
      </c>
      <c r="H22" s="75">
        <v>37</v>
      </c>
      <c r="I22" s="75">
        <v>163</v>
      </c>
      <c r="J22" s="76">
        <v>296</v>
      </c>
      <c r="K22" s="100"/>
      <c r="L22" s="73"/>
      <c r="M22" s="102"/>
      <c r="N22" s="73"/>
      <c r="O22" s="73"/>
      <c r="P22" s="73"/>
      <c r="Q22" s="73"/>
      <c r="R22" s="73"/>
    </row>
    <row r="23" spans="1:18" s="50" customFormat="1" ht="14" x14ac:dyDescent="0.35">
      <c r="A23" s="40">
        <v>69</v>
      </c>
      <c r="B23" s="50" t="s">
        <v>27</v>
      </c>
      <c r="C23" s="117">
        <v>1</v>
      </c>
      <c r="D23" s="117">
        <v>3</v>
      </c>
      <c r="E23" s="117">
        <v>10</v>
      </c>
      <c r="F23" s="117">
        <v>26.6</v>
      </c>
      <c r="G23" s="117">
        <v>79</v>
      </c>
      <c r="H23" s="117">
        <v>83</v>
      </c>
      <c r="I23" s="117">
        <v>310.8</v>
      </c>
      <c r="J23" s="118">
        <v>513.4</v>
      </c>
      <c r="K23" s="73" t="s">
        <v>146</v>
      </c>
      <c r="L23" s="73"/>
      <c r="M23" s="102"/>
      <c r="N23" s="73"/>
      <c r="O23" s="73"/>
      <c r="P23" s="73"/>
      <c r="Q23" s="73"/>
      <c r="R23" s="73"/>
    </row>
    <row r="24" spans="1:18" s="50" customFormat="1" ht="14.5" x14ac:dyDescent="0.35">
      <c r="A24" s="40">
        <v>70</v>
      </c>
      <c r="B24" s="50" t="s">
        <v>28</v>
      </c>
      <c r="C24" s="75">
        <v>2</v>
      </c>
      <c r="D24" s="75">
        <v>4</v>
      </c>
      <c r="E24" s="75">
        <v>12</v>
      </c>
      <c r="F24" s="75">
        <v>31</v>
      </c>
      <c r="G24" s="75">
        <v>94</v>
      </c>
      <c r="H24" s="75">
        <v>70</v>
      </c>
      <c r="I24" s="75">
        <v>346</v>
      </c>
      <c r="J24" s="76">
        <v>559</v>
      </c>
      <c r="K24" s="100"/>
      <c r="L24" s="73"/>
      <c r="M24" s="102"/>
      <c r="N24" s="73"/>
      <c r="O24" s="73"/>
      <c r="P24" s="73"/>
      <c r="Q24" s="73"/>
      <c r="R24" s="73"/>
    </row>
    <row r="25" spans="1:18" s="50" customFormat="1" ht="14.5" x14ac:dyDescent="0.35">
      <c r="A25" s="40">
        <v>71</v>
      </c>
      <c r="B25" s="50" t="s">
        <v>58</v>
      </c>
      <c r="C25" s="75">
        <v>2</v>
      </c>
      <c r="D25" s="75">
        <v>1</v>
      </c>
      <c r="E25" s="75">
        <v>1</v>
      </c>
      <c r="F25" s="75">
        <v>12</v>
      </c>
      <c r="G25" s="75">
        <v>12</v>
      </c>
      <c r="H25" s="75">
        <v>8</v>
      </c>
      <c r="I25" s="75">
        <v>45</v>
      </c>
      <c r="J25" s="76">
        <v>81</v>
      </c>
      <c r="K25" s="100"/>
      <c r="L25" s="73"/>
      <c r="M25" s="102"/>
      <c r="N25" s="73"/>
      <c r="O25" s="73"/>
      <c r="P25" s="73"/>
      <c r="Q25" s="73"/>
      <c r="R25" s="73"/>
    </row>
    <row r="26" spans="1:18" s="50" customFormat="1" ht="14.5" x14ac:dyDescent="0.35">
      <c r="A26" s="40">
        <v>73</v>
      </c>
      <c r="B26" s="50" t="s">
        <v>31</v>
      </c>
      <c r="C26" s="75">
        <v>4</v>
      </c>
      <c r="D26" s="75">
        <v>7</v>
      </c>
      <c r="E26" s="75">
        <v>15</v>
      </c>
      <c r="F26" s="75">
        <v>69</v>
      </c>
      <c r="G26" s="75">
        <v>110</v>
      </c>
      <c r="H26" s="75">
        <v>119</v>
      </c>
      <c r="I26" s="75">
        <v>468</v>
      </c>
      <c r="J26" s="76">
        <v>792</v>
      </c>
      <c r="K26" s="100"/>
      <c r="L26" s="73"/>
      <c r="M26" s="102"/>
      <c r="N26" s="73"/>
      <c r="O26" s="73"/>
      <c r="P26" s="73"/>
      <c r="Q26" s="73"/>
      <c r="R26" s="73"/>
    </row>
    <row r="27" spans="1:18" s="50" customFormat="1" ht="14.5" x14ac:dyDescent="0.35">
      <c r="A27" s="40">
        <v>74</v>
      </c>
      <c r="B27" s="50" t="s">
        <v>32</v>
      </c>
      <c r="C27" s="75">
        <v>3</v>
      </c>
      <c r="D27" s="75">
        <v>4</v>
      </c>
      <c r="E27" s="75">
        <v>10</v>
      </c>
      <c r="F27" s="75">
        <v>34</v>
      </c>
      <c r="G27" s="75">
        <v>112</v>
      </c>
      <c r="H27" s="75">
        <v>112</v>
      </c>
      <c r="I27" s="75">
        <v>440</v>
      </c>
      <c r="J27" s="76">
        <v>715</v>
      </c>
      <c r="K27" s="100"/>
      <c r="L27" s="73"/>
      <c r="M27" s="102"/>
      <c r="N27" s="73"/>
      <c r="O27" s="73"/>
      <c r="P27" s="73"/>
      <c r="Q27" s="73"/>
      <c r="R27" s="73"/>
    </row>
    <row r="28" spans="1:18" s="50" customFormat="1" ht="14.5" x14ac:dyDescent="0.35">
      <c r="A28" s="40">
        <v>75</v>
      </c>
      <c r="B28" s="50" t="s">
        <v>33</v>
      </c>
      <c r="C28" s="75">
        <v>3</v>
      </c>
      <c r="D28" s="75">
        <v>4</v>
      </c>
      <c r="E28" s="75">
        <v>6</v>
      </c>
      <c r="F28" s="75">
        <v>24</v>
      </c>
      <c r="G28" s="75">
        <v>64.5</v>
      </c>
      <c r="H28" s="75">
        <v>61</v>
      </c>
      <c r="I28" s="75">
        <v>276</v>
      </c>
      <c r="J28" s="76">
        <v>438.5</v>
      </c>
      <c r="K28" s="100"/>
      <c r="L28" s="73"/>
      <c r="M28" s="102"/>
      <c r="N28" s="73"/>
      <c r="O28" s="73"/>
      <c r="P28" s="73"/>
      <c r="Q28" s="73"/>
      <c r="R28" s="73"/>
    </row>
    <row r="29" spans="1:18" s="50" customFormat="1" ht="14.5" x14ac:dyDescent="0.35">
      <c r="A29" s="40">
        <v>76</v>
      </c>
      <c r="B29" s="50" t="s">
        <v>34</v>
      </c>
      <c r="C29" s="75">
        <v>3</v>
      </c>
      <c r="D29" s="75">
        <v>4</v>
      </c>
      <c r="E29" s="75">
        <v>9</v>
      </c>
      <c r="F29" s="75">
        <v>26</v>
      </c>
      <c r="G29" s="75">
        <v>43</v>
      </c>
      <c r="H29" s="75">
        <v>30</v>
      </c>
      <c r="I29" s="75">
        <v>93</v>
      </c>
      <c r="J29" s="76">
        <v>208</v>
      </c>
      <c r="K29" s="100"/>
      <c r="L29" s="73"/>
      <c r="M29" s="102"/>
      <c r="N29" s="73"/>
      <c r="O29" s="73"/>
      <c r="P29" s="73"/>
      <c r="Q29" s="73"/>
      <c r="R29" s="73"/>
    </row>
    <row r="30" spans="1:18" s="50" customFormat="1" ht="14.5" x14ac:dyDescent="0.35">
      <c r="A30" s="40">
        <v>79</v>
      </c>
      <c r="B30" s="50" t="s">
        <v>36</v>
      </c>
      <c r="C30" s="75">
        <v>2</v>
      </c>
      <c r="D30" s="75">
        <v>2</v>
      </c>
      <c r="E30" s="75">
        <v>10</v>
      </c>
      <c r="F30" s="75">
        <v>23</v>
      </c>
      <c r="G30" s="75">
        <v>42</v>
      </c>
      <c r="H30" s="75">
        <v>34.5</v>
      </c>
      <c r="I30" s="75">
        <v>141</v>
      </c>
      <c r="J30" s="76">
        <v>254.5</v>
      </c>
      <c r="K30" s="100"/>
      <c r="L30" s="73"/>
      <c r="M30" s="102"/>
      <c r="N30" s="73"/>
      <c r="O30" s="73"/>
      <c r="P30" s="73"/>
      <c r="Q30" s="73"/>
      <c r="R30" s="73"/>
    </row>
    <row r="31" spans="1:18" s="50" customFormat="1" ht="14.5" x14ac:dyDescent="0.35">
      <c r="A31" s="40"/>
      <c r="B31" s="67" t="s">
        <v>81</v>
      </c>
      <c r="C31" s="68" t="s">
        <v>64</v>
      </c>
      <c r="D31" s="68" t="s">
        <v>64</v>
      </c>
      <c r="E31" s="68" t="s">
        <v>64</v>
      </c>
      <c r="F31" s="68" t="s">
        <v>64</v>
      </c>
      <c r="G31" s="68" t="s">
        <v>64</v>
      </c>
      <c r="H31" s="68" t="s">
        <v>64</v>
      </c>
      <c r="I31" s="68" t="s">
        <v>64</v>
      </c>
      <c r="J31" s="68" t="s">
        <v>64</v>
      </c>
      <c r="K31" s="100"/>
      <c r="M31" s="102"/>
      <c r="N31" s="73"/>
      <c r="O31" s="73"/>
      <c r="P31" s="73"/>
      <c r="Q31" s="73"/>
      <c r="R31" s="73"/>
    </row>
    <row r="32" spans="1:18" s="50" customFormat="1" ht="14.5" x14ac:dyDescent="0.35">
      <c r="A32" s="40">
        <v>80</v>
      </c>
      <c r="B32" s="50" t="s">
        <v>38</v>
      </c>
      <c r="C32" s="75">
        <v>2</v>
      </c>
      <c r="D32" s="75">
        <v>3</v>
      </c>
      <c r="E32" s="75">
        <v>9</v>
      </c>
      <c r="F32" s="75">
        <v>21</v>
      </c>
      <c r="G32" s="75">
        <v>52</v>
      </c>
      <c r="H32" s="75">
        <v>49</v>
      </c>
      <c r="I32" s="75">
        <v>186</v>
      </c>
      <c r="J32" s="76">
        <v>322</v>
      </c>
      <c r="K32" s="100"/>
      <c r="L32" s="73"/>
      <c r="M32" s="102"/>
      <c r="N32" s="73"/>
      <c r="O32" s="73"/>
      <c r="P32" s="73"/>
      <c r="Q32" s="73"/>
      <c r="R32" s="73"/>
    </row>
    <row r="33" spans="1:18" s="50" customFormat="1" ht="14.5" x14ac:dyDescent="0.35">
      <c r="A33" s="40">
        <v>81</v>
      </c>
      <c r="B33" s="50" t="s">
        <v>39</v>
      </c>
      <c r="C33" s="75">
        <v>3</v>
      </c>
      <c r="D33" s="75">
        <v>3</v>
      </c>
      <c r="E33" s="75">
        <v>14</v>
      </c>
      <c r="F33" s="75">
        <v>23</v>
      </c>
      <c r="G33" s="75">
        <v>45</v>
      </c>
      <c r="H33" s="75">
        <v>37</v>
      </c>
      <c r="I33" s="75">
        <v>158</v>
      </c>
      <c r="J33" s="76">
        <v>283</v>
      </c>
      <c r="K33" s="100"/>
      <c r="L33" s="73"/>
      <c r="M33" s="102"/>
      <c r="N33" s="73"/>
      <c r="O33" s="73"/>
      <c r="P33" s="73"/>
      <c r="Q33" s="73"/>
      <c r="R33" s="73"/>
    </row>
    <row r="34" spans="1:18" s="50" customFormat="1" ht="14.5" x14ac:dyDescent="0.35">
      <c r="A34" s="40">
        <v>83</v>
      </c>
      <c r="B34" s="50" t="s">
        <v>40</v>
      </c>
      <c r="C34" s="75">
        <v>3</v>
      </c>
      <c r="D34" s="75">
        <v>1</v>
      </c>
      <c r="E34" s="75">
        <v>5</v>
      </c>
      <c r="F34" s="75">
        <v>11</v>
      </c>
      <c r="G34" s="75">
        <v>22</v>
      </c>
      <c r="H34" s="75">
        <v>20</v>
      </c>
      <c r="I34" s="75">
        <v>84</v>
      </c>
      <c r="J34" s="76">
        <v>146</v>
      </c>
      <c r="K34" s="100"/>
      <c r="L34" s="73"/>
      <c r="M34" s="102"/>
      <c r="N34" s="73"/>
      <c r="O34" s="73"/>
      <c r="P34" s="73"/>
      <c r="Q34" s="73"/>
      <c r="R34" s="73"/>
    </row>
    <row r="35" spans="1:18" s="50" customFormat="1" ht="14.5" x14ac:dyDescent="0.35">
      <c r="A35" s="40">
        <v>84</v>
      </c>
      <c r="B35" s="50" t="s">
        <v>41</v>
      </c>
      <c r="C35" s="75">
        <v>3</v>
      </c>
      <c r="D35" s="75">
        <v>3</v>
      </c>
      <c r="E35" s="75">
        <v>6</v>
      </c>
      <c r="F35" s="75">
        <v>27</v>
      </c>
      <c r="G35" s="75">
        <v>83</v>
      </c>
      <c r="H35" s="75">
        <v>66</v>
      </c>
      <c r="I35" s="75">
        <v>348</v>
      </c>
      <c r="J35" s="76">
        <v>536</v>
      </c>
      <c r="K35" s="100"/>
      <c r="L35" s="73"/>
      <c r="M35" s="102"/>
      <c r="N35" s="73"/>
      <c r="O35" s="73"/>
      <c r="P35" s="73"/>
      <c r="Q35" s="73"/>
      <c r="R35" s="73"/>
    </row>
    <row r="36" spans="1:18" s="50" customFormat="1" ht="14.5" x14ac:dyDescent="0.35">
      <c r="A36" s="40">
        <v>85</v>
      </c>
      <c r="B36" s="50" t="s">
        <v>42</v>
      </c>
      <c r="C36" s="75">
        <v>3</v>
      </c>
      <c r="D36" s="75">
        <v>4</v>
      </c>
      <c r="E36" s="75">
        <v>8</v>
      </c>
      <c r="F36" s="75">
        <v>30.57</v>
      </c>
      <c r="G36" s="75">
        <v>57</v>
      </c>
      <c r="H36" s="75">
        <v>23</v>
      </c>
      <c r="I36" s="75">
        <v>119.5</v>
      </c>
      <c r="J36" s="76">
        <v>245.07</v>
      </c>
      <c r="K36" s="100"/>
      <c r="L36" s="73"/>
      <c r="M36" s="102"/>
      <c r="N36" s="73"/>
      <c r="O36" s="73"/>
      <c r="P36" s="73"/>
      <c r="Q36" s="73"/>
      <c r="R36" s="73"/>
    </row>
    <row r="37" spans="1:18" s="50" customFormat="1" ht="14.5" x14ac:dyDescent="0.35">
      <c r="A37" s="40">
        <v>87</v>
      </c>
      <c r="B37" s="50" t="s">
        <v>43</v>
      </c>
      <c r="C37" s="75">
        <v>3</v>
      </c>
      <c r="D37" s="75">
        <v>4</v>
      </c>
      <c r="E37" s="75">
        <v>5</v>
      </c>
      <c r="F37" s="75">
        <v>12</v>
      </c>
      <c r="G37" s="75">
        <v>24</v>
      </c>
      <c r="H37" s="75">
        <v>21</v>
      </c>
      <c r="I37" s="75">
        <v>109</v>
      </c>
      <c r="J37" s="76">
        <v>178</v>
      </c>
      <c r="K37" s="100"/>
      <c r="L37" s="73"/>
      <c r="M37" s="102"/>
      <c r="N37" s="73"/>
      <c r="O37" s="73"/>
      <c r="P37" s="73"/>
      <c r="Q37" s="73"/>
      <c r="R37" s="73"/>
    </row>
    <row r="38" spans="1:18" s="50" customFormat="1" ht="14.5" x14ac:dyDescent="0.35">
      <c r="A38" s="40">
        <v>90</v>
      </c>
      <c r="B38" s="50" t="s">
        <v>45</v>
      </c>
      <c r="C38" s="75">
        <v>2</v>
      </c>
      <c r="D38" s="75">
        <v>3</v>
      </c>
      <c r="E38" s="75">
        <v>7</v>
      </c>
      <c r="F38" s="75">
        <v>31</v>
      </c>
      <c r="G38" s="75">
        <v>67</v>
      </c>
      <c r="H38" s="75">
        <v>57</v>
      </c>
      <c r="I38" s="75">
        <v>232</v>
      </c>
      <c r="J38" s="76">
        <v>399</v>
      </c>
      <c r="K38" s="100"/>
      <c r="L38" s="73"/>
      <c r="M38" s="102"/>
      <c r="N38" s="73"/>
      <c r="O38" s="73"/>
      <c r="P38" s="73"/>
      <c r="Q38" s="73"/>
      <c r="R38" s="73"/>
    </row>
    <row r="39" spans="1:18" s="50" customFormat="1" ht="14.5" x14ac:dyDescent="0.35">
      <c r="A39" s="40">
        <v>91</v>
      </c>
      <c r="B39" s="50" t="s">
        <v>46</v>
      </c>
      <c r="C39" s="75">
        <v>3</v>
      </c>
      <c r="D39" s="75">
        <v>4</v>
      </c>
      <c r="E39" s="75">
        <v>11</v>
      </c>
      <c r="F39" s="75">
        <v>16</v>
      </c>
      <c r="G39" s="75">
        <v>43</v>
      </c>
      <c r="H39" s="75">
        <v>28</v>
      </c>
      <c r="I39" s="75">
        <v>107</v>
      </c>
      <c r="J39" s="76">
        <v>212</v>
      </c>
      <c r="K39" s="100"/>
      <c r="L39" s="73"/>
      <c r="M39" s="102"/>
      <c r="N39" s="73"/>
      <c r="O39" s="73"/>
      <c r="P39" s="73"/>
      <c r="Q39" s="73"/>
      <c r="R39" s="73"/>
    </row>
    <row r="40" spans="1:18" s="50" customFormat="1" ht="14.5" x14ac:dyDescent="0.35">
      <c r="A40" s="40">
        <v>92</v>
      </c>
      <c r="B40" s="50" t="s">
        <v>47</v>
      </c>
      <c r="C40" s="75">
        <v>3</v>
      </c>
      <c r="D40" s="75">
        <v>5</v>
      </c>
      <c r="E40" s="75">
        <v>11</v>
      </c>
      <c r="F40" s="75">
        <v>32</v>
      </c>
      <c r="G40" s="75">
        <v>88</v>
      </c>
      <c r="H40" s="75">
        <v>95</v>
      </c>
      <c r="I40" s="75">
        <v>356</v>
      </c>
      <c r="J40" s="76">
        <v>590</v>
      </c>
      <c r="K40" s="100"/>
      <c r="L40" s="73"/>
      <c r="M40" s="102"/>
      <c r="N40" s="73"/>
      <c r="O40" s="73"/>
      <c r="P40" s="73"/>
      <c r="Q40" s="73"/>
      <c r="R40" s="73"/>
    </row>
    <row r="41" spans="1:18" s="50" customFormat="1" ht="14.5" x14ac:dyDescent="0.35">
      <c r="A41" s="40">
        <v>94</v>
      </c>
      <c r="B41" s="50" t="s">
        <v>49</v>
      </c>
      <c r="C41" s="75">
        <v>2</v>
      </c>
      <c r="D41" s="75">
        <v>5</v>
      </c>
      <c r="E41" s="75">
        <v>4</v>
      </c>
      <c r="F41" s="75">
        <v>15</v>
      </c>
      <c r="G41" s="75">
        <v>48</v>
      </c>
      <c r="H41" s="75">
        <v>40</v>
      </c>
      <c r="I41" s="75">
        <v>157.80952000000002</v>
      </c>
      <c r="J41" s="76">
        <v>271.80952000000002</v>
      </c>
      <c r="K41" s="100"/>
      <c r="L41" s="73"/>
      <c r="M41" s="102"/>
      <c r="N41" s="73"/>
      <c r="O41" s="73"/>
      <c r="P41" s="73"/>
      <c r="Q41" s="73"/>
      <c r="R41" s="73"/>
    </row>
    <row r="42" spans="1:18" s="50" customFormat="1" ht="14.5" x14ac:dyDescent="0.35">
      <c r="A42" s="40">
        <v>96</v>
      </c>
      <c r="B42" s="50" t="s">
        <v>51</v>
      </c>
      <c r="C42" s="75">
        <v>3</v>
      </c>
      <c r="D42" s="75">
        <v>4</v>
      </c>
      <c r="E42" s="75">
        <v>5</v>
      </c>
      <c r="F42" s="75">
        <v>29</v>
      </c>
      <c r="G42" s="75">
        <v>53</v>
      </c>
      <c r="H42" s="75">
        <v>56</v>
      </c>
      <c r="I42" s="75">
        <v>182.5</v>
      </c>
      <c r="J42" s="76">
        <v>332.5</v>
      </c>
      <c r="K42" s="100"/>
      <c r="L42" s="73"/>
      <c r="M42" s="102"/>
      <c r="N42" s="73"/>
      <c r="O42" s="73"/>
      <c r="P42" s="73"/>
      <c r="Q42" s="73"/>
      <c r="R42" s="73"/>
    </row>
    <row r="43" spans="1:18" s="50" customFormat="1" ht="14.5" x14ac:dyDescent="0.35">
      <c r="A43" s="40">
        <v>72</v>
      </c>
      <c r="B43" s="50" t="s">
        <v>30</v>
      </c>
      <c r="C43" s="75">
        <v>0.2</v>
      </c>
      <c r="D43" s="75">
        <v>0</v>
      </c>
      <c r="E43" s="75">
        <v>0</v>
      </c>
      <c r="F43" s="75">
        <v>1</v>
      </c>
      <c r="G43" s="75">
        <v>2</v>
      </c>
      <c r="H43" s="75">
        <v>2</v>
      </c>
      <c r="I43" s="75">
        <v>6</v>
      </c>
      <c r="J43" s="76">
        <v>11.2</v>
      </c>
      <c r="K43" s="100"/>
      <c r="L43" s="73"/>
      <c r="M43" s="102"/>
      <c r="N43" s="73"/>
      <c r="O43" s="73"/>
      <c r="P43" s="73"/>
      <c r="Q43" s="73"/>
      <c r="R43" s="73"/>
    </row>
    <row r="44" spans="1:18" s="37" customFormat="1" ht="26.25" customHeight="1" x14ac:dyDescent="0.35">
      <c r="A44" s="38"/>
      <c r="B44" s="37" t="s">
        <v>59</v>
      </c>
      <c r="C44" s="39">
        <v>28</v>
      </c>
      <c r="D44" s="39">
        <v>42</v>
      </c>
      <c r="E44" s="39">
        <v>151</v>
      </c>
      <c r="F44" s="39">
        <v>405</v>
      </c>
      <c r="G44" s="39">
        <v>1773</v>
      </c>
      <c r="H44" s="39">
        <v>1554.83</v>
      </c>
      <c r="I44" s="39">
        <v>7848.5</v>
      </c>
      <c r="J44" s="39">
        <v>11802.33</v>
      </c>
      <c r="K44"/>
      <c r="M44" s="102"/>
      <c r="N44" s="73"/>
      <c r="O44" s="73"/>
      <c r="P44" s="73"/>
      <c r="Q44" s="73"/>
      <c r="R44" s="73"/>
    </row>
    <row r="45" spans="1:18" s="50" customFormat="1" ht="14.5" x14ac:dyDescent="0.35">
      <c r="A45" s="40">
        <v>66</v>
      </c>
      <c r="B45" s="50" t="s">
        <v>24</v>
      </c>
      <c r="C45" s="75">
        <v>5</v>
      </c>
      <c r="D45" s="75">
        <v>7</v>
      </c>
      <c r="E45" s="75">
        <v>22</v>
      </c>
      <c r="F45" s="75">
        <v>63</v>
      </c>
      <c r="G45" s="75">
        <v>216</v>
      </c>
      <c r="H45" s="75">
        <v>188</v>
      </c>
      <c r="I45" s="75">
        <v>1002</v>
      </c>
      <c r="J45" s="76">
        <v>1503</v>
      </c>
      <c r="K45" s="100"/>
      <c r="L45" s="73"/>
      <c r="M45" s="102"/>
      <c r="N45" s="73"/>
      <c r="O45" s="73"/>
      <c r="P45" s="73"/>
      <c r="Q45" s="73"/>
      <c r="R45" s="73"/>
    </row>
    <row r="46" spans="1:18" s="50" customFormat="1" ht="14.5" x14ac:dyDescent="0.35">
      <c r="A46" s="40">
        <v>78</v>
      </c>
      <c r="B46" s="50" t="s">
        <v>35</v>
      </c>
      <c r="C46" s="75">
        <v>2</v>
      </c>
      <c r="D46" s="75">
        <v>4</v>
      </c>
      <c r="E46" s="75">
        <v>13</v>
      </c>
      <c r="F46" s="75">
        <v>32</v>
      </c>
      <c r="G46" s="75">
        <v>164</v>
      </c>
      <c r="H46" s="75">
        <v>28.83</v>
      </c>
      <c r="I46" s="75">
        <v>542.5</v>
      </c>
      <c r="J46" s="76">
        <v>786.32999999999993</v>
      </c>
      <c r="K46" s="100"/>
      <c r="L46" s="73"/>
      <c r="M46" s="102"/>
      <c r="N46" s="73"/>
      <c r="O46" s="73"/>
      <c r="P46" s="73"/>
      <c r="Q46" s="73"/>
      <c r="R46" s="73"/>
    </row>
    <row r="47" spans="1:18" s="50" customFormat="1" ht="14.5" x14ac:dyDescent="0.35">
      <c r="A47" s="40">
        <v>89</v>
      </c>
      <c r="B47" s="50" t="s">
        <v>44</v>
      </c>
      <c r="C47" s="75">
        <v>2</v>
      </c>
      <c r="D47" s="75">
        <v>2</v>
      </c>
      <c r="E47" s="75">
        <v>8</v>
      </c>
      <c r="F47" s="75">
        <v>27</v>
      </c>
      <c r="G47" s="75">
        <v>107</v>
      </c>
      <c r="H47" s="75">
        <v>95</v>
      </c>
      <c r="I47" s="75">
        <v>408</v>
      </c>
      <c r="J47" s="76">
        <v>649</v>
      </c>
      <c r="K47" s="100"/>
      <c r="L47" s="73"/>
      <c r="M47" s="102"/>
      <c r="N47" s="73"/>
      <c r="O47" s="73"/>
      <c r="P47" s="73"/>
      <c r="Q47" s="73"/>
      <c r="R47" s="73"/>
    </row>
    <row r="48" spans="1:18" s="50" customFormat="1" ht="14.5" x14ac:dyDescent="0.35">
      <c r="A48" s="40">
        <v>93</v>
      </c>
      <c r="B48" s="50" t="s">
        <v>60</v>
      </c>
      <c r="C48" s="75">
        <v>4</v>
      </c>
      <c r="D48" s="75">
        <v>3</v>
      </c>
      <c r="E48" s="75">
        <v>20</v>
      </c>
      <c r="F48" s="75">
        <v>17</v>
      </c>
      <c r="G48" s="75">
        <v>119</v>
      </c>
      <c r="H48" s="75">
        <v>108</v>
      </c>
      <c r="I48" s="75">
        <v>453</v>
      </c>
      <c r="J48" s="76">
        <v>724</v>
      </c>
      <c r="K48" s="100"/>
      <c r="L48" s="73"/>
      <c r="M48" s="102"/>
      <c r="N48" s="73"/>
      <c r="O48" s="73"/>
      <c r="P48" s="73"/>
      <c r="Q48" s="73"/>
      <c r="R48" s="73"/>
    </row>
    <row r="49" spans="1:18" s="50" customFormat="1" ht="14.5" x14ac:dyDescent="0.35">
      <c r="A49" s="40">
        <v>95</v>
      </c>
      <c r="B49" s="50" t="s">
        <v>50</v>
      </c>
      <c r="C49" s="75">
        <v>3</v>
      </c>
      <c r="D49" s="75">
        <v>7</v>
      </c>
      <c r="E49" s="75">
        <v>13</v>
      </c>
      <c r="F49" s="75">
        <v>47</v>
      </c>
      <c r="G49" s="75">
        <v>248</v>
      </c>
      <c r="H49" s="75">
        <v>243</v>
      </c>
      <c r="I49" s="75">
        <v>1041</v>
      </c>
      <c r="J49" s="76">
        <v>1602</v>
      </c>
      <c r="K49" s="100"/>
      <c r="L49" s="73"/>
      <c r="M49" s="102"/>
      <c r="N49" s="73"/>
      <c r="O49" s="73"/>
      <c r="P49" s="73"/>
      <c r="Q49" s="73"/>
      <c r="R49" s="73"/>
    </row>
    <row r="50" spans="1:18" s="50" customFormat="1" ht="14.5" x14ac:dyDescent="0.35">
      <c r="A50" s="40">
        <v>97</v>
      </c>
      <c r="B50" s="50" t="s">
        <v>52</v>
      </c>
      <c r="C50" s="75">
        <v>4</v>
      </c>
      <c r="D50" s="75">
        <v>6</v>
      </c>
      <c r="E50" s="75">
        <v>12</v>
      </c>
      <c r="F50" s="75">
        <v>50</v>
      </c>
      <c r="G50" s="75">
        <v>189</v>
      </c>
      <c r="H50" s="75">
        <v>200</v>
      </c>
      <c r="I50" s="75">
        <v>740</v>
      </c>
      <c r="J50" s="76">
        <v>1201</v>
      </c>
      <c r="K50" s="100"/>
      <c r="L50" s="73"/>
      <c r="M50" s="102"/>
      <c r="N50" s="73"/>
      <c r="O50" s="73"/>
      <c r="P50" s="73"/>
      <c r="Q50" s="73"/>
      <c r="R50" s="73"/>
    </row>
    <row r="51" spans="1:18" s="50" customFormat="1" ht="14.5" x14ac:dyDescent="0.35">
      <c r="A51" s="50">
        <v>77</v>
      </c>
      <c r="B51" s="44" t="s">
        <v>23</v>
      </c>
      <c r="C51" s="78">
        <v>8</v>
      </c>
      <c r="D51" s="78">
        <v>13</v>
      </c>
      <c r="E51" s="78">
        <v>63</v>
      </c>
      <c r="F51" s="78">
        <v>169</v>
      </c>
      <c r="G51" s="78">
        <v>730</v>
      </c>
      <c r="H51" s="78">
        <v>692</v>
      </c>
      <c r="I51" s="78">
        <v>3662</v>
      </c>
      <c r="J51" s="79">
        <v>5337</v>
      </c>
      <c r="K51" s="100"/>
      <c r="L51" s="73"/>
      <c r="M51" s="102"/>
      <c r="N51" s="73"/>
      <c r="O51" s="73"/>
      <c r="P51" s="73"/>
      <c r="Q51" s="73"/>
      <c r="R51" s="73"/>
    </row>
    <row r="52" spans="1:18" s="81" customFormat="1" x14ac:dyDescent="0.35">
      <c r="A52" s="40"/>
      <c r="B52" s="69"/>
      <c r="C52" s="82"/>
      <c r="D52" s="82"/>
      <c r="E52" s="84"/>
      <c r="F52" s="84"/>
      <c r="G52" s="80"/>
      <c r="H52" s="80"/>
      <c r="I52" s="80"/>
      <c r="J52" s="80"/>
      <c r="K52" s="50"/>
    </row>
    <row r="53" spans="1:18" s="50" customFormat="1" ht="12.5" x14ac:dyDescent="0.35">
      <c r="A53" s="40"/>
      <c r="H53" s="45"/>
    </row>
    <row r="54" spans="1:18" s="50" customFormat="1" x14ac:dyDescent="0.35">
      <c r="A54" s="40"/>
      <c r="B54" s="63" t="s">
        <v>71</v>
      </c>
      <c r="D54" s="45"/>
      <c r="E54" s="45"/>
      <c r="K54" s="81"/>
    </row>
    <row r="55" spans="1:18" x14ac:dyDescent="0.35">
      <c r="I55" s="82"/>
      <c r="J55" s="82"/>
      <c r="K55" s="50"/>
    </row>
    <row r="56" spans="1:18" x14ac:dyDescent="0.35">
      <c r="H56" s="82"/>
      <c r="K56" s="50"/>
    </row>
    <row r="65" spans="2:10" x14ac:dyDescent="0.35">
      <c r="B65" s="50" t="s">
        <v>18</v>
      </c>
      <c r="C65" s="75">
        <v>3</v>
      </c>
      <c r="D65" s="75">
        <v>5</v>
      </c>
      <c r="E65" s="75">
        <v>6</v>
      </c>
      <c r="F65" s="75">
        <v>21</v>
      </c>
      <c r="G65" s="75">
        <v>39</v>
      </c>
      <c r="H65" s="75">
        <v>40</v>
      </c>
      <c r="I65" s="75">
        <v>149</v>
      </c>
      <c r="J65" s="76">
        <v>263</v>
      </c>
    </row>
    <row r="66" spans="2:10" x14ac:dyDescent="0.35">
      <c r="B66" s="50" t="s">
        <v>53</v>
      </c>
      <c r="C66" s="75">
        <v>2</v>
      </c>
      <c r="D66" s="75">
        <v>5</v>
      </c>
      <c r="E66" s="75">
        <v>9</v>
      </c>
      <c r="F66" s="75">
        <v>15</v>
      </c>
      <c r="G66" s="75">
        <v>37</v>
      </c>
      <c r="H66" s="75">
        <v>27</v>
      </c>
      <c r="I66" s="75">
        <v>98</v>
      </c>
      <c r="J66" s="76">
        <v>193</v>
      </c>
    </row>
  </sheetData>
  <mergeCells count="1">
    <mergeCell ref="B1:J1"/>
  </mergeCells>
  <printOptions horizontalCentered="1" verticalCentered="1"/>
  <pageMargins left="0.43" right="0.46" top="0.33" bottom="0.25" header="0.31" footer="0.51181102362204722"/>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indexed="22"/>
    <pageSetUpPr fitToPage="1"/>
  </sheetPr>
  <dimension ref="A1:Q65"/>
  <sheetViews>
    <sheetView showGridLines="0" zoomScale="85" workbookViewId="0">
      <pane xSplit="2" ySplit="2" topLeftCell="C12" activePane="bottomRight" state="frozen"/>
      <selection activeCell="A4" sqref="A4:H4"/>
      <selection pane="topRight" activeCell="A4" sqref="A4:H4"/>
      <selection pane="bottomLeft" activeCell="A4" sqref="A4:H4"/>
      <selection pane="bottomRight" activeCell="A4" sqref="A4:H4"/>
    </sheetView>
  </sheetViews>
  <sheetFormatPr defaultRowHeight="15.5" x14ac:dyDescent="0.35"/>
  <cols>
    <col min="1" max="1" width="4.7265625" style="40" hidden="1" customWidth="1"/>
    <col min="2" max="2" width="25.26953125" style="69" customWidth="1"/>
    <col min="3" max="8" width="13" style="69" customWidth="1"/>
    <col min="9" max="255" width="9.1796875" style="69"/>
    <col min="256" max="256" width="0" style="69" hidden="1" customWidth="1"/>
    <col min="257" max="257" width="25.26953125" style="69" customWidth="1"/>
    <col min="258" max="263" width="13" style="69" customWidth="1"/>
    <col min="264" max="511" width="9.1796875" style="69"/>
    <col min="512" max="512" width="0" style="69" hidden="1" customWidth="1"/>
    <col min="513" max="513" width="25.26953125" style="69" customWidth="1"/>
    <col min="514" max="519" width="13" style="69" customWidth="1"/>
    <col min="520" max="767" width="9.1796875" style="69"/>
    <col min="768" max="768" width="0" style="69" hidden="1" customWidth="1"/>
    <col min="769" max="769" width="25.26953125" style="69" customWidth="1"/>
    <col min="770" max="775" width="13" style="69" customWidth="1"/>
    <col min="776" max="1023" width="9.1796875" style="69"/>
    <col min="1024" max="1024" width="0" style="69" hidden="1" customWidth="1"/>
    <col min="1025" max="1025" width="25.26953125" style="69" customWidth="1"/>
    <col min="1026" max="1031" width="13" style="69" customWidth="1"/>
    <col min="1032" max="1279" width="9.1796875" style="69"/>
    <col min="1280" max="1280" width="0" style="69" hidden="1" customWidth="1"/>
    <col min="1281" max="1281" width="25.26953125" style="69" customWidth="1"/>
    <col min="1282" max="1287" width="13" style="69" customWidth="1"/>
    <col min="1288" max="1535" width="9.1796875" style="69"/>
    <col min="1536" max="1536" width="0" style="69" hidden="1" customWidth="1"/>
    <col min="1537" max="1537" width="25.26953125" style="69" customWidth="1"/>
    <col min="1538" max="1543" width="13" style="69" customWidth="1"/>
    <col min="1544" max="1791" width="9.1796875" style="69"/>
    <col min="1792" max="1792" width="0" style="69" hidden="1" customWidth="1"/>
    <col min="1793" max="1793" width="25.26953125" style="69" customWidth="1"/>
    <col min="1794" max="1799" width="13" style="69" customWidth="1"/>
    <col min="1800" max="2047" width="9.1796875" style="69"/>
    <col min="2048" max="2048" width="0" style="69" hidden="1" customWidth="1"/>
    <col min="2049" max="2049" width="25.26953125" style="69" customWidth="1"/>
    <col min="2050" max="2055" width="13" style="69" customWidth="1"/>
    <col min="2056" max="2303" width="9.1796875" style="69"/>
    <col min="2304" max="2304" width="0" style="69" hidden="1" customWidth="1"/>
    <col min="2305" max="2305" width="25.26953125" style="69" customWidth="1"/>
    <col min="2306" max="2311" width="13" style="69" customWidth="1"/>
    <col min="2312" max="2559" width="9.1796875" style="69"/>
    <col min="2560" max="2560" width="0" style="69" hidden="1" customWidth="1"/>
    <col min="2561" max="2561" width="25.26953125" style="69" customWidth="1"/>
    <col min="2562" max="2567" width="13" style="69" customWidth="1"/>
    <col min="2568" max="2815" width="9.1796875" style="69"/>
    <col min="2816" max="2816" width="0" style="69" hidden="1" customWidth="1"/>
    <col min="2817" max="2817" width="25.26953125" style="69" customWidth="1"/>
    <col min="2818" max="2823" width="13" style="69" customWidth="1"/>
    <col min="2824" max="3071" width="9.1796875" style="69"/>
    <col min="3072" max="3072" width="0" style="69" hidden="1" customWidth="1"/>
    <col min="3073" max="3073" width="25.26953125" style="69" customWidth="1"/>
    <col min="3074" max="3079" width="13" style="69" customWidth="1"/>
    <col min="3080" max="3327" width="9.1796875" style="69"/>
    <col min="3328" max="3328" width="0" style="69" hidden="1" customWidth="1"/>
    <col min="3329" max="3329" width="25.26953125" style="69" customWidth="1"/>
    <col min="3330" max="3335" width="13" style="69" customWidth="1"/>
    <col min="3336" max="3583" width="9.1796875" style="69"/>
    <col min="3584" max="3584" width="0" style="69" hidden="1" customWidth="1"/>
    <col min="3585" max="3585" width="25.26953125" style="69" customWidth="1"/>
    <col min="3586" max="3591" width="13" style="69" customWidth="1"/>
    <col min="3592" max="3839" width="9.1796875" style="69"/>
    <col min="3840" max="3840" width="0" style="69" hidden="1" customWidth="1"/>
    <col min="3841" max="3841" width="25.26953125" style="69" customWidth="1"/>
    <col min="3842" max="3847" width="13" style="69" customWidth="1"/>
    <col min="3848" max="4095" width="9.1796875" style="69"/>
    <col min="4096" max="4096" width="0" style="69" hidden="1" customWidth="1"/>
    <col min="4097" max="4097" width="25.26953125" style="69" customWidth="1"/>
    <col min="4098" max="4103" width="13" style="69" customWidth="1"/>
    <col min="4104" max="4351" width="9.1796875" style="69"/>
    <col min="4352" max="4352" width="0" style="69" hidden="1" customWidth="1"/>
    <col min="4353" max="4353" width="25.26953125" style="69" customWidth="1"/>
    <col min="4354" max="4359" width="13" style="69" customWidth="1"/>
    <col min="4360" max="4607" width="9.1796875" style="69"/>
    <col min="4608" max="4608" width="0" style="69" hidden="1" customWidth="1"/>
    <col min="4609" max="4609" width="25.26953125" style="69" customWidth="1"/>
    <col min="4610" max="4615" width="13" style="69" customWidth="1"/>
    <col min="4616" max="4863" width="9.1796875" style="69"/>
    <col min="4864" max="4864" width="0" style="69" hidden="1" customWidth="1"/>
    <col min="4865" max="4865" width="25.26953125" style="69" customWidth="1"/>
    <col min="4866" max="4871" width="13" style="69" customWidth="1"/>
    <col min="4872" max="5119" width="9.1796875" style="69"/>
    <col min="5120" max="5120" width="0" style="69" hidden="1" customWidth="1"/>
    <col min="5121" max="5121" width="25.26953125" style="69" customWidth="1"/>
    <col min="5122" max="5127" width="13" style="69" customWidth="1"/>
    <col min="5128" max="5375" width="9.1796875" style="69"/>
    <col min="5376" max="5376" width="0" style="69" hidden="1" customWidth="1"/>
    <col min="5377" max="5377" width="25.26953125" style="69" customWidth="1"/>
    <col min="5378" max="5383" width="13" style="69" customWidth="1"/>
    <col min="5384" max="5631" width="9.1796875" style="69"/>
    <col min="5632" max="5632" width="0" style="69" hidden="1" customWidth="1"/>
    <col min="5633" max="5633" width="25.26953125" style="69" customWidth="1"/>
    <col min="5634" max="5639" width="13" style="69" customWidth="1"/>
    <col min="5640" max="5887" width="9.1796875" style="69"/>
    <col min="5888" max="5888" width="0" style="69" hidden="1" customWidth="1"/>
    <col min="5889" max="5889" width="25.26953125" style="69" customWidth="1"/>
    <col min="5890" max="5895" width="13" style="69" customWidth="1"/>
    <col min="5896" max="6143" width="9.1796875" style="69"/>
    <col min="6144" max="6144" width="0" style="69" hidden="1" customWidth="1"/>
    <col min="6145" max="6145" width="25.26953125" style="69" customWidth="1"/>
    <col min="6146" max="6151" width="13" style="69" customWidth="1"/>
    <col min="6152" max="6399" width="9.1796875" style="69"/>
    <col min="6400" max="6400" width="0" style="69" hidden="1" customWidth="1"/>
    <col min="6401" max="6401" width="25.26953125" style="69" customWidth="1"/>
    <col min="6402" max="6407" width="13" style="69" customWidth="1"/>
    <col min="6408" max="6655" width="9.1796875" style="69"/>
    <col min="6656" max="6656" width="0" style="69" hidden="1" customWidth="1"/>
    <col min="6657" max="6657" width="25.26953125" style="69" customWidth="1"/>
    <col min="6658" max="6663" width="13" style="69" customWidth="1"/>
    <col min="6664" max="6911" width="9.1796875" style="69"/>
    <col min="6912" max="6912" width="0" style="69" hidden="1" customWidth="1"/>
    <col min="6913" max="6913" width="25.26953125" style="69" customWidth="1"/>
    <col min="6914" max="6919" width="13" style="69" customWidth="1"/>
    <col min="6920" max="7167" width="9.1796875" style="69"/>
    <col min="7168" max="7168" width="0" style="69" hidden="1" customWidth="1"/>
    <col min="7169" max="7169" width="25.26953125" style="69" customWidth="1"/>
    <col min="7170" max="7175" width="13" style="69" customWidth="1"/>
    <col min="7176" max="7423" width="9.1796875" style="69"/>
    <col min="7424" max="7424" width="0" style="69" hidden="1" customWidth="1"/>
    <col min="7425" max="7425" width="25.26953125" style="69" customWidth="1"/>
    <col min="7426" max="7431" width="13" style="69" customWidth="1"/>
    <col min="7432" max="7679" width="9.1796875" style="69"/>
    <col min="7680" max="7680" width="0" style="69" hidden="1" customWidth="1"/>
    <col min="7681" max="7681" width="25.26953125" style="69" customWidth="1"/>
    <col min="7682" max="7687" width="13" style="69" customWidth="1"/>
    <col min="7688" max="7935" width="9.1796875" style="69"/>
    <col min="7936" max="7936" width="0" style="69" hidden="1" customWidth="1"/>
    <col min="7937" max="7937" width="25.26953125" style="69" customWidth="1"/>
    <col min="7938" max="7943" width="13" style="69" customWidth="1"/>
    <col min="7944" max="8191" width="9.1796875" style="69"/>
    <col min="8192" max="8192" width="0" style="69" hidden="1" customWidth="1"/>
    <col min="8193" max="8193" width="25.26953125" style="69" customWidth="1"/>
    <col min="8194" max="8199" width="13" style="69" customWidth="1"/>
    <col min="8200" max="8447" width="9.1796875" style="69"/>
    <col min="8448" max="8448" width="0" style="69" hidden="1" customWidth="1"/>
    <col min="8449" max="8449" width="25.26953125" style="69" customWidth="1"/>
    <col min="8450" max="8455" width="13" style="69" customWidth="1"/>
    <col min="8456" max="8703" width="9.1796875" style="69"/>
    <col min="8704" max="8704" width="0" style="69" hidden="1" customWidth="1"/>
    <col min="8705" max="8705" width="25.26953125" style="69" customWidth="1"/>
    <col min="8706" max="8711" width="13" style="69" customWidth="1"/>
    <col min="8712" max="8959" width="9.1796875" style="69"/>
    <col min="8960" max="8960" width="0" style="69" hidden="1" customWidth="1"/>
    <col min="8961" max="8961" width="25.26953125" style="69" customWidth="1"/>
    <col min="8962" max="8967" width="13" style="69" customWidth="1"/>
    <col min="8968" max="9215" width="9.1796875" style="69"/>
    <col min="9216" max="9216" width="0" style="69" hidden="1" customWidth="1"/>
    <col min="9217" max="9217" width="25.26953125" style="69" customWidth="1"/>
    <col min="9218" max="9223" width="13" style="69" customWidth="1"/>
    <col min="9224" max="9471" width="9.1796875" style="69"/>
    <col min="9472" max="9472" width="0" style="69" hidden="1" customWidth="1"/>
    <col min="9473" max="9473" width="25.26953125" style="69" customWidth="1"/>
    <col min="9474" max="9479" width="13" style="69" customWidth="1"/>
    <col min="9480" max="9727" width="9.1796875" style="69"/>
    <col min="9728" max="9728" width="0" style="69" hidden="1" customWidth="1"/>
    <col min="9729" max="9729" width="25.26953125" style="69" customWidth="1"/>
    <col min="9730" max="9735" width="13" style="69" customWidth="1"/>
    <col min="9736" max="9983" width="9.1796875" style="69"/>
    <col min="9984" max="9984" width="0" style="69" hidden="1" customWidth="1"/>
    <col min="9985" max="9985" width="25.26953125" style="69" customWidth="1"/>
    <col min="9986" max="9991" width="13" style="69" customWidth="1"/>
    <col min="9992" max="10239" width="9.1796875" style="69"/>
    <col min="10240" max="10240" width="0" style="69" hidden="1" customWidth="1"/>
    <col min="10241" max="10241" width="25.26953125" style="69" customWidth="1"/>
    <col min="10242" max="10247" width="13" style="69" customWidth="1"/>
    <col min="10248" max="10495" width="9.1796875" style="69"/>
    <col min="10496" max="10496" width="0" style="69" hidden="1" customWidth="1"/>
    <col min="10497" max="10497" width="25.26953125" style="69" customWidth="1"/>
    <col min="10498" max="10503" width="13" style="69" customWidth="1"/>
    <col min="10504" max="10751" width="9.1796875" style="69"/>
    <col min="10752" max="10752" width="0" style="69" hidden="1" customWidth="1"/>
    <col min="10753" max="10753" width="25.26953125" style="69" customWidth="1"/>
    <col min="10754" max="10759" width="13" style="69" customWidth="1"/>
    <col min="10760" max="11007" width="9.1796875" style="69"/>
    <col min="11008" max="11008" width="0" style="69" hidden="1" customWidth="1"/>
    <col min="11009" max="11009" width="25.26953125" style="69" customWidth="1"/>
    <col min="11010" max="11015" width="13" style="69" customWidth="1"/>
    <col min="11016" max="11263" width="9.1796875" style="69"/>
    <col min="11264" max="11264" width="0" style="69" hidden="1" customWidth="1"/>
    <col min="11265" max="11265" width="25.26953125" style="69" customWidth="1"/>
    <col min="11266" max="11271" width="13" style="69" customWidth="1"/>
    <col min="11272" max="11519" width="9.1796875" style="69"/>
    <col min="11520" max="11520" width="0" style="69" hidden="1" customWidth="1"/>
    <col min="11521" max="11521" width="25.26953125" style="69" customWidth="1"/>
    <col min="11522" max="11527" width="13" style="69" customWidth="1"/>
    <col min="11528" max="11775" width="9.1796875" style="69"/>
    <col min="11776" max="11776" width="0" style="69" hidden="1" customWidth="1"/>
    <col min="11777" max="11777" width="25.26953125" style="69" customWidth="1"/>
    <col min="11778" max="11783" width="13" style="69" customWidth="1"/>
    <col min="11784" max="12031" width="9.1796875" style="69"/>
    <col min="12032" max="12032" width="0" style="69" hidden="1" customWidth="1"/>
    <col min="12033" max="12033" width="25.26953125" style="69" customWidth="1"/>
    <col min="12034" max="12039" width="13" style="69" customWidth="1"/>
    <col min="12040" max="12287" width="9.1796875" style="69"/>
    <col min="12288" max="12288" width="0" style="69" hidden="1" customWidth="1"/>
    <col min="12289" max="12289" width="25.26953125" style="69" customWidth="1"/>
    <col min="12290" max="12295" width="13" style="69" customWidth="1"/>
    <col min="12296" max="12543" width="9.1796875" style="69"/>
    <col min="12544" max="12544" width="0" style="69" hidden="1" customWidth="1"/>
    <col min="12545" max="12545" width="25.26953125" style="69" customWidth="1"/>
    <col min="12546" max="12551" width="13" style="69" customWidth="1"/>
    <col min="12552" max="12799" width="9.1796875" style="69"/>
    <col min="12800" max="12800" width="0" style="69" hidden="1" customWidth="1"/>
    <col min="12801" max="12801" width="25.26953125" style="69" customWidth="1"/>
    <col min="12802" max="12807" width="13" style="69" customWidth="1"/>
    <col min="12808" max="13055" width="9.1796875" style="69"/>
    <col min="13056" max="13056" width="0" style="69" hidden="1" customWidth="1"/>
    <col min="13057" max="13057" width="25.26953125" style="69" customWidth="1"/>
    <col min="13058" max="13063" width="13" style="69" customWidth="1"/>
    <col min="13064" max="13311" width="9.1796875" style="69"/>
    <col min="13312" max="13312" width="0" style="69" hidden="1" customWidth="1"/>
    <col min="13313" max="13313" width="25.26953125" style="69" customWidth="1"/>
    <col min="13314" max="13319" width="13" style="69" customWidth="1"/>
    <col min="13320" max="13567" width="9.1796875" style="69"/>
    <col min="13568" max="13568" width="0" style="69" hidden="1" customWidth="1"/>
    <col min="13569" max="13569" width="25.26953125" style="69" customWidth="1"/>
    <col min="13570" max="13575" width="13" style="69" customWidth="1"/>
    <col min="13576" max="13823" width="9.1796875" style="69"/>
    <col min="13824" max="13824" width="0" style="69" hidden="1" customWidth="1"/>
    <col min="13825" max="13825" width="25.26953125" style="69" customWidth="1"/>
    <col min="13826" max="13831" width="13" style="69" customWidth="1"/>
    <col min="13832" max="14079" width="9.1796875" style="69"/>
    <col min="14080" max="14080" width="0" style="69" hidden="1" customWidth="1"/>
    <col min="14081" max="14081" width="25.26953125" style="69" customWidth="1"/>
    <col min="14082" max="14087" width="13" style="69" customWidth="1"/>
    <col min="14088" max="14335" width="9.1796875" style="69"/>
    <col min="14336" max="14336" width="0" style="69" hidden="1" customWidth="1"/>
    <col min="14337" max="14337" width="25.26953125" style="69" customWidth="1"/>
    <col min="14338" max="14343" width="13" style="69" customWidth="1"/>
    <col min="14344" max="14591" width="9.1796875" style="69"/>
    <col min="14592" max="14592" width="0" style="69" hidden="1" customWidth="1"/>
    <col min="14593" max="14593" width="25.26953125" style="69" customWidth="1"/>
    <col min="14594" max="14599" width="13" style="69" customWidth="1"/>
    <col min="14600" max="14847" width="9.1796875" style="69"/>
    <col min="14848" max="14848" width="0" style="69" hidden="1" customWidth="1"/>
    <col min="14849" max="14849" width="25.26953125" style="69" customWidth="1"/>
    <col min="14850" max="14855" width="13" style="69" customWidth="1"/>
    <col min="14856" max="15103" width="9.1796875" style="69"/>
    <col min="15104" max="15104" width="0" style="69" hidden="1" customWidth="1"/>
    <col min="15105" max="15105" width="25.26953125" style="69" customWidth="1"/>
    <col min="15106" max="15111" width="13" style="69" customWidth="1"/>
    <col min="15112" max="15359" width="9.1796875" style="69"/>
    <col min="15360" max="15360" width="0" style="69" hidden="1" customWidth="1"/>
    <col min="15361" max="15361" width="25.26953125" style="69" customWidth="1"/>
    <col min="15362" max="15367" width="13" style="69" customWidth="1"/>
    <col min="15368" max="15615" width="9.1796875" style="69"/>
    <col min="15616" max="15616" width="0" style="69" hidden="1" customWidth="1"/>
    <col min="15617" max="15617" width="25.26953125" style="69" customWidth="1"/>
    <col min="15618" max="15623" width="13" style="69" customWidth="1"/>
    <col min="15624" max="15871" width="9.1796875" style="69"/>
    <col min="15872" max="15872" width="0" style="69" hidden="1" customWidth="1"/>
    <col min="15873" max="15873" width="25.26953125" style="69" customWidth="1"/>
    <col min="15874" max="15879" width="13" style="69" customWidth="1"/>
    <col min="15880" max="16127" width="9.1796875" style="69"/>
    <col min="16128" max="16128" width="0" style="69" hidden="1" customWidth="1"/>
    <col min="16129" max="16129" width="25.26953125" style="69" customWidth="1"/>
    <col min="16130" max="16135" width="13" style="69" customWidth="1"/>
    <col min="16136" max="16383" width="9.1796875" style="69"/>
    <col min="16384" max="16384" width="9.1796875" style="69" customWidth="1"/>
  </cols>
  <sheetData>
    <row r="1" spans="1:17" ht="39.75" customHeight="1" x14ac:dyDescent="0.35">
      <c r="B1" s="149" t="s">
        <v>85</v>
      </c>
      <c r="C1" s="150"/>
      <c r="D1" s="150"/>
      <c r="E1" s="150"/>
      <c r="F1" s="150"/>
      <c r="G1" s="150"/>
      <c r="H1" s="151"/>
    </row>
    <row r="2" spans="1:17" ht="30" customHeight="1" x14ac:dyDescent="0.35">
      <c r="C2" s="70" t="s">
        <v>74</v>
      </c>
      <c r="D2" s="70" t="s">
        <v>75</v>
      </c>
      <c r="E2" s="70" t="s">
        <v>76</v>
      </c>
      <c r="F2" s="70" t="s">
        <v>77</v>
      </c>
      <c r="G2" s="70" t="s">
        <v>78</v>
      </c>
      <c r="H2" s="71" t="s">
        <v>1</v>
      </c>
    </row>
    <row r="3" spans="1:17" s="36" customFormat="1" ht="26.25" customHeight="1" x14ac:dyDescent="0.35">
      <c r="A3" s="38"/>
      <c r="B3" s="37" t="s">
        <v>80</v>
      </c>
      <c r="C3" s="72">
        <v>0</v>
      </c>
      <c r="D3" s="72">
        <v>33.700000000000003</v>
      </c>
      <c r="E3" s="72">
        <v>899.23666666666668</v>
      </c>
      <c r="F3" s="72">
        <v>1924.135</v>
      </c>
      <c r="G3" s="72">
        <v>8127.5266666666676</v>
      </c>
      <c r="H3" s="72">
        <v>10987</v>
      </c>
      <c r="I3" s="73"/>
      <c r="J3" s="73"/>
      <c r="K3" s="73"/>
      <c r="L3" s="73"/>
      <c r="M3" s="73"/>
      <c r="N3" s="73"/>
      <c r="O3" s="73"/>
      <c r="P3" s="73"/>
      <c r="Q3" s="73"/>
    </row>
    <row r="4" spans="1:17" s="37" customFormat="1" ht="26.25" customHeight="1" x14ac:dyDescent="0.35">
      <c r="A4" s="38"/>
      <c r="B4" s="37" t="s">
        <v>55</v>
      </c>
      <c r="C4" s="74">
        <v>0</v>
      </c>
      <c r="D4" s="74">
        <v>33.700000000000003</v>
      </c>
      <c r="E4" s="74">
        <v>870.10666666666668</v>
      </c>
      <c r="F4" s="74">
        <v>1888.085</v>
      </c>
      <c r="G4" s="74">
        <v>7939.3566666666675</v>
      </c>
      <c r="H4" s="74">
        <v>10731.248333333335</v>
      </c>
      <c r="J4" s="73"/>
      <c r="K4" s="73"/>
      <c r="L4" s="73"/>
      <c r="M4" s="73"/>
      <c r="N4" s="73"/>
    </row>
    <row r="5" spans="1:17" s="50" customFormat="1" ht="14" x14ac:dyDescent="0.35">
      <c r="A5" s="40">
        <v>51</v>
      </c>
      <c r="B5" s="50" t="s">
        <v>7</v>
      </c>
      <c r="C5" s="75">
        <v>0</v>
      </c>
      <c r="D5" s="75">
        <v>0</v>
      </c>
      <c r="E5" s="75">
        <v>10.75</v>
      </c>
      <c r="F5" s="75">
        <v>31.75</v>
      </c>
      <c r="G5" s="75">
        <v>138.5</v>
      </c>
      <c r="H5" s="76">
        <v>181</v>
      </c>
      <c r="J5" s="73"/>
      <c r="K5" s="73"/>
      <c r="L5" s="73"/>
      <c r="M5" s="73"/>
      <c r="N5" s="73"/>
    </row>
    <row r="6" spans="1:17" s="50" customFormat="1" ht="14" x14ac:dyDescent="0.35">
      <c r="A6" s="40">
        <v>52</v>
      </c>
      <c r="B6" s="50" t="s">
        <v>8</v>
      </c>
      <c r="C6" s="75">
        <v>0</v>
      </c>
      <c r="D6" s="75">
        <v>0</v>
      </c>
      <c r="E6" s="75">
        <v>11</v>
      </c>
      <c r="F6" s="75">
        <v>19</v>
      </c>
      <c r="G6" s="75">
        <v>122</v>
      </c>
      <c r="H6" s="76">
        <v>152</v>
      </c>
      <c r="J6" s="73"/>
      <c r="K6" s="73"/>
      <c r="L6" s="73"/>
      <c r="M6" s="73"/>
      <c r="N6" s="73"/>
    </row>
    <row r="7" spans="1:17" s="50" customFormat="1" ht="14" x14ac:dyDescent="0.35">
      <c r="A7" s="40">
        <v>86</v>
      </c>
      <c r="B7" s="50" t="s">
        <v>9</v>
      </c>
      <c r="C7" s="75">
        <v>0</v>
      </c>
      <c r="D7" s="75">
        <v>0</v>
      </c>
      <c r="E7" s="75">
        <v>8</v>
      </c>
      <c r="F7" s="75">
        <v>10.75</v>
      </c>
      <c r="G7" s="75">
        <v>41.5</v>
      </c>
      <c r="H7" s="76">
        <v>60.25</v>
      </c>
      <c r="J7" s="73"/>
      <c r="K7" s="73"/>
      <c r="L7" s="73"/>
      <c r="M7" s="73"/>
      <c r="N7" s="73"/>
    </row>
    <row r="8" spans="1:17" s="50" customFormat="1" ht="14" x14ac:dyDescent="0.35">
      <c r="A8" s="40">
        <v>53</v>
      </c>
      <c r="B8" s="50" t="s">
        <v>10</v>
      </c>
      <c r="C8" s="75">
        <v>0</v>
      </c>
      <c r="D8" s="75">
        <v>0</v>
      </c>
      <c r="E8" s="75">
        <v>16</v>
      </c>
      <c r="F8" s="75">
        <v>37</v>
      </c>
      <c r="G8" s="75">
        <v>123</v>
      </c>
      <c r="H8" s="76">
        <v>176</v>
      </c>
      <c r="J8" s="73"/>
      <c r="K8" s="73"/>
      <c r="L8" s="73"/>
      <c r="M8" s="73"/>
      <c r="N8" s="73"/>
    </row>
    <row r="9" spans="1:17" s="50" customFormat="1" ht="14" x14ac:dyDescent="0.35">
      <c r="A9" s="40">
        <v>54</v>
      </c>
      <c r="B9" s="50" t="s">
        <v>11</v>
      </c>
      <c r="C9" s="75">
        <v>0</v>
      </c>
      <c r="D9" s="75">
        <v>0</v>
      </c>
      <c r="E9" s="75">
        <v>20.92</v>
      </c>
      <c r="F9" s="75">
        <v>46.075000000000003</v>
      </c>
      <c r="G9" s="75">
        <v>151.30000000000001</v>
      </c>
      <c r="H9" s="76">
        <v>218.29500000000002</v>
      </c>
      <c r="J9" s="73"/>
      <c r="K9" s="73"/>
      <c r="L9" s="73"/>
      <c r="M9" s="73"/>
      <c r="N9" s="73"/>
    </row>
    <row r="10" spans="1:17" s="50" customFormat="1" ht="14" x14ac:dyDescent="0.35">
      <c r="A10" s="40">
        <v>55</v>
      </c>
      <c r="B10" s="50" t="s">
        <v>12</v>
      </c>
      <c r="C10" s="75">
        <v>0</v>
      </c>
      <c r="D10" s="75">
        <v>0</v>
      </c>
      <c r="E10" s="75">
        <v>9.9700000000000006</v>
      </c>
      <c r="F10" s="75">
        <v>22.8</v>
      </c>
      <c r="G10" s="75">
        <v>118.9</v>
      </c>
      <c r="H10" s="76">
        <v>151.67000000000002</v>
      </c>
      <c r="J10" s="73"/>
      <c r="K10" s="73"/>
      <c r="L10" s="73"/>
      <c r="M10" s="73"/>
      <c r="N10" s="73"/>
    </row>
    <row r="11" spans="1:17" s="50" customFormat="1" ht="14" x14ac:dyDescent="0.35">
      <c r="A11" s="40">
        <v>56</v>
      </c>
      <c r="B11" s="50" t="s">
        <v>13</v>
      </c>
      <c r="C11" s="75">
        <v>0</v>
      </c>
      <c r="D11" s="75">
        <v>0</v>
      </c>
      <c r="E11" s="75">
        <v>4</v>
      </c>
      <c r="F11" s="75">
        <v>4.5</v>
      </c>
      <c r="G11" s="75">
        <v>48.75</v>
      </c>
      <c r="H11" s="76">
        <v>57.25</v>
      </c>
      <c r="J11" s="73"/>
      <c r="K11" s="73"/>
      <c r="L11" s="73"/>
      <c r="M11" s="73"/>
      <c r="N11" s="73"/>
    </row>
    <row r="12" spans="1:17" s="50" customFormat="1" ht="14" x14ac:dyDescent="0.35">
      <c r="A12" s="40">
        <v>57</v>
      </c>
      <c r="B12" s="50" t="s">
        <v>14</v>
      </c>
      <c r="C12" s="75">
        <v>0</v>
      </c>
      <c r="D12" s="75">
        <v>23</v>
      </c>
      <c r="E12" s="75">
        <v>35</v>
      </c>
      <c r="F12" s="75">
        <v>55</v>
      </c>
      <c r="G12" s="75">
        <v>299</v>
      </c>
      <c r="H12" s="76">
        <v>412</v>
      </c>
      <c r="J12" s="73"/>
      <c r="K12" s="73"/>
      <c r="L12" s="73"/>
      <c r="M12" s="73"/>
      <c r="N12" s="73"/>
    </row>
    <row r="13" spans="1:17" s="50" customFormat="1" ht="14" x14ac:dyDescent="0.35">
      <c r="A13" s="40">
        <v>59</v>
      </c>
      <c r="B13" s="50" t="s">
        <v>15</v>
      </c>
      <c r="C13" s="75">
        <v>0</v>
      </c>
      <c r="D13" s="75">
        <v>0</v>
      </c>
      <c r="E13" s="75">
        <v>23</v>
      </c>
      <c r="F13" s="75">
        <v>66</v>
      </c>
      <c r="G13" s="75">
        <v>242</v>
      </c>
      <c r="H13" s="76">
        <v>331</v>
      </c>
      <c r="J13" s="73"/>
      <c r="K13" s="73"/>
      <c r="L13" s="73"/>
      <c r="M13" s="73"/>
      <c r="N13" s="73"/>
    </row>
    <row r="14" spans="1:17" s="50" customFormat="1" ht="14" x14ac:dyDescent="0.35">
      <c r="A14" s="40">
        <v>60</v>
      </c>
      <c r="B14" s="50" t="s">
        <v>16</v>
      </c>
      <c r="C14" s="75">
        <v>0</v>
      </c>
      <c r="D14" s="75">
        <v>0</v>
      </c>
      <c r="E14" s="75">
        <v>23</v>
      </c>
      <c r="F14" s="75">
        <v>40</v>
      </c>
      <c r="G14" s="75">
        <v>162</v>
      </c>
      <c r="H14" s="76">
        <v>225</v>
      </c>
      <c r="J14" s="73"/>
      <c r="K14" s="73"/>
      <c r="L14" s="73"/>
      <c r="M14" s="73"/>
      <c r="N14" s="73"/>
    </row>
    <row r="15" spans="1:17" s="50" customFormat="1" ht="14" x14ac:dyDescent="0.35">
      <c r="A15" s="40">
        <v>61</v>
      </c>
      <c r="B15" s="77" t="s">
        <v>56</v>
      </c>
      <c r="C15" s="75">
        <v>0</v>
      </c>
      <c r="D15" s="75">
        <v>0</v>
      </c>
      <c r="E15" s="75">
        <v>99.75</v>
      </c>
      <c r="F15" s="75">
        <v>178</v>
      </c>
      <c r="G15" s="75">
        <v>848.01</v>
      </c>
      <c r="H15" s="76">
        <v>1125.76</v>
      </c>
      <c r="J15" s="73"/>
      <c r="K15" s="73"/>
      <c r="L15" s="73"/>
      <c r="M15" s="73"/>
      <c r="N15" s="73"/>
    </row>
    <row r="16" spans="1:17" s="50" customFormat="1" ht="14" x14ac:dyDescent="0.35">
      <c r="A16" s="40">
        <v>62</v>
      </c>
      <c r="B16" s="50" t="s">
        <v>143</v>
      </c>
      <c r="C16" s="75">
        <f>C64+C65</f>
        <v>0</v>
      </c>
      <c r="D16" s="75">
        <f t="shared" ref="D16:H16" si="0">D64+D65</f>
        <v>0</v>
      </c>
      <c r="E16" s="75">
        <f t="shared" si="0"/>
        <v>56</v>
      </c>
      <c r="F16" s="75">
        <f t="shared" si="0"/>
        <v>118.27</v>
      </c>
      <c r="G16" s="75">
        <f t="shared" si="0"/>
        <v>382.06</v>
      </c>
      <c r="H16" s="76">
        <f t="shared" si="0"/>
        <v>556.32999999999993</v>
      </c>
      <c r="J16" s="73"/>
      <c r="K16" s="73"/>
      <c r="L16" s="73"/>
      <c r="M16" s="73"/>
      <c r="N16" s="73"/>
    </row>
    <row r="17" spans="1:14" s="50" customFormat="1" ht="14" x14ac:dyDescent="0.35">
      <c r="A17" s="40">
        <v>58</v>
      </c>
      <c r="B17" s="50" t="s">
        <v>19</v>
      </c>
      <c r="C17" s="75">
        <v>0</v>
      </c>
      <c r="D17" s="75">
        <v>0</v>
      </c>
      <c r="E17" s="75">
        <v>13.5</v>
      </c>
      <c r="F17" s="75">
        <v>32.6</v>
      </c>
      <c r="G17" s="75">
        <v>112.3</v>
      </c>
      <c r="H17" s="76">
        <v>158.4</v>
      </c>
      <c r="J17" s="73"/>
      <c r="K17" s="73"/>
      <c r="L17" s="73"/>
      <c r="M17" s="73"/>
      <c r="N17" s="73"/>
    </row>
    <row r="18" spans="1:14" s="50" customFormat="1" ht="14" x14ac:dyDescent="0.35">
      <c r="A18" s="40">
        <v>63</v>
      </c>
      <c r="B18" s="50" t="s">
        <v>20</v>
      </c>
      <c r="C18" s="75">
        <v>0</v>
      </c>
      <c r="D18" s="75">
        <v>0</v>
      </c>
      <c r="E18" s="75">
        <v>15</v>
      </c>
      <c r="F18" s="75">
        <v>38</v>
      </c>
      <c r="G18" s="75">
        <v>178</v>
      </c>
      <c r="H18" s="76">
        <v>231</v>
      </c>
      <c r="J18" s="73"/>
      <c r="K18" s="73"/>
      <c r="L18" s="73"/>
      <c r="M18" s="73"/>
      <c r="N18" s="73"/>
    </row>
    <row r="19" spans="1:14" s="50" customFormat="1" ht="14" x14ac:dyDescent="0.35">
      <c r="A19" s="40">
        <v>64</v>
      </c>
      <c r="B19" s="50" t="s">
        <v>21</v>
      </c>
      <c r="C19" s="75">
        <v>0</v>
      </c>
      <c r="D19" s="75">
        <v>6</v>
      </c>
      <c r="E19" s="75">
        <v>30.5</v>
      </c>
      <c r="F19" s="75">
        <v>62</v>
      </c>
      <c r="G19" s="75">
        <v>285.75</v>
      </c>
      <c r="H19" s="76">
        <v>384.25</v>
      </c>
      <c r="J19" s="73"/>
      <c r="K19" s="73"/>
      <c r="L19" s="73"/>
      <c r="M19" s="73"/>
      <c r="N19" s="73"/>
    </row>
    <row r="20" spans="1:14" s="50" customFormat="1" ht="14" x14ac:dyDescent="0.35">
      <c r="A20" s="40">
        <v>65</v>
      </c>
      <c r="B20" s="50" t="s">
        <v>22</v>
      </c>
      <c r="C20" s="75">
        <v>0</v>
      </c>
      <c r="D20" s="75">
        <v>3.7</v>
      </c>
      <c r="E20" s="75">
        <v>23.1</v>
      </c>
      <c r="F20" s="75">
        <v>32.950000000000003</v>
      </c>
      <c r="G20" s="75">
        <v>160.75</v>
      </c>
      <c r="H20" s="76">
        <v>220.5</v>
      </c>
      <c r="J20" s="73"/>
      <c r="K20" s="73"/>
      <c r="L20" s="73"/>
      <c r="M20" s="73"/>
      <c r="N20" s="73"/>
    </row>
    <row r="21" spans="1:14" s="50" customFormat="1" ht="14" x14ac:dyDescent="0.35">
      <c r="A21" s="40">
        <v>67</v>
      </c>
      <c r="B21" s="50" t="s">
        <v>25</v>
      </c>
      <c r="C21" s="75">
        <v>0</v>
      </c>
      <c r="D21" s="75">
        <v>0</v>
      </c>
      <c r="E21" s="75">
        <v>48.1</v>
      </c>
      <c r="F21" s="75">
        <v>93.5</v>
      </c>
      <c r="G21" s="75">
        <v>445.9</v>
      </c>
      <c r="H21" s="76">
        <v>587.5</v>
      </c>
      <c r="J21" s="73"/>
      <c r="K21" s="73"/>
      <c r="L21" s="73"/>
      <c r="M21" s="73"/>
      <c r="N21" s="73"/>
    </row>
    <row r="22" spans="1:14" s="50" customFormat="1" ht="14" x14ac:dyDescent="0.35">
      <c r="A22" s="40">
        <v>68</v>
      </c>
      <c r="B22" s="50" t="s">
        <v>57</v>
      </c>
      <c r="C22" s="75">
        <v>0</v>
      </c>
      <c r="D22" s="75">
        <v>0</v>
      </c>
      <c r="E22" s="75">
        <v>18.920000000000002</v>
      </c>
      <c r="F22" s="75">
        <v>57.25</v>
      </c>
      <c r="G22" s="75">
        <v>195.67</v>
      </c>
      <c r="H22" s="76">
        <v>271.83999999999997</v>
      </c>
      <c r="J22" s="73"/>
      <c r="K22" s="73"/>
      <c r="L22" s="73"/>
      <c r="M22" s="73"/>
      <c r="N22" s="73"/>
    </row>
    <row r="23" spans="1:14" s="50" customFormat="1" ht="14" x14ac:dyDescent="0.35">
      <c r="A23" s="40">
        <v>69</v>
      </c>
      <c r="B23" s="50" t="s">
        <v>27</v>
      </c>
      <c r="C23" s="117">
        <v>0</v>
      </c>
      <c r="D23" s="117">
        <v>0</v>
      </c>
      <c r="E23" s="117">
        <v>20</v>
      </c>
      <c r="F23" s="117">
        <v>36.700000000000003</v>
      </c>
      <c r="G23" s="117">
        <v>136.5</v>
      </c>
      <c r="H23" s="118">
        <v>193.2</v>
      </c>
      <c r="I23" s="73" t="s">
        <v>146</v>
      </c>
      <c r="J23" s="73"/>
      <c r="K23" s="73"/>
      <c r="L23" s="73"/>
      <c r="M23" s="73"/>
      <c r="N23" s="73"/>
    </row>
    <row r="24" spans="1:14" s="50" customFormat="1" ht="14" x14ac:dyDescent="0.35">
      <c r="A24" s="40">
        <v>70</v>
      </c>
      <c r="B24" s="50" t="s">
        <v>28</v>
      </c>
      <c r="C24" s="75">
        <v>0</v>
      </c>
      <c r="D24" s="75">
        <v>0</v>
      </c>
      <c r="E24" s="75">
        <v>16</v>
      </c>
      <c r="F24" s="75">
        <v>34</v>
      </c>
      <c r="G24" s="75">
        <v>237</v>
      </c>
      <c r="H24" s="76">
        <v>287</v>
      </c>
      <c r="J24" s="73"/>
      <c r="K24" s="73"/>
      <c r="L24" s="73"/>
      <c r="M24" s="73"/>
      <c r="N24" s="73"/>
    </row>
    <row r="25" spans="1:14" s="50" customFormat="1" ht="14" x14ac:dyDescent="0.35">
      <c r="A25" s="40">
        <v>71</v>
      </c>
      <c r="B25" s="50" t="s">
        <v>58</v>
      </c>
      <c r="C25" s="75">
        <v>0</v>
      </c>
      <c r="D25" s="75">
        <v>0</v>
      </c>
      <c r="E25" s="75">
        <v>8.68</v>
      </c>
      <c r="F25" s="75">
        <v>14.86</v>
      </c>
      <c r="G25" s="75">
        <v>81</v>
      </c>
      <c r="H25" s="76">
        <v>104.53999999999999</v>
      </c>
      <c r="J25" s="73"/>
      <c r="K25" s="73"/>
      <c r="L25" s="73"/>
      <c r="M25" s="73"/>
      <c r="N25" s="73"/>
    </row>
    <row r="26" spans="1:14" s="50" customFormat="1" ht="14" x14ac:dyDescent="0.35">
      <c r="A26" s="40">
        <v>73</v>
      </c>
      <c r="B26" s="50" t="s">
        <v>31</v>
      </c>
      <c r="C26" s="75">
        <v>0</v>
      </c>
      <c r="D26" s="75">
        <v>0</v>
      </c>
      <c r="E26" s="75">
        <v>28</v>
      </c>
      <c r="F26" s="75">
        <v>85</v>
      </c>
      <c r="G26" s="75">
        <v>438</v>
      </c>
      <c r="H26" s="76">
        <v>551</v>
      </c>
      <c r="J26" s="73"/>
      <c r="K26" s="73"/>
      <c r="L26" s="73"/>
      <c r="M26" s="73"/>
      <c r="N26" s="73"/>
    </row>
    <row r="27" spans="1:14" s="50" customFormat="1" ht="14" x14ac:dyDescent="0.35">
      <c r="A27" s="40">
        <v>74</v>
      </c>
      <c r="B27" s="50" t="s">
        <v>32</v>
      </c>
      <c r="C27" s="75">
        <v>0</v>
      </c>
      <c r="D27" s="75">
        <v>0</v>
      </c>
      <c r="E27" s="75">
        <v>23</v>
      </c>
      <c r="F27" s="75">
        <v>71</v>
      </c>
      <c r="G27" s="75">
        <v>182</v>
      </c>
      <c r="H27" s="76">
        <v>276</v>
      </c>
      <c r="J27" s="73"/>
      <c r="K27" s="73"/>
      <c r="L27" s="73"/>
      <c r="M27" s="73"/>
      <c r="N27" s="73"/>
    </row>
    <row r="28" spans="1:14" s="50" customFormat="1" ht="14" x14ac:dyDescent="0.35">
      <c r="A28" s="40">
        <v>75</v>
      </c>
      <c r="B28" s="50" t="s">
        <v>33</v>
      </c>
      <c r="C28" s="75">
        <v>0</v>
      </c>
      <c r="D28" s="75">
        <v>0</v>
      </c>
      <c r="E28" s="75">
        <v>13.5</v>
      </c>
      <c r="F28" s="75">
        <v>26.15</v>
      </c>
      <c r="G28" s="75">
        <v>143.55000000000001</v>
      </c>
      <c r="H28" s="76">
        <v>183.20000000000002</v>
      </c>
      <c r="J28" s="73"/>
      <c r="K28" s="73"/>
      <c r="L28" s="73"/>
      <c r="M28" s="73"/>
      <c r="N28" s="73"/>
    </row>
    <row r="29" spans="1:14" s="50" customFormat="1" ht="14" x14ac:dyDescent="0.35">
      <c r="A29" s="40">
        <v>76</v>
      </c>
      <c r="B29" s="50" t="s">
        <v>34</v>
      </c>
      <c r="C29" s="75">
        <v>0</v>
      </c>
      <c r="D29" s="75">
        <v>0</v>
      </c>
      <c r="E29" s="75">
        <v>37</v>
      </c>
      <c r="F29" s="75">
        <v>76.25</v>
      </c>
      <c r="G29" s="75">
        <v>282</v>
      </c>
      <c r="H29" s="76">
        <v>395.25</v>
      </c>
      <c r="J29" s="73"/>
      <c r="K29" s="73"/>
      <c r="L29" s="73"/>
      <c r="M29" s="73"/>
      <c r="N29" s="73"/>
    </row>
    <row r="30" spans="1:14" s="50" customFormat="1" ht="14" x14ac:dyDescent="0.35">
      <c r="A30" s="40">
        <v>79</v>
      </c>
      <c r="B30" s="50" t="s">
        <v>36</v>
      </c>
      <c r="C30" s="75">
        <v>0</v>
      </c>
      <c r="D30" s="75">
        <v>0</v>
      </c>
      <c r="E30" s="75">
        <v>40.75</v>
      </c>
      <c r="F30" s="75">
        <v>85.5</v>
      </c>
      <c r="G30" s="75">
        <v>333.25</v>
      </c>
      <c r="H30" s="76">
        <v>459.5</v>
      </c>
      <c r="J30" s="73"/>
      <c r="K30" s="73"/>
      <c r="L30" s="73"/>
      <c r="M30" s="73"/>
      <c r="N30" s="73"/>
    </row>
    <row r="31" spans="1:14" s="50" customFormat="1" ht="14" x14ac:dyDescent="0.35">
      <c r="A31" s="40"/>
      <c r="B31" s="67" t="s">
        <v>81</v>
      </c>
      <c r="C31" s="68" t="s">
        <v>64</v>
      </c>
      <c r="D31" s="68" t="s">
        <v>64</v>
      </c>
      <c r="E31" s="68" t="s">
        <v>64</v>
      </c>
      <c r="F31" s="68" t="s">
        <v>64</v>
      </c>
      <c r="G31" s="68" t="s">
        <v>64</v>
      </c>
      <c r="H31" s="68" t="s">
        <v>64</v>
      </c>
      <c r="J31" s="73"/>
      <c r="K31" s="73"/>
      <c r="L31" s="73"/>
      <c r="M31" s="73"/>
      <c r="N31" s="73"/>
    </row>
    <row r="32" spans="1:14" s="50" customFormat="1" ht="14" x14ac:dyDescent="0.35">
      <c r="A32" s="40">
        <v>80</v>
      </c>
      <c r="B32" s="50" t="s">
        <v>38</v>
      </c>
      <c r="C32" s="75">
        <v>0</v>
      </c>
      <c r="D32" s="75">
        <v>0</v>
      </c>
      <c r="E32" s="75">
        <v>28</v>
      </c>
      <c r="F32" s="75">
        <v>71.63</v>
      </c>
      <c r="G32" s="75">
        <v>234</v>
      </c>
      <c r="H32" s="76">
        <v>333.63</v>
      </c>
      <c r="J32" s="73"/>
      <c r="K32" s="73"/>
      <c r="L32" s="73"/>
      <c r="M32" s="73"/>
      <c r="N32" s="73"/>
    </row>
    <row r="33" spans="1:14" s="50" customFormat="1" ht="14" x14ac:dyDescent="0.35">
      <c r="A33" s="40">
        <v>81</v>
      </c>
      <c r="B33" s="50" t="s">
        <v>39</v>
      </c>
      <c r="C33" s="75">
        <v>0</v>
      </c>
      <c r="D33" s="75">
        <v>0</v>
      </c>
      <c r="E33" s="75">
        <v>19</v>
      </c>
      <c r="F33" s="75">
        <v>35</v>
      </c>
      <c r="G33" s="75">
        <v>174</v>
      </c>
      <c r="H33" s="76">
        <v>228</v>
      </c>
      <c r="J33" s="73"/>
      <c r="K33" s="73"/>
      <c r="L33" s="73"/>
      <c r="M33" s="73"/>
      <c r="N33" s="73"/>
    </row>
    <row r="34" spans="1:14" s="50" customFormat="1" ht="14" x14ac:dyDescent="0.35">
      <c r="A34" s="40">
        <v>83</v>
      </c>
      <c r="B34" s="50" t="s">
        <v>40</v>
      </c>
      <c r="C34" s="75">
        <v>0</v>
      </c>
      <c r="D34" s="75">
        <v>0</v>
      </c>
      <c r="E34" s="75">
        <v>11.5</v>
      </c>
      <c r="F34" s="75">
        <v>30.5</v>
      </c>
      <c r="G34" s="75">
        <v>134.5</v>
      </c>
      <c r="H34" s="76">
        <v>176.5</v>
      </c>
      <c r="J34" s="73"/>
      <c r="K34" s="73"/>
      <c r="L34" s="73"/>
      <c r="M34" s="73"/>
      <c r="N34" s="73"/>
    </row>
    <row r="35" spans="1:14" s="50" customFormat="1" ht="14" x14ac:dyDescent="0.35">
      <c r="A35" s="40">
        <v>84</v>
      </c>
      <c r="B35" s="50" t="s">
        <v>41</v>
      </c>
      <c r="C35" s="75">
        <v>0</v>
      </c>
      <c r="D35" s="75">
        <v>0</v>
      </c>
      <c r="E35" s="75">
        <v>15</v>
      </c>
      <c r="F35" s="75">
        <v>16.5</v>
      </c>
      <c r="G35" s="75">
        <v>107.5</v>
      </c>
      <c r="H35" s="76">
        <v>139</v>
      </c>
      <c r="J35" s="73"/>
      <c r="K35" s="73"/>
      <c r="L35" s="73"/>
      <c r="M35" s="73"/>
      <c r="N35" s="73"/>
    </row>
    <row r="36" spans="1:14" s="50" customFormat="1" ht="14" x14ac:dyDescent="0.35">
      <c r="A36" s="40">
        <v>85</v>
      </c>
      <c r="B36" s="50" t="s">
        <v>42</v>
      </c>
      <c r="C36" s="75">
        <v>0</v>
      </c>
      <c r="D36" s="75">
        <v>0</v>
      </c>
      <c r="E36" s="75">
        <v>22</v>
      </c>
      <c r="F36" s="75">
        <v>49.5</v>
      </c>
      <c r="G36" s="75">
        <v>194.75</v>
      </c>
      <c r="H36" s="76">
        <v>266.25</v>
      </c>
      <c r="J36" s="73"/>
      <c r="K36" s="73"/>
      <c r="L36" s="73"/>
      <c r="M36" s="73"/>
      <c r="N36" s="73"/>
    </row>
    <row r="37" spans="1:14" s="50" customFormat="1" ht="14" x14ac:dyDescent="0.35">
      <c r="A37" s="40">
        <v>87</v>
      </c>
      <c r="B37" s="50" t="s">
        <v>43</v>
      </c>
      <c r="C37" s="75">
        <v>0</v>
      </c>
      <c r="D37" s="75">
        <v>0</v>
      </c>
      <c r="E37" s="75">
        <v>22</v>
      </c>
      <c r="F37" s="75">
        <v>47</v>
      </c>
      <c r="G37" s="75">
        <v>255</v>
      </c>
      <c r="H37" s="76">
        <v>324</v>
      </c>
      <c r="J37" s="73"/>
      <c r="K37" s="73"/>
      <c r="L37" s="73"/>
      <c r="M37" s="73"/>
      <c r="N37" s="73"/>
    </row>
    <row r="38" spans="1:14" s="50" customFormat="1" ht="14" x14ac:dyDescent="0.35">
      <c r="A38" s="40">
        <v>90</v>
      </c>
      <c r="B38" s="50" t="s">
        <v>45</v>
      </c>
      <c r="C38" s="75">
        <v>0</v>
      </c>
      <c r="D38" s="75">
        <v>0</v>
      </c>
      <c r="E38" s="75">
        <v>27</v>
      </c>
      <c r="F38" s="75">
        <v>84</v>
      </c>
      <c r="G38" s="75">
        <v>360</v>
      </c>
      <c r="H38" s="76">
        <v>471</v>
      </c>
      <c r="J38" s="73"/>
      <c r="K38" s="73"/>
      <c r="L38" s="73"/>
      <c r="M38" s="73"/>
      <c r="N38" s="73"/>
    </row>
    <row r="39" spans="1:14" s="50" customFormat="1" ht="14" x14ac:dyDescent="0.35">
      <c r="A39" s="40">
        <v>91</v>
      </c>
      <c r="B39" s="50" t="s">
        <v>46</v>
      </c>
      <c r="C39" s="75">
        <v>0</v>
      </c>
      <c r="D39" s="75">
        <v>0</v>
      </c>
      <c r="E39" s="75">
        <v>34</v>
      </c>
      <c r="F39" s="75">
        <v>71</v>
      </c>
      <c r="G39" s="75">
        <v>282</v>
      </c>
      <c r="H39" s="76">
        <v>387</v>
      </c>
      <c r="J39" s="73"/>
      <c r="K39" s="73"/>
      <c r="L39" s="73"/>
      <c r="M39" s="73"/>
      <c r="N39" s="73"/>
    </row>
    <row r="40" spans="1:14" s="50" customFormat="1" ht="14" x14ac:dyDescent="0.35">
      <c r="A40" s="40">
        <v>92</v>
      </c>
      <c r="B40" s="50" t="s">
        <v>47</v>
      </c>
      <c r="C40" s="75">
        <v>0</v>
      </c>
      <c r="D40" s="75">
        <v>0</v>
      </c>
      <c r="E40" s="75">
        <v>10</v>
      </c>
      <c r="F40" s="75">
        <v>23</v>
      </c>
      <c r="G40" s="75">
        <v>71</v>
      </c>
      <c r="H40" s="76">
        <v>104</v>
      </c>
      <c r="J40" s="73"/>
      <c r="K40" s="73"/>
      <c r="L40" s="73"/>
      <c r="M40" s="73"/>
      <c r="N40" s="73"/>
    </row>
    <row r="41" spans="1:14" s="50" customFormat="1" ht="14" x14ac:dyDescent="0.35">
      <c r="A41" s="40">
        <v>94</v>
      </c>
      <c r="B41" s="50" t="s">
        <v>49</v>
      </c>
      <c r="C41" s="75">
        <v>0</v>
      </c>
      <c r="D41" s="75">
        <v>0</v>
      </c>
      <c r="E41" s="75">
        <v>8.4166666666666679</v>
      </c>
      <c r="F41" s="75">
        <v>17.25</v>
      </c>
      <c r="G41" s="75">
        <v>57.916666666666664</v>
      </c>
      <c r="H41" s="76">
        <v>83.583333333333329</v>
      </c>
      <c r="J41" s="73"/>
      <c r="K41" s="73"/>
      <c r="L41" s="73"/>
      <c r="M41" s="73"/>
      <c r="N41" s="73"/>
    </row>
    <row r="42" spans="1:14" s="50" customFormat="1" ht="14" x14ac:dyDescent="0.35">
      <c r="A42" s="40">
        <v>96</v>
      </c>
      <c r="B42" s="50" t="s">
        <v>51</v>
      </c>
      <c r="C42" s="75">
        <v>0</v>
      </c>
      <c r="D42" s="75">
        <v>0</v>
      </c>
      <c r="E42" s="75">
        <v>14.75</v>
      </c>
      <c r="F42" s="75">
        <v>62.5</v>
      </c>
      <c r="G42" s="75">
        <v>156.5</v>
      </c>
      <c r="H42" s="76">
        <v>233.75</v>
      </c>
      <c r="J42" s="73"/>
      <c r="K42" s="73"/>
      <c r="L42" s="73"/>
      <c r="M42" s="73"/>
      <c r="N42" s="73"/>
    </row>
    <row r="43" spans="1:14" s="50" customFormat="1" ht="14" x14ac:dyDescent="0.35">
      <c r="A43" s="40">
        <v>72</v>
      </c>
      <c r="B43" s="50" t="s">
        <v>30</v>
      </c>
      <c r="C43" s="75">
        <v>0</v>
      </c>
      <c r="D43" s="75">
        <v>1</v>
      </c>
      <c r="E43" s="75">
        <v>6</v>
      </c>
      <c r="F43" s="75">
        <v>6</v>
      </c>
      <c r="G43" s="75">
        <v>24</v>
      </c>
      <c r="H43" s="76">
        <v>37</v>
      </c>
      <c r="J43" s="73"/>
      <c r="K43" s="73"/>
      <c r="L43" s="73"/>
      <c r="M43" s="73"/>
      <c r="N43" s="73"/>
    </row>
    <row r="44" spans="1:14" s="37" customFormat="1" ht="26.25" customHeight="1" x14ac:dyDescent="0.35">
      <c r="A44" s="38"/>
      <c r="B44" s="37" t="s">
        <v>59</v>
      </c>
      <c r="C44" s="39">
        <v>0</v>
      </c>
      <c r="D44" s="39">
        <v>0</v>
      </c>
      <c r="E44" s="39">
        <v>29.130000000000003</v>
      </c>
      <c r="F44" s="39">
        <v>36.049999999999997</v>
      </c>
      <c r="G44" s="39">
        <v>188.17000000000002</v>
      </c>
      <c r="H44" s="39">
        <v>253.35</v>
      </c>
      <c r="J44" s="73"/>
      <c r="K44" s="73"/>
      <c r="L44" s="73"/>
      <c r="M44" s="73"/>
      <c r="N44" s="73"/>
    </row>
    <row r="45" spans="1:14" s="50" customFormat="1" ht="14" x14ac:dyDescent="0.35">
      <c r="A45" s="40">
        <v>66</v>
      </c>
      <c r="B45" s="50" t="s">
        <v>24</v>
      </c>
      <c r="C45" s="75">
        <v>0</v>
      </c>
      <c r="D45" s="75">
        <v>0</v>
      </c>
      <c r="E45" s="75">
        <v>1.43</v>
      </c>
      <c r="F45" s="75">
        <v>3.4</v>
      </c>
      <c r="G45" s="75">
        <v>24.07</v>
      </c>
      <c r="H45" s="76">
        <v>28.9</v>
      </c>
      <c r="J45" s="73"/>
      <c r="K45" s="73"/>
      <c r="L45" s="73"/>
      <c r="M45" s="73"/>
      <c r="N45" s="73"/>
    </row>
    <row r="46" spans="1:14" s="50" customFormat="1" ht="14" x14ac:dyDescent="0.35">
      <c r="A46" s="40">
        <v>78</v>
      </c>
      <c r="B46" s="50" t="s">
        <v>35</v>
      </c>
      <c r="C46" s="75">
        <v>0</v>
      </c>
      <c r="D46" s="75">
        <v>0</v>
      </c>
      <c r="E46" s="75">
        <v>6.7</v>
      </c>
      <c r="F46" s="75">
        <v>1.9</v>
      </c>
      <c r="G46" s="75">
        <v>19.100000000000001</v>
      </c>
      <c r="H46" s="76">
        <v>27.700000000000003</v>
      </c>
      <c r="J46" s="73"/>
      <c r="K46" s="73"/>
      <c r="L46" s="73"/>
      <c r="M46" s="73"/>
      <c r="N46" s="73"/>
    </row>
    <row r="47" spans="1:14" s="50" customFormat="1" ht="14" x14ac:dyDescent="0.35">
      <c r="A47" s="40">
        <v>89</v>
      </c>
      <c r="B47" s="50" t="s">
        <v>44</v>
      </c>
      <c r="C47" s="75">
        <v>0</v>
      </c>
      <c r="D47" s="75">
        <v>0</v>
      </c>
      <c r="E47" s="75">
        <v>7</v>
      </c>
      <c r="F47" s="75">
        <v>12.75</v>
      </c>
      <c r="G47" s="75">
        <v>52</v>
      </c>
      <c r="H47" s="76">
        <v>71.75</v>
      </c>
      <c r="J47" s="73"/>
      <c r="K47" s="73"/>
      <c r="L47" s="73"/>
      <c r="M47" s="73"/>
      <c r="N47" s="73"/>
    </row>
    <row r="48" spans="1:14" s="50" customFormat="1" ht="14" x14ac:dyDescent="0.35">
      <c r="A48" s="40">
        <v>93</v>
      </c>
      <c r="B48" s="50" t="s">
        <v>60</v>
      </c>
      <c r="C48" s="75">
        <v>0</v>
      </c>
      <c r="D48" s="75">
        <v>0</v>
      </c>
      <c r="E48" s="75">
        <v>1</v>
      </c>
      <c r="F48" s="75">
        <v>1</v>
      </c>
      <c r="G48" s="75">
        <v>9</v>
      </c>
      <c r="H48" s="76">
        <v>11</v>
      </c>
      <c r="J48" s="73"/>
      <c r="K48" s="73"/>
      <c r="L48" s="73"/>
      <c r="M48" s="73"/>
      <c r="N48" s="73"/>
    </row>
    <row r="49" spans="1:14" s="50" customFormat="1" ht="14" x14ac:dyDescent="0.35">
      <c r="A49" s="40">
        <v>95</v>
      </c>
      <c r="B49" s="50" t="s">
        <v>50</v>
      </c>
      <c r="C49" s="75">
        <v>0</v>
      </c>
      <c r="D49" s="75">
        <v>0</v>
      </c>
      <c r="E49" s="75">
        <v>4</v>
      </c>
      <c r="F49" s="75">
        <v>2</v>
      </c>
      <c r="G49" s="75">
        <v>0</v>
      </c>
      <c r="H49" s="76">
        <v>6</v>
      </c>
      <c r="J49" s="73"/>
      <c r="K49" s="73"/>
      <c r="L49" s="73"/>
      <c r="M49" s="73"/>
      <c r="N49" s="73"/>
    </row>
    <row r="50" spans="1:14" s="50" customFormat="1" ht="14" x14ac:dyDescent="0.35">
      <c r="A50" s="40">
        <v>97</v>
      </c>
      <c r="B50" s="50" t="s">
        <v>52</v>
      </c>
      <c r="C50" s="75">
        <v>0</v>
      </c>
      <c r="D50" s="75">
        <v>0</v>
      </c>
      <c r="E50" s="75">
        <v>9</v>
      </c>
      <c r="F50" s="75">
        <v>15</v>
      </c>
      <c r="G50" s="75">
        <v>84</v>
      </c>
      <c r="H50" s="76">
        <v>108</v>
      </c>
      <c r="J50" s="73"/>
      <c r="K50" s="73"/>
      <c r="L50" s="73"/>
      <c r="M50" s="73"/>
      <c r="N50" s="73"/>
    </row>
    <row r="51" spans="1:14" s="50" customFormat="1" ht="14" x14ac:dyDescent="0.35">
      <c r="A51" s="50">
        <v>77</v>
      </c>
      <c r="B51" s="44" t="s">
        <v>23</v>
      </c>
      <c r="C51" s="78">
        <v>0</v>
      </c>
      <c r="D51" s="78">
        <v>0</v>
      </c>
      <c r="E51" s="78">
        <v>0</v>
      </c>
      <c r="F51" s="78">
        <v>0</v>
      </c>
      <c r="G51" s="78">
        <v>0</v>
      </c>
      <c r="H51" s="79">
        <v>0</v>
      </c>
      <c r="J51" s="73"/>
      <c r="K51" s="73"/>
      <c r="L51" s="73"/>
      <c r="M51" s="73"/>
      <c r="N51" s="73"/>
    </row>
    <row r="52" spans="1:14" s="81" customFormat="1" x14ac:dyDescent="0.35">
      <c r="A52" s="40"/>
      <c r="B52" s="69"/>
      <c r="C52" s="84"/>
      <c r="D52" s="84"/>
      <c r="E52" s="80"/>
      <c r="F52" s="80"/>
      <c r="G52" s="80"/>
      <c r="H52" s="80"/>
    </row>
    <row r="53" spans="1:14" s="50" customFormat="1" ht="12.5" x14ac:dyDescent="0.35">
      <c r="A53" s="40"/>
      <c r="F53" s="45"/>
    </row>
    <row r="54" spans="1:14" s="50" customFormat="1" ht="12.5" x14ac:dyDescent="0.35">
      <c r="A54" s="40"/>
      <c r="B54" s="63" t="s">
        <v>71</v>
      </c>
      <c r="C54" s="45"/>
    </row>
    <row r="55" spans="1:14" x14ac:dyDescent="0.35">
      <c r="G55" s="82"/>
      <c r="H55" s="82"/>
    </row>
    <row r="56" spans="1:14" x14ac:dyDescent="0.35">
      <c r="F56" s="82"/>
    </row>
    <row r="64" spans="1:14" x14ac:dyDescent="0.35">
      <c r="B64" s="50" t="s">
        <v>18</v>
      </c>
      <c r="C64" s="75">
        <v>0</v>
      </c>
      <c r="D64" s="75">
        <v>0</v>
      </c>
      <c r="E64" s="75">
        <v>32.5</v>
      </c>
      <c r="F64" s="75">
        <v>67.77</v>
      </c>
      <c r="G64" s="75">
        <v>199.06</v>
      </c>
      <c r="H64" s="76">
        <v>299.33</v>
      </c>
    </row>
    <row r="65" spans="2:8" x14ac:dyDescent="0.35">
      <c r="B65" s="50" t="s">
        <v>53</v>
      </c>
      <c r="C65" s="75">
        <v>0</v>
      </c>
      <c r="D65" s="75">
        <v>0</v>
      </c>
      <c r="E65" s="75">
        <v>23.5</v>
      </c>
      <c r="F65" s="75">
        <v>50.5</v>
      </c>
      <c r="G65" s="75">
        <v>183</v>
      </c>
      <c r="H65" s="76">
        <v>257</v>
      </c>
    </row>
  </sheetData>
  <mergeCells count="1">
    <mergeCell ref="B1:H1"/>
  </mergeCells>
  <pageMargins left="0.37" right="0.24" top="0.55000000000000004" bottom="1" header="0.5" footer="0.5"/>
  <pageSetup paperSize="9"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indexed="22"/>
  </sheetPr>
  <dimension ref="A1:Q62"/>
  <sheetViews>
    <sheetView showGridLines="0" zoomScale="85" zoomScaleNormal="85" workbookViewId="0">
      <pane xSplit="2" ySplit="2" topLeftCell="C5" activePane="bottomRight" state="frozen"/>
      <selection activeCell="A4" sqref="A4:H4"/>
      <selection pane="topRight" activeCell="A4" sqref="A4:H4"/>
      <selection pane="bottomLeft" activeCell="A4" sqref="A4:H4"/>
      <selection pane="bottomRight" activeCell="A4" sqref="A4:H4"/>
    </sheetView>
  </sheetViews>
  <sheetFormatPr defaultRowHeight="15.5" x14ac:dyDescent="0.35"/>
  <cols>
    <col min="1" max="1" width="3.453125" style="40" hidden="1" customWidth="1"/>
    <col min="2" max="2" width="25.26953125" style="69" customWidth="1"/>
    <col min="3" max="8" width="13" style="69" customWidth="1"/>
    <col min="9" max="256" width="9.1796875" style="69"/>
    <col min="257" max="257" width="0" style="69" hidden="1" customWidth="1"/>
    <col min="258" max="258" width="25.26953125" style="69" customWidth="1"/>
    <col min="259" max="264" width="13" style="69" customWidth="1"/>
    <col min="265" max="512" width="9.1796875" style="69"/>
    <col min="513" max="513" width="0" style="69" hidden="1" customWidth="1"/>
    <col min="514" max="514" width="25.26953125" style="69" customWidth="1"/>
    <col min="515" max="520" width="13" style="69" customWidth="1"/>
    <col min="521" max="768" width="9.1796875" style="69"/>
    <col min="769" max="769" width="0" style="69" hidden="1" customWidth="1"/>
    <col min="770" max="770" width="25.26953125" style="69" customWidth="1"/>
    <col min="771" max="776" width="13" style="69" customWidth="1"/>
    <col min="777" max="1024" width="9.1796875" style="69"/>
    <col min="1025" max="1025" width="0" style="69" hidden="1" customWidth="1"/>
    <col min="1026" max="1026" width="25.26953125" style="69" customWidth="1"/>
    <col min="1027" max="1032" width="13" style="69" customWidth="1"/>
    <col min="1033" max="1280" width="9.1796875" style="69"/>
    <col min="1281" max="1281" width="0" style="69" hidden="1" customWidth="1"/>
    <col min="1282" max="1282" width="25.26953125" style="69" customWidth="1"/>
    <col min="1283" max="1288" width="13" style="69" customWidth="1"/>
    <col min="1289" max="1536" width="9.1796875" style="69"/>
    <col min="1537" max="1537" width="0" style="69" hidden="1" customWidth="1"/>
    <col min="1538" max="1538" width="25.26953125" style="69" customWidth="1"/>
    <col min="1539" max="1544" width="13" style="69" customWidth="1"/>
    <col min="1545" max="1792" width="9.1796875" style="69"/>
    <col min="1793" max="1793" width="0" style="69" hidden="1" customWidth="1"/>
    <col min="1794" max="1794" width="25.26953125" style="69" customWidth="1"/>
    <col min="1795" max="1800" width="13" style="69" customWidth="1"/>
    <col min="1801" max="2048" width="9.1796875" style="69"/>
    <col min="2049" max="2049" width="0" style="69" hidden="1" customWidth="1"/>
    <col min="2050" max="2050" width="25.26953125" style="69" customWidth="1"/>
    <col min="2051" max="2056" width="13" style="69" customWidth="1"/>
    <col min="2057" max="2304" width="9.1796875" style="69"/>
    <col min="2305" max="2305" width="0" style="69" hidden="1" customWidth="1"/>
    <col min="2306" max="2306" width="25.26953125" style="69" customWidth="1"/>
    <col min="2307" max="2312" width="13" style="69" customWidth="1"/>
    <col min="2313" max="2560" width="9.1796875" style="69"/>
    <col min="2561" max="2561" width="0" style="69" hidden="1" customWidth="1"/>
    <col min="2562" max="2562" width="25.26953125" style="69" customWidth="1"/>
    <col min="2563" max="2568" width="13" style="69" customWidth="1"/>
    <col min="2569" max="2816" width="9.1796875" style="69"/>
    <col min="2817" max="2817" width="0" style="69" hidden="1" customWidth="1"/>
    <col min="2818" max="2818" width="25.26953125" style="69" customWidth="1"/>
    <col min="2819" max="2824" width="13" style="69" customWidth="1"/>
    <col min="2825" max="3072" width="9.1796875" style="69"/>
    <col min="3073" max="3073" width="0" style="69" hidden="1" customWidth="1"/>
    <col min="3074" max="3074" width="25.26953125" style="69" customWidth="1"/>
    <col min="3075" max="3080" width="13" style="69" customWidth="1"/>
    <col min="3081" max="3328" width="9.1796875" style="69"/>
    <col min="3329" max="3329" width="0" style="69" hidden="1" customWidth="1"/>
    <col min="3330" max="3330" width="25.26953125" style="69" customWidth="1"/>
    <col min="3331" max="3336" width="13" style="69" customWidth="1"/>
    <col min="3337" max="3584" width="9.1796875" style="69"/>
    <col min="3585" max="3585" width="0" style="69" hidden="1" customWidth="1"/>
    <col min="3586" max="3586" width="25.26953125" style="69" customWidth="1"/>
    <col min="3587" max="3592" width="13" style="69" customWidth="1"/>
    <col min="3593" max="3840" width="9.1796875" style="69"/>
    <col min="3841" max="3841" width="0" style="69" hidden="1" customWidth="1"/>
    <col min="3842" max="3842" width="25.26953125" style="69" customWidth="1"/>
    <col min="3843" max="3848" width="13" style="69" customWidth="1"/>
    <col min="3849" max="4096" width="9.1796875" style="69"/>
    <col min="4097" max="4097" width="0" style="69" hidden="1" customWidth="1"/>
    <col min="4098" max="4098" width="25.26953125" style="69" customWidth="1"/>
    <col min="4099" max="4104" width="13" style="69" customWidth="1"/>
    <col min="4105" max="4352" width="9.1796875" style="69"/>
    <col min="4353" max="4353" width="0" style="69" hidden="1" customWidth="1"/>
    <col min="4354" max="4354" width="25.26953125" style="69" customWidth="1"/>
    <col min="4355" max="4360" width="13" style="69" customWidth="1"/>
    <col min="4361" max="4608" width="9.1796875" style="69"/>
    <col min="4609" max="4609" width="0" style="69" hidden="1" customWidth="1"/>
    <col min="4610" max="4610" width="25.26953125" style="69" customWidth="1"/>
    <col min="4611" max="4616" width="13" style="69" customWidth="1"/>
    <col min="4617" max="4864" width="9.1796875" style="69"/>
    <col min="4865" max="4865" width="0" style="69" hidden="1" customWidth="1"/>
    <col min="4866" max="4866" width="25.26953125" style="69" customWidth="1"/>
    <col min="4867" max="4872" width="13" style="69" customWidth="1"/>
    <col min="4873" max="5120" width="9.1796875" style="69"/>
    <col min="5121" max="5121" width="0" style="69" hidden="1" customWidth="1"/>
    <col min="5122" max="5122" width="25.26953125" style="69" customWidth="1"/>
    <col min="5123" max="5128" width="13" style="69" customWidth="1"/>
    <col min="5129" max="5376" width="9.1796875" style="69"/>
    <col min="5377" max="5377" width="0" style="69" hidden="1" customWidth="1"/>
    <col min="5378" max="5378" width="25.26953125" style="69" customWidth="1"/>
    <col min="5379" max="5384" width="13" style="69" customWidth="1"/>
    <col min="5385" max="5632" width="9.1796875" style="69"/>
    <col min="5633" max="5633" width="0" style="69" hidden="1" customWidth="1"/>
    <col min="5634" max="5634" width="25.26953125" style="69" customWidth="1"/>
    <col min="5635" max="5640" width="13" style="69" customWidth="1"/>
    <col min="5641" max="5888" width="9.1796875" style="69"/>
    <col min="5889" max="5889" width="0" style="69" hidden="1" customWidth="1"/>
    <col min="5890" max="5890" width="25.26953125" style="69" customWidth="1"/>
    <col min="5891" max="5896" width="13" style="69" customWidth="1"/>
    <col min="5897" max="6144" width="9.1796875" style="69"/>
    <col min="6145" max="6145" width="0" style="69" hidden="1" customWidth="1"/>
    <col min="6146" max="6146" width="25.26953125" style="69" customWidth="1"/>
    <col min="6147" max="6152" width="13" style="69" customWidth="1"/>
    <col min="6153" max="6400" width="9.1796875" style="69"/>
    <col min="6401" max="6401" width="0" style="69" hidden="1" customWidth="1"/>
    <col min="6402" max="6402" width="25.26953125" style="69" customWidth="1"/>
    <col min="6403" max="6408" width="13" style="69" customWidth="1"/>
    <col min="6409" max="6656" width="9.1796875" style="69"/>
    <col min="6657" max="6657" width="0" style="69" hidden="1" customWidth="1"/>
    <col min="6658" max="6658" width="25.26953125" style="69" customWidth="1"/>
    <col min="6659" max="6664" width="13" style="69" customWidth="1"/>
    <col min="6665" max="6912" width="9.1796875" style="69"/>
    <col min="6913" max="6913" width="0" style="69" hidden="1" customWidth="1"/>
    <col min="6914" max="6914" width="25.26953125" style="69" customWidth="1"/>
    <col min="6915" max="6920" width="13" style="69" customWidth="1"/>
    <col min="6921" max="7168" width="9.1796875" style="69"/>
    <col min="7169" max="7169" width="0" style="69" hidden="1" customWidth="1"/>
    <col min="7170" max="7170" width="25.26953125" style="69" customWidth="1"/>
    <col min="7171" max="7176" width="13" style="69" customWidth="1"/>
    <col min="7177" max="7424" width="9.1796875" style="69"/>
    <col min="7425" max="7425" width="0" style="69" hidden="1" customWidth="1"/>
    <col min="7426" max="7426" width="25.26953125" style="69" customWidth="1"/>
    <col min="7427" max="7432" width="13" style="69" customWidth="1"/>
    <col min="7433" max="7680" width="9.1796875" style="69"/>
    <col min="7681" max="7681" width="0" style="69" hidden="1" customWidth="1"/>
    <col min="7682" max="7682" width="25.26953125" style="69" customWidth="1"/>
    <col min="7683" max="7688" width="13" style="69" customWidth="1"/>
    <col min="7689" max="7936" width="9.1796875" style="69"/>
    <col min="7937" max="7937" width="0" style="69" hidden="1" customWidth="1"/>
    <col min="7938" max="7938" width="25.26953125" style="69" customWidth="1"/>
    <col min="7939" max="7944" width="13" style="69" customWidth="1"/>
    <col min="7945" max="8192" width="9.1796875" style="69"/>
    <col min="8193" max="8193" width="0" style="69" hidden="1" customWidth="1"/>
    <col min="8194" max="8194" width="25.26953125" style="69" customWidth="1"/>
    <col min="8195" max="8200" width="13" style="69" customWidth="1"/>
    <col min="8201" max="8448" width="9.1796875" style="69"/>
    <col min="8449" max="8449" width="0" style="69" hidden="1" customWidth="1"/>
    <col min="8450" max="8450" width="25.26953125" style="69" customWidth="1"/>
    <col min="8451" max="8456" width="13" style="69" customWidth="1"/>
    <col min="8457" max="8704" width="9.1796875" style="69"/>
    <col min="8705" max="8705" width="0" style="69" hidden="1" customWidth="1"/>
    <col min="8706" max="8706" width="25.26953125" style="69" customWidth="1"/>
    <col min="8707" max="8712" width="13" style="69" customWidth="1"/>
    <col min="8713" max="8960" width="9.1796875" style="69"/>
    <col min="8961" max="8961" width="0" style="69" hidden="1" customWidth="1"/>
    <col min="8962" max="8962" width="25.26953125" style="69" customWidth="1"/>
    <col min="8963" max="8968" width="13" style="69" customWidth="1"/>
    <col min="8969" max="9216" width="9.1796875" style="69"/>
    <col min="9217" max="9217" width="0" style="69" hidden="1" customWidth="1"/>
    <col min="9218" max="9218" width="25.26953125" style="69" customWidth="1"/>
    <col min="9219" max="9224" width="13" style="69" customWidth="1"/>
    <col min="9225" max="9472" width="9.1796875" style="69"/>
    <col min="9473" max="9473" width="0" style="69" hidden="1" customWidth="1"/>
    <col min="9474" max="9474" width="25.26953125" style="69" customWidth="1"/>
    <col min="9475" max="9480" width="13" style="69" customWidth="1"/>
    <col min="9481" max="9728" width="9.1796875" style="69"/>
    <col min="9729" max="9729" width="0" style="69" hidden="1" customWidth="1"/>
    <col min="9730" max="9730" width="25.26953125" style="69" customWidth="1"/>
    <col min="9731" max="9736" width="13" style="69" customWidth="1"/>
    <col min="9737" max="9984" width="9.1796875" style="69"/>
    <col min="9985" max="9985" width="0" style="69" hidden="1" customWidth="1"/>
    <col min="9986" max="9986" width="25.26953125" style="69" customWidth="1"/>
    <col min="9987" max="9992" width="13" style="69" customWidth="1"/>
    <col min="9993" max="10240" width="9.1796875" style="69"/>
    <col min="10241" max="10241" width="0" style="69" hidden="1" customWidth="1"/>
    <col min="10242" max="10242" width="25.26953125" style="69" customWidth="1"/>
    <col min="10243" max="10248" width="13" style="69" customWidth="1"/>
    <col min="10249" max="10496" width="9.1796875" style="69"/>
    <col min="10497" max="10497" width="0" style="69" hidden="1" customWidth="1"/>
    <col min="10498" max="10498" width="25.26953125" style="69" customWidth="1"/>
    <col min="10499" max="10504" width="13" style="69" customWidth="1"/>
    <col min="10505" max="10752" width="9.1796875" style="69"/>
    <col min="10753" max="10753" width="0" style="69" hidden="1" customWidth="1"/>
    <col min="10754" max="10754" width="25.26953125" style="69" customWidth="1"/>
    <col min="10755" max="10760" width="13" style="69" customWidth="1"/>
    <col min="10761" max="11008" width="9.1796875" style="69"/>
    <col min="11009" max="11009" width="0" style="69" hidden="1" customWidth="1"/>
    <col min="11010" max="11010" width="25.26953125" style="69" customWidth="1"/>
    <col min="11011" max="11016" width="13" style="69" customWidth="1"/>
    <col min="11017" max="11264" width="9.1796875" style="69"/>
    <col min="11265" max="11265" width="0" style="69" hidden="1" customWidth="1"/>
    <col min="11266" max="11266" width="25.26953125" style="69" customWidth="1"/>
    <col min="11267" max="11272" width="13" style="69" customWidth="1"/>
    <col min="11273" max="11520" width="9.1796875" style="69"/>
    <col min="11521" max="11521" width="0" style="69" hidden="1" customWidth="1"/>
    <col min="11522" max="11522" width="25.26953125" style="69" customWidth="1"/>
    <col min="11523" max="11528" width="13" style="69" customWidth="1"/>
    <col min="11529" max="11776" width="9.1796875" style="69"/>
    <col min="11777" max="11777" width="0" style="69" hidden="1" customWidth="1"/>
    <col min="11778" max="11778" width="25.26953125" style="69" customWidth="1"/>
    <col min="11779" max="11784" width="13" style="69" customWidth="1"/>
    <col min="11785" max="12032" width="9.1796875" style="69"/>
    <col min="12033" max="12033" width="0" style="69" hidden="1" customWidth="1"/>
    <col min="12034" max="12034" width="25.26953125" style="69" customWidth="1"/>
    <col min="12035" max="12040" width="13" style="69" customWidth="1"/>
    <col min="12041" max="12288" width="9.1796875" style="69"/>
    <col min="12289" max="12289" width="0" style="69" hidden="1" customWidth="1"/>
    <col min="12290" max="12290" width="25.26953125" style="69" customWidth="1"/>
    <col min="12291" max="12296" width="13" style="69" customWidth="1"/>
    <col min="12297" max="12544" width="9.1796875" style="69"/>
    <col min="12545" max="12545" width="0" style="69" hidden="1" customWidth="1"/>
    <col min="12546" max="12546" width="25.26953125" style="69" customWidth="1"/>
    <col min="12547" max="12552" width="13" style="69" customWidth="1"/>
    <col min="12553" max="12800" width="9.1796875" style="69"/>
    <col min="12801" max="12801" width="0" style="69" hidden="1" customWidth="1"/>
    <col min="12802" max="12802" width="25.26953125" style="69" customWidth="1"/>
    <col min="12803" max="12808" width="13" style="69" customWidth="1"/>
    <col min="12809" max="13056" width="9.1796875" style="69"/>
    <col min="13057" max="13057" width="0" style="69" hidden="1" customWidth="1"/>
    <col min="13058" max="13058" width="25.26953125" style="69" customWidth="1"/>
    <col min="13059" max="13064" width="13" style="69" customWidth="1"/>
    <col min="13065" max="13312" width="9.1796875" style="69"/>
    <col min="13313" max="13313" width="0" style="69" hidden="1" customWidth="1"/>
    <col min="13314" max="13314" width="25.26953125" style="69" customWidth="1"/>
    <col min="13315" max="13320" width="13" style="69" customWidth="1"/>
    <col min="13321" max="13568" width="9.1796875" style="69"/>
    <col min="13569" max="13569" width="0" style="69" hidden="1" customWidth="1"/>
    <col min="13570" max="13570" width="25.26953125" style="69" customWidth="1"/>
    <col min="13571" max="13576" width="13" style="69" customWidth="1"/>
    <col min="13577" max="13824" width="9.1796875" style="69"/>
    <col min="13825" max="13825" width="0" style="69" hidden="1" customWidth="1"/>
    <col min="13826" max="13826" width="25.26953125" style="69" customWidth="1"/>
    <col min="13827" max="13832" width="13" style="69" customWidth="1"/>
    <col min="13833" max="14080" width="9.1796875" style="69"/>
    <col min="14081" max="14081" width="0" style="69" hidden="1" customWidth="1"/>
    <col min="14082" max="14082" width="25.26953125" style="69" customWidth="1"/>
    <col min="14083" max="14088" width="13" style="69" customWidth="1"/>
    <col min="14089" max="14336" width="9.1796875" style="69"/>
    <col min="14337" max="14337" width="0" style="69" hidden="1" customWidth="1"/>
    <col min="14338" max="14338" width="25.26953125" style="69" customWidth="1"/>
    <col min="14339" max="14344" width="13" style="69" customWidth="1"/>
    <col min="14345" max="14592" width="9.1796875" style="69"/>
    <col min="14593" max="14593" width="0" style="69" hidden="1" customWidth="1"/>
    <col min="14594" max="14594" width="25.26953125" style="69" customWidth="1"/>
    <col min="14595" max="14600" width="13" style="69" customWidth="1"/>
    <col min="14601" max="14848" width="9.1796875" style="69"/>
    <col min="14849" max="14849" width="0" style="69" hidden="1" customWidth="1"/>
    <col min="14850" max="14850" width="25.26953125" style="69" customWidth="1"/>
    <col min="14851" max="14856" width="13" style="69" customWidth="1"/>
    <col min="14857" max="15104" width="9.1796875" style="69"/>
    <col min="15105" max="15105" width="0" style="69" hidden="1" customWidth="1"/>
    <col min="15106" max="15106" width="25.26953125" style="69" customWidth="1"/>
    <col min="15107" max="15112" width="13" style="69" customWidth="1"/>
    <col min="15113" max="15360" width="9.1796875" style="69"/>
    <col min="15361" max="15361" width="0" style="69" hidden="1" customWidth="1"/>
    <col min="15362" max="15362" width="25.26953125" style="69" customWidth="1"/>
    <col min="15363" max="15368" width="13" style="69" customWidth="1"/>
    <col min="15369" max="15616" width="9.1796875" style="69"/>
    <col min="15617" max="15617" width="0" style="69" hidden="1" customWidth="1"/>
    <col min="15618" max="15618" width="25.26953125" style="69" customWidth="1"/>
    <col min="15619" max="15624" width="13" style="69" customWidth="1"/>
    <col min="15625" max="15872" width="9.1796875" style="69"/>
    <col min="15873" max="15873" width="0" style="69" hidden="1" customWidth="1"/>
    <col min="15874" max="15874" width="25.26953125" style="69" customWidth="1"/>
    <col min="15875" max="15880" width="13" style="69" customWidth="1"/>
    <col min="15881" max="16128" width="9.1796875" style="69"/>
    <col min="16129" max="16129" width="0" style="69" hidden="1" customWidth="1"/>
    <col min="16130" max="16130" width="25.26953125" style="69" customWidth="1"/>
    <col min="16131" max="16136" width="13" style="69" customWidth="1"/>
    <col min="16137" max="16384" width="9.1796875" style="69"/>
  </cols>
  <sheetData>
    <row r="1" spans="1:17" ht="39.75" customHeight="1" x14ac:dyDescent="0.35">
      <c r="B1" s="149" t="s">
        <v>86</v>
      </c>
      <c r="C1" s="150"/>
      <c r="D1" s="150"/>
      <c r="E1" s="150"/>
      <c r="F1" s="150"/>
      <c r="G1" s="150"/>
      <c r="H1" s="151"/>
    </row>
    <row r="2" spans="1:17" ht="30" customHeight="1" x14ac:dyDescent="0.35">
      <c r="C2" s="70" t="s">
        <v>74</v>
      </c>
      <c r="D2" s="70" t="s">
        <v>75</v>
      </c>
      <c r="E2" s="70" t="s">
        <v>76</v>
      </c>
      <c r="F2" s="70" t="s">
        <v>77</v>
      </c>
      <c r="G2" s="70" t="s">
        <v>78</v>
      </c>
      <c r="H2" s="71" t="s">
        <v>1</v>
      </c>
    </row>
    <row r="3" spans="1:17" s="36" customFormat="1" ht="26.25" customHeight="1" x14ac:dyDescent="0.35">
      <c r="A3" s="38"/>
      <c r="B3" s="37" t="s">
        <v>80</v>
      </c>
      <c r="C3" s="72">
        <v>17.5</v>
      </c>
      <c r="D3" s="72">
        <v>61</v>
      </c>
      <c r="E3" s="72">
        <v>258.01</v>
      </c>
      <c r="F3" s="72">
        <v>291.31</v>
      </c>
      <c r="G3" s="72">
        <v>608.49</v>
      </c>
      <c r="H3" s="72">
        <v>1240</v>
      </c>
      <c r="I3" s="73"/>
      <c r="J3" s="73"/>
      <c r="K3" s="73"/>
      <c r="L3" s="73"/>
      <c r="M3" s="73"/>
      <c r="N3" s="73"/>
      <c r="O3" s="73"/>
      <c r="P3" s="73"/>
      <c r="Q3" s="73"/>
    </row>
    <row r="4" spans="1:17" s="37" customFormat="1" ht="26.25" customHeight="1" x14ac:dyDescent="0.35">
      <c r="A4" s="38"/>
      <c r="B4" s="37" t="s">
        <v>55</v>
      </c>
      <c r="C4" s="74">
        <v>12.5</v>
      </c>
      <c r="D4" s="74">
        <v>51</v>
      </c>
      <c r="E4" s="74">
        <v>195.01</v>
      </c>
      <c r="F4" s="74">
        <v>207.81</v>
      </c>
      <c r="G4" s="74">
        <v>421.21000000000004</v>
      </c>
      <c r="H4" s="74">
        <v>887.53</v>
      </c>
      <c r="J4" s="73"/>
      <c r="K4" s="73"/>
      <c r="L4" s="73"/>
      <c r="M4" s="73"/>
      <c r="N4" s="73"/>
      <c r="O4" s="73"/>
    </row>
    <row r="5" spans="1:17" s="50" customFormat="1" ht="14" x14ac:dyDescent="0.35">
      <c r="A5" s="40">
        <v>51</v>
      </c>
      <c r="B5" s="50" t="s">
        <v>7</v>
      </c>
      <c r="C5" s="75">
        <v>1</v>
      </c>
      <c r="D5" s="75">
        <v>1</v>
      </c>
      <c r="E5" s="75">
        <v>7</v>
      </c>
      <c r="F5" s="75">
        <v>9.81</v>
      </c>
      <c r="G5" s="75">
        <v>13</v>
      </c>
      <c r="H5" s="76">
        <v>31.810000000000002</v>
      </c>
      <c r="J5" s="73"/>
      <c r="K5" s="73"/>
      <c r="L5" s="73"/>
      <c r="M5" s="73"/>
      <c r="N5" s="73"/>
      <c r="O5" s="73"/>
    </row>
    <row r="6" spans="1:17" s="50" customFormat="1" ht="14" x14ac:dyDescent="0.35">
      <c r="A6" s="40">
        <v>52</v>
      </c>
      <c r="B6" s="50" t="s">
        <v>8</v>
      </c>
      <c r="C6" s="75">
        <v>0.5</v>
      </c>
      <c r="D6" s="75">
        <v>3</v>
      </c>
      <c r="E6" s="75">
        <v>5</v>
      </c>
      <c r="F6" s="75">
        <v>6.5</v>
      </c>
      <c r="G6" s="75">
        <v>9</v>
      </c>
      <c r="H6" s="76">
        <v>24</v>
      </c>
      <c r="J6" s="73"/>
      <c r="K6" s="73"/>
      <c r="L6" s="73"/>
      <c r="M6" s="73"/>
      <c r="N6" s="73"/>
      <c r="O6" s="73"/>
    </row>
    <row r="7" spans="1:17" s="50" customFormat="1" ht="14" x14ac:dyDescent="0.35">
      <c r="A7" s="40">
        <v>86</v>
      </c>
      <c r="B7" s="50" t="s">
        <v>9</v>
      </c>
      <c r="C7" s="75">
        <v>0</v>
      </c>
      <c r="D7" s="75">
        <v>0</v>
      </c>
      <c r="E7" s="75">
        <v>7</v>
      </c>
      <c r="F7" s="75">
        <v>8</v>
      </c>
      <c r="G7" s="75">
        <v>12</v>
      </c>
      <c r="H7" s="76">
        <v>27</v>
      </c>
      <c r="J7" s="73"/>
      <c r="K7" s="73"/>
      <c r="L7" s="73"/>
      <c r="M7" s="73"/>
      <c r="N7" s="73"/>
      <c r="O7" s="73"/>
    </row>
    <row r="8" spans="1:17" s="50" customFormat="1" ht="14" x14ac:dyDescent="0.35">
      <c r="A8" s="40">
        <v>53</v>
      </c>
      <c r="B8" s="50" t="s">
        <v>10</v>
      </c>
      <c r="C8" s="75">
        <v>1</v>
      </c>
      <c r="D8" s="75">
        <v>1</v>
      </c>
      <c r="E8" s="75">
        <v>4</v>
      </c>
      <c r="F8" s="75">
        <v>3</v>
      </c>
      <c r="G8" s="75">
        <v>8</v>
      </c>
      <c r="H8" s="76">
        <v>17</v>
      </c>
      <c r="J8" s="73"/>
      <c r="K8" s="73"/>
      <c r="L8" s="73"/>
      <c r="M8" s="73"/>
      <c r="N8" s="73"/>
      <c r="O8" s="73"/>
    </row>
    <row r="9" spans="1:17" s="50" customFormat="1" ht="14" x14ac:dyDescent="0.35">
      <c r="A9" s="40">
        <v>54</v>
      </c>
      <c r="B9" s="50" t="s">
        <v>11</v>
      </c>
      <c r="C9" s="75">
        <v>1</v>
      </c>
      <c r="D9" s="75">
        <v>2</v>
      </c>
      <c r="E9" s="75">
        <v>5.81</v>
      </c>
      <c r="F9" s="75">
        <v>9.25</v>
      </c>
      <c r="G9" s="75">
        <v>20.93</v>
      </c>
      <c r="H9" s="76">
        <v>38.989999999999995</v>
      </c>
      <c r="J9" s="73"/>
      <c r="K9" s="73"/>
      <c r="L9" s="73"/>
      <c r="M9" s="73"/>
      <c r="N9" s="73"/>
      <c r="O9" s="73"/>
    </row>
    <row r="10" spans="1:17" s="50" customFormat="1" ht="14" x14ac:dyDescent="0.35">
      <c r="A10" s="40">
        <v>55</v>
      </c>
      <c r="B10" s="50" t="s">
        <v>12</v>
      </c>
      <c r="C10" s="75">
        <v>0</v>
      </c>
      <c r="D10" s="75">
        <v>1</v>
      </c>
      <c r="E10" s="75">
        <v>7</v>
      </c>
      <c r="F10" s="75">
        <v>1</v>
      </c>
      <c r="G10" s="75">
        <v>14</v>
      </c>
      <c r="H10" s="76">
        <v>23</v>
      </c>
      <c r="J10" s="73"/>
      <c r="K10" s="73"/>
      <c r="L10" s="73"/>
      <c r="M10" s="73"/>
      <c r="N10" s="73"/>
      <c r="O10" s="73"/>
    </row>
    <row r="11" spans="1:17" s="50" customFormat="1" ht="14" x14ac:dyDescent="0.35">
      <c r="A11" s="40">
        <v>56</v>
      </c>
      <c r="B11" s="50" t="s">
        <v>13</v>
      </c>
      <c r="C11" s="75">
        <v>0</v>
      </c>
      <c r="D11" s="75">
        <v>0</v>
      </c>
      <c r="E11" s="75">
        <v>4</v>
      </c>
      <c r="F11" s="75">
        <v>10.5</v>
      </c>
      <c r="G11" s="75">
        <v>8</v>
      </c>
      <c r="H11" s="76">
        <v>22.5</v>
      </c>
      <c r="J11" s="73"/>
      <c r="K11" s="73"/>
      <c r="L11" s="73"/>
      <c r="M11" s="73"/>
      <c r="N11" s="73"/>
      <c r="O11" s="73"/>
    </row>
    <row r="12" spans="1:17" s="50" customFormat="1" ht="14" x14ac:dyDescent="0.35">
      <c r="A12" s="40">
        <v>57</v>
      </c>
      <c r="B12" s="50" t="s">
        <v>14</v>
      </c>
      <c r="C12" s="75">
        <v>0</v>
      </c>
      <c r="D12" s="75">
        <v>1</v>
      </c>
      <c r="E12" s="75">
        <v>6</v>
      </c>
      <c r="F12" s="75">
        <v>4</v>
      </c>
      <c r="G12" s="75">
        <v>5.53</v>
      </c>
      <c r="H12" s="76">
        <v>16.53</v>
      </c>
      <c r="J12" s="73"/>
      <c r="K12" s="73"/>
      <c r="L12" s="73"/>
      <c r="M12" s="73"/>
      <c r="N12" s="73"/>
      <c r="O12" s="73"/>
    </row>
    <row r="13" spans="1:17" s="50" customFormat="1" ht="14" x14ac:dyDescent="0.35">
      <c r="A13" s="40">
        <v>59</v>
      </c>
      <c r="B13" s="50" t="s">
        <v>15</v>
      </c>
      <c r="C13" s="75">
        <v>0</v>
      </c>
      <c r="D13" s="75">
        <v>0</v>
      </c>
      <c r="E13" s="75">
        <v>0</v>
      </c>
      <c r="F13" s="75">
        <v>0</v>
      </c>
      <c r="G13" s="75">
        <v>0</v>
      </c>
      <c r="H13" s="76">
        <v>0</v>
      </c>
      <c r="J13" s="73"/>
      <c r="K13" s="73"/>
      <c r="L13" s="73"/>
      <c r="M13" s="73"/>
      <c r="N13" s="73"/>
      <c r="O13" s="73"/>
    </row>
    <row r="14" spans="1:17" s="50" customFormat="1" ht="14" x14ac:dyDescent="0.35">
      <c r="A14" s="40">
        <v>60</v>
      </c>
      <c r="B14" s="50" t="s">
        <v>16</v>
      </c>
      <c r="C14" s="75">
        <v>0</v>
      </c>
      <c r="D14" s="75">
        <v>1</v>
      </c>
      <c r="E14" s="75">
        <v>4</v>
      </c>
      <c r="F14" s="75">
        <v>5</v>
      </c>
      <c r="G14" s="75">
        <v>14</v>
      </c>
      <c r="H14" s="76">
        <v>24</v>
      </c>
      <c r="J14" s="73"/>
      <c r="K14" s="73"/>
      <c r="L14" s="73"/>
      <c r="M14" s="73"/>
      <c r="N14" s="73"/>
      <c r="O14" s="73"/>
    </row>
    <row r="15" spans="1:17" s="50" customFormat="1" ht="14" x14ac:dyDescent="0.35">
      <c r="A15" s="40">
        <v>61</v>
      </c>
      <c r="B15" s="77" t="s">
        <v>56</v>
      </c>
      <c r="C15" s="75">
        <v>1</v>
      </c>
      <c r="D15" s="75">
        <v>4</v>
      </c>
      <c r="E15" s="75">
        <v>7</v>
      </c>
      <c r="F15" s="75">
        <v>11</v>
      </c>
      <c r="G15" s="75">
        <v>17</v>
      </c>
      <c r="H15" s="76">
        <v>40</v>
      </c>
      <c r="J15" s="73"/>
      <c r="K15" s="73"/>
      <c r="L15" s="73"/>
      <c r="M15" s="73"/>
      <c r="N15" s="73"/>
      <c r="O15" s="73"/>
    </row>
    <row r="16" spans="1:17" s="50" customFormat="1" ht="14" x14ac:dyDescent="0.35">
      <c r="A16" s="40">
        <v>62</v>
      </c>
      <c r="B16" s="50" t="s">
        <v>143</v>
      </c>
      <c r="C16" s="75">
        <f>C61+C62</f>
        <v>0</v>
      </c>
      <c r="D16" s="75">
        <f t="shared" ref="D16:H16" si="0">D61+D62</f>
        <v>5</v>
      </c>
      <c r="E16" s="75">
        <f t="shared" si="0"/>
        <v>8.5</v>
      </c>
      <c r="F16" s="75">
        <f t="shared" si="0"/>
        <v>9</v>
      </c>
      <c r="G16" s="75">
        <f t="shared" si="0"/>
        <v>18.16</v>
      </c>
      <c r="H16" s="76">
        <f t="shared" si="0"/>
        <v>40.659999999999997</v>
      </c>
      <c r="J16" s="73"/>
      <c r="K16" s="73"/>
      <c r="L16" s="73"/>
      <c r="M16" s="73"/>
      <c r="N16" s="73"/>
      <c r="O16" s="73"/>
    </row>
    <row r="17" spans="1:15" s="50" customFormat="1" ht="14" x14ac:dyDescent="0.35">
      <c r="A17" s="40">
        <v>58</v>
      </c>
      <c r="B17" s="50" t="s">
        <v>19</v>
      </c>
      <c r="C17" s="75">
        <v>0</v>
      </c>
      <c r="D17" s="75">
        <v>1</v>
      </c>
      <c r="E17" s="75">
        <v>5</v>
      </c>
      <c r="F17" s="75">
        <v>4</v>
      </c>
      <c r="G17" s="75">
        <v>16.5</v>
      </c>
      <c r="H17" s="76">
        <v>26.5</v>
      </c>
      <c r="J17" s="73"/>
      <c r="K17" s="73"/>
      <c r="L17" s="73"/>
      <c r="M17" s="73"/>
      <c r="N17" s="73"/>
      <c r="O17" s="73"/>
    </row>
    <row r="18" spans="1:15" s="50" customFormat="1" ht="14" x14ac:dyDescent="0.35">
      <c r="A18" s="40">
        <v>63</v>
      </c>
      <c r="B18" s="50" t="s">
        <v>20</v>
      </c>
      <c r="C18" s="75">
        <v>2</v>
      </c>
      <c r="D18" s="75">
        <v>4</v>
      </c>
      <c r="E18" s="75">
        <v>10</v>
      </c>
      <c r="F18" s="75">
        <v>12</v>
      </c>
      <c r="G18" s="75">
        <v>29</v>
      </c>
      <c r="H18" s="76">
        <v>57</v>
      </c>
      <c r="J18" s="73"/>
      <c r="K18" s="73"/>
      <c r="L18" s="73"/>
      <c r="M18" s="73"/>
      <c r="N18" s="73"/>
      <c r="O18" s="73"/>
    </row>
    <row r="19" spans="1:15" s="50" customFormat="1" ht="14" x14ac:dyDescent="0.35">
      <c r="A19" s="40">
        <v>64</v>
      </c>
      <c r="B19" s="50" t="s">
        <v>21</v>
      </c>
      <c r="C19" s="75">
        <v>0</v>
      </c>
      <c r="D19" s="75">
        <v>0</v>
      </c>
      <c r="E19" s="75">
        <v>14</v>
      </c>
      <c r="F19" s="75">
        <v>13</v>
      </c>
      <c r="G19" s="75">
        <v>17</v>
      </c>
      <c r="H19" s="76">
        <v>44</v>
      </c>
      <c r="J19" s="73"/>
      <c r="K19" s="73"/>
      <c r="L19" s="73"/>
      <c r="M19" s="73"/>
      <c r="N19" s="73"/>
      <c r="O19" s="73"/>
    </row>
    <row r="20" spans="1:15" s="50" customFormat="1" ht="14" x14ac:dyDescent="0.35">
      <c r="A20" s="40">
        <v>65</v>
      </c>
      <c r="B20" s="50" t="s">
        <v>22</v>
      </c>
      <c r="C20" s="75">
        <v>0</v>
      </c>
      <c r="D20" s="75">
        <v>0</v>
      </c>
      <c r="E20" s="75">
        <v>5</v>
      </c>
      <c r="F20" s="75">
        <v>5</v>
      </c>
      <c r="G20" s="75">
        <v>8</v>
      </c>
      <c r="H20" s="76">
        <v>18</v>
      </c>
      <c r="J20" s="73"/>
      <c r="K20" s="73"/>
      <c r="L20" s="73"/>
      <c r="M20" s="73"/>
      <c r="N20" s="73"/>
      <c r="O20" s="73"/>
    </row>
    <row r="21" spans="1:15" s="50" customFormat="1" ht="14" x14ac:dyDescent="0.35">
      <c r="A21" s="40">
        <v>67</v>
      </c>
      <c r="B21" s="50" t="s">
        <v>25</v>
      </c>
      <c r="C21" s="75">
        <v>2</v>
      </c>
      <c r="D21" s="75">
        <v>3</v>
      </c>
      <c r="E21" s="75">
        <v>4.7</v>
      </c>
      <c r="F21" s="75">
        <v>9.5</v>
      </c>
      <c r="G21" s="75">
        <v>17.8</v>
      </c>
      <c r="H21" s="76">
        <v>37</v>
      </c>
      <c r="J21" s="73"/>
      <c r="K21" s="73"/>
      <c r="L21" s="73"/>
      <c r="M21" s="73"/>
      <c r="N21" s="73"/>
      <c r="O21" s="73"/>
    </row>
    <row r="22" spans="1:15" s="50" customFormat="1" ht="14" x14ac:dyDescent="0.35">
      <c r="A22" s="40">
        <v>68</v>
      </c>
      <c r="B22" s="50" t="s">
        <v>57</v>
      </c>
      <c r="C22" s="75">
        <v>0</v>
      </c>
      <c r="D22" s="75">
        <v>1</v>
      </c>
      <c r="E22" s="75">
        <v>5</v>
      </c>
      <c r="F22" s="75">
        <v>4.5</v>
      </c>
      <c r="G22" s="75">
        <v>10</v>
      </c>
      <c r="H22" s="76">
        <v>20.5</v>
      </c>
      <c r="J22" s="73"/>
      <c r="K22" s="73"/>
      <c r="L22" s="73"/>
      <c r="M22" s="73"/>
      <c r="N22" s="73"/>
      <c r="O22" s="73"/>
    </row>
    <row r="23" spans="1:15" s="50" customFormat="1" ht="14" x14ac:dyDescent="0.35">
      <c r="A23" s="40">
        <v>69</v>
      </c>
      <c r="B23" s="50" t="s">
        <v>27</v>
      </c>
      <c r="C23" s="117">
        <v>0</v>
      </c>
      <c r="D23" s="117">
        <v>1</v>
      </c>
      <c r="E23" s="117">
        <v>10</v>
      </c>
      <c r="F23" s="117">
        <v>3</v>
      </c>
      <c r="G23" s="117">
        <v>4</v>
      </c>
      <c r="H23" s="118">
        <v>18</v>
      </c>
      <c r="I23" s="73" t="s">
        <v>146</v>
      </c>
      <c r="J23" s="73"/>
      <c r="K23" s="73"/>
      <c r="L23" s="73"/>
      <c r="M23" s="73"/>
      <c r="N23" s="73"/>
      <c r="O23" s="73"/>
    </row>
    <row r="24" spans="1:15" s="50" customFormat="1" ht="14" x14ac:dyDescent="0.35">
      <c r="A24" s="40">
        <v>70</v>
      </c>
      <c r="B24" s="50" t="s">
        <v>28</v>
      </c>
      <c r="C24" s="75">
        <v>1</v>
      </c>
      <c r="D24" s="75">
        <v>2</v>
      </c>
      <c r="E24" s="75">
        <v>5</v>
      </c>
      <c r="F24" s="75">
        <v>8</v>
      </c>
      <c r="G24" s="75">
        <v>17</v>
      </c>
      <c r="H24" s="76">
        <v>33</v>
      </c>
      <c r="J24" s="73"/>
      <c r="K24" s="73"/>
      <c r="L24" s="73"/>
      <c r="M24" s="73"/>
      <c r="N24" s="73"/>
      <c r="O24" s="73"/>
    </row>
    <row r="25" spans="1:15" s="50" customFormat="1" ht="14" x14ac:dyDescent="0.35">
      <c r="A25" s="40">
        <v>71</v>
      </c>
      <c r="B25" s="50" t="s">
        <v>58</v>
      </c>
      <c r="C25" s="75">
        <v>0</v>
      </c>
      <c r="D25" s="75">
        <v>0</v>
      </c>
      <c r="E25" s="75">
        <v>0</v>
      </c>
      <c r="F25" s="75">
        <v>0</v>
      </c>
      <c r="G25" s="75">
        <v>0</v>
      </c>
      <c r="H25" s="76">
        <v>0</v>
      </c>
      <c r="J25" s="73"/>
      <c r="K25" s="73"/>
      <c r="L25" s="73"/>
      <c r="M25" s="73"/>
      <c r="N25" s="73"/>
      <c r="O25" s="73"/>
    </row>
    <row r="26" spans="1:15" s="50" customFormat="1" ht="14" x14ac:dyDescent="0.35">
      <c r="A26" s="40">
        <v>73</v>
      </c>
      <c r="B26" s="50" t="s">
        <v>31</v>
      </c>
      <c r="C26" s="75">
        <v>1</v>
      </c>
      <c r="D26" s="75">
        <v>3</v>
      </c>
      <c r="E26" s="75">
        <v>4</v>
      </c>
      <c r="F26" s="75">
        <v>8</v>
      </c>
      <c r="G26" s="75">
        <v>13</v>
      </c>
      <c r="H26" s="76">
        <v>29</v>
      </c>
      <c r="J26" s="73"/>
      <c r="K26" s="73"/>
      <c r="L26" s="73"/>
      <c r="M26" s="73"/>
      <c r="N26" s="73"/>
      <c r="O26" s="73"/>
    </row>
    <row r="27" spans="1:15" s="50" customFormat="1" ht="14" x14ac:dyDescent="0.35">
      <c r="A27" s="40">
        <v>74</v>
      </c>
      <c r="B27" s="50" t="s">
        <v>32</v>
      </c>
      <c r="C27" s="75">
        <v>0</v>
      </c>
      <c r="D27" s="75">
        <v>1</v>
      </c>
      <c r="E27" s="75">
        <v>10</v>
      </c>
      <c r="F27" s="75">
        <v>5</v>
      </c>
      <c r="G27" s="75">
        <v>19</v>
      </c>
      <c r="H27" s="76">
        <v>35</v>
      </c>
      <c r="J27" s="73"/>
      <c r="K27" s="73"/>
      <c r="L27" s="73"/>
      <c r="M27" s="73"/>
      <c r="N27" s="73"/>
      <c r="O27" s="73"/>
    </row>
    <row r="28" spans="1:15" s="50" customFormat="1" ht="14" x14ac:dyDescent="0.35">
      <c r="A28" s="40">
        <v>75</v>
      </c>
      <c r="B28" s="50" t="s">
        <v>33</v>
      </c>
      <c r="C28" s="75">
        <v>0</v>
      </c>
      <c r="D28" s="75">
        <v>2</v>
      </c>
      <c r="E28" s="75">
        <v>5</v>
      </c>
      <c r="F28" s="75">
        <v>9</v>
      </c>
      <c r="G28" s="75">
        <v>10.5</v>
      </c>
      <c r="H28" s="76">
        <v>26.5</v>
      </c>
      <c r="J28" s="73"/>
      <c r="K28" s="73"/>
      <c r="L28" s="73"/>
      <c r="M28" s="73"/>
      <c r="N28" s="73"/>
      <c r="O28" s="73"/>
    </row>
    <row r="29" spans="1:15" s="50" customFormat="1" ht="14" x14ac:dyDescent="0.35">
      <c r="A29" s="40">
        <v>76</v>
      </c>
      <c r="B29" s="50" t="s">
        <v>34</v>
      </c>
      <c r="C29" s="75">
        <v>0</v>
      </c>
      <c r="D29" s="75">
        <v>1</v>
      </c>
      <c r="E29" s="75">
        <v>3</v>
      </c>
      <c r="F29" s="75">
        <v>4</v>
      </c>
      <c r="G29" s="75">
        <v>14</v>
      </c>
      <c r="H29" s="76">
        <v>22</v>
      </c>
      <c r="J29" s="73"/>
      <c r="K29" s="73"/>
      <c r="L29" s="73"/>
      <c r="M29" s="73"/>
      <c r="N29" s="73"/>
      <c r="O29" s="73"/>
    </row>
    <row r="30" spans="1:15" s="50" customFormat="1" ht="14" x14ac:dyDescent="0.35">
      <c r="A30" s="40">
        <v>79</v>
      </c>
      <c r="B30" s="50" t="s">
        <v>36</v>
      </c>
      <c r="C30" s="75">
        <v>0</v>
      </c>
      <c r="D30" s="75">
        <v>1</v>
      </c>
      <c r="E30" s="75">
        <v>6</v>
      </c>
      <c r="F30" s="75">
        <v>4</v>
      </c>
      <c r="G30" s="75">
        <v>12.47</v>
      </c>
      <c r="H30" s="76">
        <v>23.47</v>
      </c>
      <c r="J30" s="73"/>
      <c r="K30" s="73"/>
      <c r="L30" s="73"/>
      <c r="M30" s="73"/>
      <c r="N30" s="73"/>
      <c r="O30" s="73"/>
    </row>
    <row r="31" spans="1:15" s="50" customFormat="1" ht="14" x14ac:dyDescent="0.35">
      <c r="A31" s="40"/>
      <c r="B31" s="67" t="s">
        <v>81</v>
      </c>
      <c r="C31" s="68" t="s">
        <v>64</v>
      </c>
      <c r="D31" s="68" t="s">
        <v>64</v>
      </c>
      <c r="E31" s="68" t="s">
        <v>64</v>
      </c>
      <c r="F31" s="68" t="s">
        <v>64</v>
      </c>
      <c r="G31" s="68" t="s">
        <v>64</v>
      </c>
      <c r="H31" s="68" t="s">
        <v>64</v>
      </c>
      <c r="J31" s="73"/>
      <c r="K31" s="73"/>
      <c r="L31" s="73"/>
      <c r="M31" s="73"/>
      <c r="N31" s="73"/>
      <c r="O31" s="73"/>
    </row>
    <row r="32" spans="1:15" s="50" customFormat="1" ht="14" x14ac:dyDescent="0.35">
      <c r="A32" s="40">
        <v>80</v>
      </c>
      <c r="B32" s="50" t="s">
        <v>38</v>
      </c>
      <c r="C32" s="75">
        <v>0</v>
      </c>
      <c r="D32" s="75">
        <v>2</v>
      </c>
      <c r="E32" s="75">
        <v>7</v>
      </c>
      <c r="F32" s="75">
        <v>4</v>
      </c>
      <c r="G32" s="75">
        <v>7</v>
      </c>
      <c r="H32" s="76">
        <v>20</v>
      </c>
      <c r="J32" s="73"/>
      <c r="K32" s="73"/>
      <c r="L32" s="73"/>
      <c r="M32" s="73"/>
      <c r="N32" s="73"/>
      <c r="O32" s="73"/>
    </row>
    <row r="33" spans="1:15" s="50" customFormat="1" ht="14" x14ac:dyDescent="0.35">
      <c r="A33" s="40">
        <v>81</v>
      </c>
      <c r="B33" s="50" t="s">
        <v>39</v>
      </c>
      <c r="C33" s="75">
        <v>0</v>
      </c>
      <c r="D33" s="75">
        <v>1</v>
      </c>
      <c r="E33" s="75">
        <v>5</v>
      </c>
      <c r="F33" s="75">
        <v>4</v>
      </c>
      <c r="G33" s="75">
        <v>11</v>
      </c>
      <c r="H33" s="76">
        <v>21</v>
      </c>
      <c r="J33" s="73"/>
      <c r="K33" s="73"/>
      <c r="L33" s="73"/>
      <c r="M33" s="73"/>
      <c r="N33" s="73"/>
      <c r="O33" s="73"/>
    </row>
    <row r="34" spans="1:15" s="50" customFormat="1" ht="14" x14ac:dyDescent="0.35">
      <c r="A34" s="40">
        <v>83</v>
      </c>
      <c r="B34" s="50" t="s">
        <v>40</v>
      </c>
      <c r="C34" s="75">
        <v>0</v>
      </c>
      <c r="D34" s="75">
        <v>0</v>
      </c>
      <c r="E34" s="75">
        <v>4</v>
      </c>
      <c r="F34" s="75">
        <v>3.75</v>
      </c>
      <c r="G34" s="75">
        <v>8.4</v>
      </c>
      <c r="H34" s="76">
        <v>16.149999999999999</v>
      </c>
      <c r="J34" s="73"/>
      <c r="K34" s="73"/>
      <c r="L34" s="73"/>
      <c r="M34" s="73"/>
      <c r="N34" s="73"/>
      <c r="O34" s="73"/>
    </row>
    <row r="35" spans="1:15" s="50" customFormat="1" ht="14" x14ac:dyDescent="0.35">
      <c r="A35" s="40">
        <v>84</v>
      </c>
      <c r="B35" s="50" t="s">
        <v>41</v>
      </c>
      <c r="C35" s="75">
        <v>1</v>
      </c>
      <c r="D35" s="75">
        <v>3</v>
      </c>
      <c r="E35" s="75">
        <v>4</v>
      </c>
      <c r="F35" s="75">
        <v>4</v>
      </c>
      <c r="G35" s="75">
        <v>15</v>
      </c>
      <c r="H35" s="76">
        <v>27</v>
      </c>
      <c r="J35" s="73"/>
      <c r="K35" s="73"/>
      <c r="L35" s="73"/>
      <c r="M35" s="73"/>
      <c r="N35" s="73"/>
      <c r="O35" s="73"/>
    </row>
    <row r="36" spans="1:15" s="50" customFormat="1" ht="14" x14ac:dyDescent="0.35">
      <c r="A36" s="40">
        <v>85</v>
      </c>
      <c r="B36" s="50" t="s">
        <v>42</v>
      </c>
      <c r="C36" s="75">
        <v>0</v>
      </c>
      <c r="D36" s="75">
        <v>1</v>
      </c>
      <c r="E36" s="75">
        <v>6</v>
      </c>
      <c r="F36" s="75">
        <v>5</v>
      </c>
      <c r="G36" s="75">
        <v>7.92</v>
      </c>
      <c r="H36" s="76">
        <v>19.920000000000002</v>
      </c>
      <c r="J36" s="73"/>
      <c r="K36" s="73"/>
      <c r="L36" s="73"/>
      <c r="M36" s="73"/>
      <c r="N36" s="73"/>
      <c r="O36" s="73"/>
    </row>
    <row r="37" spans="1:15" s="50" customFormat="1" ht="14" x14ac:dyDescent="0.35">
      <c r="A37" s="40">
        <v>87</v>
      </c>
      <c r="B37" s="50" t="s">
        <v>43</v>
      </c>
      <c r="C37" s="75">
        <v>0</v>
      </c>
      <c r="D37" s="75">
        <v>1</v>
      </c>
      <c r="E37" s="75">
        <v>5</v>
      </c>
      <c r="F37" s="75">
        <v>4</v>
      </c>
      <c r="G37" s="75">
        <v>8.5</v>
      </c>
      <c r="H37" s="76">
        <v>18.5</v>
      </c>
      <c r="J37" s="73"/>
      <c r="K37" s="73"/>
      <c r="L37" s="73"/>
      <c r="M37" s="73"/>
      <c r="N37" s="73"/>
      <c r="O37" s="73"/>
    </row>
    <row r="38" spans="1:15" s="50" customFormat="1" ht="14" x14ac:dyDescent="0.35">
      <c r="A38" s="40">
        <v>90</v>
      </c>
      <c r="B38" s="50" t="s">
        <v>45</v>
      </c>
      <c r="C38" s="75">
        <v>0</v>
      </c>
      <c r="D38" s="75">
        <v>0</v>
      </c>
      <c r="E38" s="75">
        <v>4</v>
      </c>
      <c r="F38" s="75">
        <v>6</v>
      </c>
      <c r="G38" s="75">
        <v>9</v>
      </c>
      <c r="H38" s="76">
        <v>19</v>
      </c>
      <c r="J38" s="73"/>
      <c r="K38" s="73"/>
      <c r="L38" s="73"/>
      <c r="M38" s="73"/>
      <c r="N38" s="73"/>
      <c r="O38" s="73"/>
    </row>
    <row r="39" spans="1:15" s="50" customFormat="1" ht="14" x14ac:dyDescent="0.35">
      <c r="A39" s="40">
        <v>91</v>
      </c>
      <c r="B39" s="50" t="s">
        <v>46</v>
      </c>
      <c r="C39" s="75">
        <v>0</v>
      </c>
      <c r="D39" s="75">
        <v>0</v>
      </c>
      <c r="E39" s="75">
        <v>0</v>
      </c>
      <c r="F39" s="75">
        <v>0</v>
      </c>
      <c r="G39" s="75">
        <v>0</v>
      </c>
      <c r="H39" s="76">
        <v>0</v>
      </c>
      <c r="J39" s="73"/>
      <c r="K39" s="73"/>
      <c r="L39" s="73"/>
      <c r="M39" s="73"/>
      <c r="N39" s="73"/>
      <c r="O39" s="73"/>
    </row>
    <row r="40" spans="1:15" s="50" customFormat="1" ht="14" x14ac:dyDescent="0.35">
      <c r="A40" s="40">
        <v>92</v>
      </c>
      <c r="B40" s="50" t="s">
        <v>47</v>
      </c>
      <c r="C40" s="75">
        <v>1</v>
      </c>
      <c r="D40" s="75">
        <v>3</v>
      </c>
      <c r="E40" s="75">
        <v>4</v>
      </c>
      <c r="F40" s="75">
        <v>5</v>
      </c>
      <c r="G40" s="75">
        <v>13</v>
      </c>
      <c r="H40" s="76">
        <v>26</v>
      </c>
      <c r="J40" s="73"/>
      <c r="K40" s="73"/>
      <c r="L40" s="73"/>
      <c r="M40" s="73"/>
      <c r="N40" s="73"/>
      <c r="O40" s="73"/>
    </row>
    <row r="41" spans="1:15" s="50" customFormat="1" ht="14" x14ac:dyDescent="0.35">
      <c r="A41" s="40">
        <v>94</v>
      </c>
      <c r="B41" s="50" t="s">
        <v>49</v>
      </c>
      <c r="C41" s="75">
        <v>0</v>
      </c>
      <c r="D41" s="75">
        <v>1</v>
      </c>
      <c r="E41" s="75">
        <v>5</v>
      </c>
      <c r="F41" s="75">
        <v>5</v>
      </c>
      <c r="G41" s="75">
        <v>5.5</v>
      </c>
      <c r="H41" s="76">
        <v>16.5</v>
      </c>
      <c r="J41" s="73"/>
      <c r="K41" s="73"/>
      <c r="L41" s="73"/>
      <c r="M41" s="73"/>
      <c r="N41" s="73"/>
      <c r="O41" s="73"/>
    </row>
    <row r="42" spans="1:15" s="50" customFormat="1" ht="14" x14ac:dyDescent="0.35">
      <c r="A42" s="40">
        <v>96</v>
      </c>
      <c r="B42" s="50" t="s">
        <v>51</v>
      </c>
      <c r="C42" s="75">
        <v>0</v>
      </c>
      <c r="D42" s="75">
        <v>0</v>
      </c>
      <c r="E42" s="75">
        <v>0</v>
      </c>
      <c r="F42" s="75">
        <v>0</v>
      </c>
      <c r="G42" s="75">
        <v>0</v>
      </c>
      <c r="H42" s="76">
        <v>0</v>
      </c>
      <c r="J42" s="73"/>
      <c r="K42" s="73"/>
      <c r="L42" s="73"/>
      <c r="M42" s="73"/>
      <c r="N42" s="73"/>
      <c r="O42" s="73"/>
    </row>
    <row r="43" spans="1:15" s="50" customFormat="1" ht="14" x14ac:dyDescent="0.35">
      <c r="A43" s="40">
        <v>72</v>
      </c>
      <c r="B43" s="50" t="s">
        <v>30</v>
      </c>
      <c r="C43" s="75">
        <v>0</v>
      </c>
      <c r="D43" s="75">
        <v>0</v>
      </c>
      <c r="E43" s="75">
        <v>0</v>
      </c>
      <c r="F43" s="75">
        <v>0</v>
      </c>
      <c r="G43" s="75">
        <v>0</v>
      </c>
      <c r="H43" s="76">
        <v>0</v>
      </c>
      <c r="J43" s="73"/>
      <c r="K43" s="73"/>
      <c r="L43" s="73"/>
      <c r="M43" s="73"/>
      <c r="N43" s="73"/>
      <c r="O43" s="73"/>
    </row>
    <row r="44" spans="1:15" s="37" customFormat="1" ht="26.25" customHeight="1" x14ac:dyDescent="0.35">
      <c r="A44" s="38"/>
      <c r="B44" s="37" t="s">
        <v>59</v>
      </c>
      <c r="C44" s="39">
        <v>5</v>
      </c>
      <c r="D44" s="39">
        <v>10</v>
      </c>
      <c r="E44" s="39">
        <v>63</v>
      </c>
      <c r="F44" s="39">
        <v>83.5</v>
      </c>
      <c r="G44" s="39">
        <v>187.28</v>
      </c>
      <c r="H44" s="39">
        <v>348.78</v>
      </c>
      <c r="J44" s="73"/>
      <c r="K44" s="73"/>
      <c r="L44" s="73"/>
      <c r="M44" s="73"/>
      <c r="N44" s="73"/>
      <c r="O44" s="73"/>
    </row>
    <row r="45" spans="1:15" s="50" customFormat="1" ht="14" x14ac:dyDescent="0.35">
      <c r="A45" s="40">
        <v>66</v>
      </c>
      <c r="B45" s="50" t="s">
        <v>24</v>
      </c>
      <c r="C45" s="75">
        <v>0</v>
      </c>
      <c r="D45" s="75">
        <v>2</v>
      </c>
      <c r="E45" s="75">
        <v>12</v>
      </c>
      <c r="F45" s="75">
        <v>5</v>
      </c>
      <c r="G45" s="75">
        <v>27.44</v>
      </c>
      <c r="H45" s="76">
        <v>46.44</v>
      </c>
      <c r="J45" s="73"/>
      <c r="K45" s="73"/>
      <c r="L45" s="73"/>
      <c r="M45" s="73"/>
      <c r="N45" s="73"/>
      <c r="O45" s="73"/>
    </row>
    <row r="46" spans="1:15" s="50" customFormat="1" ht="14" x14ac:dyDescent="0.35">
      <c r="A46" s="40">
        <v>78</v>
      </c>
      <c r="B46" s="50" t="s">
        <v>35</v>
      </c>
      <c r="C46" s="75">
        <v>1</v>
      </c>
      <c r="D46" s="75">
        <v>0</v>
      </c>
      <c r="E46" s="75">
        <v>9</v>
      </c>
      <c r="F46" s="75">
        <v>5</v>
      </c>
      <c r="G46" s="75">
        <v>20.03</v>
      </c>
      <c r="H46" s="76">
        <v>35.03</v>
      </c>
      <c r="J46" s="73"/>
      <c r="K46" s="73"/>
      <c r="L46" s="73"/>
      <c r="M46" s="73"/>
      <c r="N46" s="73"/>
      <c r="O46" s="73"/>
    </row>
    <row r="47" spans="1:15" s="50" customFormat="1" ht="14" x14ac:dyDescent="0.35">
      <c r="A47" s="40">
        <v>89</v>
      </c>
      <c r="B47" s="50" t="s">
        <v>44</v>
      </c>
      <c r="C47" s="75">
        <v>0</v>
      </c>
      <c r="D47" s="75">
        <v>1</v>
      </c>
      <c r="E47" s="75">
        <v>5</v>
      </c>
      <c r="F47" s="75">
        <v>11</v>
      </c>
      <c r="G47" s="75">
        <v>13</v>
      </c>
      <c r="H47" s="76">
        <v>30</v>
      </c>
      <c r="J47" s="73"/>
      <c r="K47" s="73"/>
      <c r="L47" s="73"/>
      <c r="M47" s="73"/>
      <c r="N47" s="73"/>
      <c r="O47" s="73"/>
    </row>
    <row r="48" spans="1:15" s="50" customFormat="1" ht="14" x14ac:dyDescent="0.35">
      <c r="A48" s="40">
        <v>93</v>
      </c>
      <c r="B48" s="50" t="s">
        <v>60</v>
      </c>
      <c r="C48" s="75">
        <v>0</v>
      </c>
      <c r="D48" s="75">
        <v>1</v>
      </c>
      <c r="E48" s="75">
        <v>5.5</v>
      </c>
      <c r="F48" s="75">
        <v>6</v>
      </c>
      <c r="G48" s="75">
        <v>19</v>
      </c>
      <c r="H48" s="76">
        <v>31.5</v>
      </c>
      <c r="J48" s="73"/>
      <c r="K48" s="73"/>
      <c r="L48" s="73"/>
      <c r="M48" s="73"/>
      <c r="N48" s="73"/>
      <c r="O48" s="73"/>
    </row>
    <row r="49" spans="1:15" s="50" customFormat="1" ht="14" x14ac:dyDescent="0.35">
      <c r="A49" s="40">
        <v>95</v>
      </c>
      <c r="B49" s="50" t="s">
        <v>50</v>
      </c>
      <c r="C49" s="75">
        <v>2</v>
      </c>
      <c r="D49" s="75">
        <v>3</v>
      </c>
      <c r="E49" s="75">
        <v>16.5</v>
      </c>
      <c r="F49" s="75">
        <v>12.5</v>
      </c>
      <c r="G49" s="75">
        <v>29</v>
      </c>
      <c r="H49" s="76">
        <v>63</v>
      </c>
      <c r="J49" s="73"/>
      <c r="K49" s="73"/>
      <c r="L49" s="73"/>
      <c r="M49" s="73"/>
      <c r="N49" s="73"/>
      <c r="O49" s="73"/>
    </row>
    <row r="50" spans="1:15" s="50" customFormat="1" ht="14" x14ac:dyDescent="0.35">
      <c r="A50" s="40">
        <v>97</v>
      </c>
      <c r="B50" s="50" t="s">
        <v>52</v>
      </c>
      <c r="C50" s="75">
        <v>1</v>
      </c>
      <c r="D50" s="75">
        <v>0</v>
      </c>
      <c r="E50" s="75">
        <v>8</v>
      </c>
      <c r="F50" s="75">
        <v>12</v>
      </c>
      <c r="G50" s="75">
        <v>22</v>
      </c>
      <c r="H50" s="76">
        <v>43</v>
      </c>
      <c r="J50" s="73"/>
      <c r="K50" s="73"/>
      <c r="L50" s="73"/>
      <c r="M50" s="73"/>
      <c r="N50" s="73"/>
      <c r="O50" s="73"/>
    </row>
    <row r="51" spans="1:15" s="50" customFormat="1" ht="14" x14ac:dyDescent="0.35">
      <c r="A51" s="40">
        <v>77</v>
      </c>
      <c r="B51" s="44" t="s">
        <v>23</v>
      </c>
      <c r="C51" s="78">
        <v>1</v>
      </c>
      <c r="D51" s="78">
        <v>3</v>
      </c>
      <c r="E51" s="78">
        <v>7</v>
      </c>
      <c r="F51" s="78">
        <v>32</v>
      </c>
      <c r="G51" s="78">
        <v>56.81</v>
      </c>
      <c r="H51" s="79">
        <v>99.81</v>
      </c>
      <c r="J51" s="73"/>
      <c r="K51" s="73"/>
      <c r="L51" s="73"/>
      <c r="M51" s="73"/>
      <c r="N51" s="73"/>
      <c r="O51" s="73"/>
    </row>
    <row r="52" spans="1:15" s="81" customFormat="1" x14ac:dyDescent="0.35">
      <c r="A52" s="40"/>
      <c r="B52" s="69"/>
      <c r="C52" s="84"/>
      <c r="D52" s="84"/>
      <c r="E52" s="80"/>
      <c r="F52" s="80"/>
      <c r="G52" s="80"/>
      <c r="H52" s="80"/>
    </row>
    <row r="53" spans="1:15" s="50" customFormat="1" ht="12.5" x14ac:dyDescent="0.35">
      <c r="A53" s="40"/>
      <c r="B53" s="63" t="s">
        <v>71</v>
      </c>
      <c r="C53" s="45"/>
    </row>
    <row r="54" spans="1:15" x14ac:dyDescent="0.35">
      <c r="G54" s="82"/>
      <c r="H54" s="82"/>
    </row>
    <row r="55" spans="1:15" x14ac:dyDescent="0.35">
      <c r="F55" s="82"/>
    </row>
    <row r="61" spans="1:15" x14ac:dyDescent="0.35">
      <c r="B61" s="50" t="s">
        <v>18</v>
      </c>
      <c r="C61" s="75">
        <v>0</v>
      </c>
      <c r="D61" s="75">
        <v>3</v>
      </c>
      <c r="E61" s="75">
        <v>5.5</v>
      </c>
      <c r="F61" s="75">
        <v>4</v>
      </c>
      <c r="G61" s="75">
        <v>10</v>
      </c>
      <c r="H61" s="76">
        <v>22.5</v>
      </c>
    </row>
    <row r="62" spans="1:15" x14ac:dyDescent="0.35">
      <c r="B62" s="50" t="s">
        <v>53</v>
      </c>
      <c r="C62" s="75">
        <v>0</v>
      </c>
      <c r="D62" s="75">
        <v>2</v>
      </c>
      <c r="E62" s="75">
        <v>3</v>
      </c>
      <c r="F62" s="75">
        <v>5</v>
      </c>
      <c r="G62" s="75">
        <v>8.16</v>
      </c>
      <c r="H62" s="76">
        <v>18.16</v>
      </c>
    </row>
  </sheetData>
  <mergeCells count="1">
    <mergeCell ref="B1:H1"/>
  </mergeCells>
  <pageMargins left="0.75" right="0.75" top="1" bottom="1" header="0.5" footer="0.5"/>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FF0000"/>
    <pageSetUpPr fitToPage="1"/>
  </sheetPr>
  <dimension ref="A1:T61"/>
  <sheetViews>
    <sheetView showGridLines="0" zoomScale="85" zoomScaleNormal="85" workbookViewId="0">
      <pane xSplit="2" ySplit="2" topLeftCell="C16" activePane="bottomRight" state="frozen"/>
      <selection activeCell="A4" sqref="A4:H4"/>
      <selection pane="topRight" activeCell="A4" sqref="A4:H4"/>
      <selection pane="bottomLeft" activeCell="A4" sqref="A4:H4"/>
      <selection pane="bottomRight" activeCell="A4" sqref="A4:H4"/>
    </sheetView>
  </sheetViews>
  <sheetFormatPr defaultColWidth="9.1796875" defaultRowHeight="15.5" x14ac:dyDescent="0.35"/>
  <cols>
    <col min="1" max="1" width="3.453125" style="27" hidden="1" customWidth="1"/>
    <col min="2" max="2" width="22.7265625" style="51" customWidth="1"/>
    <col min="3" max="8" width="13" style="51" customWidth="1"/>
    <col min="9" max="10" width="13.54296875" style="51" customWidth="1"/>
    <col min="11" max="16384" width="9.1796875" style="51"/>
  </cols>
  <sheetData>
    <row r="1" spans="1:20" ht="39.75" customHeight="1" x14ac:dyDescent="0.35">
      <c r="B1" s="152" t="s">
        <v>79</v>
      </c>
      <c r="C1" s="153"/>
      <c r="D1" s="153"/>
      <c r="E1" s="153"/>
      <c r="F1" s="153"/>
      <c r="G1" s="153"/>
      <c r="H1" s="153"/>
      <c r="I1" s="153"/>
      <c r="J1" s="154"/>
    </row>
    <row r="2" spans="1:20" ht="30" customHeight="1" x14ac:dyDescent="0.35">
      <c r="B2" s="52"/>
      <c r="C2" s="21" t="s">
        <v>72</v>
      </c>
      <c r="D2" s="21" t="s">
        <v>73</v>
      </c>
      <c r="E2" s="21" t="s">
        <v>74</v>
      </c>
      <c r="F2" s="21" t="s">
        <v>75</v>
      </c>
      <c r="G2" s="21" t="s">
        <v>76</v>
      </c>
      <c r="H2" s="21" t="s">
        <v>77</v>
      </c>
      <c r="I2" s="21" t="s">
        <v>78</v>
      </c>
      <c r="J2" s="22" t="s">
        <v>1</v>
      </c>
    </row>
    <row r="3" spans="1:20" s="20" customFormat="1" ht="26.25" customHeight="1" x14ac:dyDescent="0.35">
      <c r="A3" s="25"/>
      <c r="B3" s="23" t="s">
        <v>80</v>
      </c>
      <c r="C3" s="53">
        <v>130.4</v>
      </c>
      <c r="D3" s="53">
        <v>188</v>
      </c>
      <c r="E3" s="53">
        <v>506</v>
      </c>
      <c r="F3" s="53">
        <v>1353.71</v>
      </c>
      <c r="G3" s="53">
        <v>3887.1299999999997</v>
      </c>
      <c r="H3" s="53">
        <v>3541.5</v>
      </c>
      <c r="I3" s="53">
        <v>15522.874519999999</v>
      </c>
      <c r="J3" s="53">
        <v>25129.614519999999</v>
      </c>
      <c r="K3" s="24"/>
      <c r="L3" s="24"/>
      <c r="M3" s="24"/>
      <c r="N3" s="24"/>
      <c r="O3" s="24"/>
      <c r="P3" s="24"/>
      <c r="Q3" s="24"/>
      <c r="R3" s="24"/>
      <c r="S3" s="24"/>
      <c r="T3" s="24"/>
    </row>
    <row r="4" spans="1:20" s="23" customFormat="1" ht="26.25" customHeight="1" x14ac:dyDescent="0.35">
      <c r="A4" s="25"/>
      <c r="B4" s="23" t="s">
        <v>55</v>
      </c>
      <c r="C4" s="54">
        <v>103.4</v>
      </c>
      <c r="D4" s="54">
        <v>145</v>
      </c>
      <c r="E4" s="54">
        <v>354</v>
      </c>
      <c r="F4" s="54">
        <v>970.71</v>
      </c>
      <c r="G4" s="54">
        <v>2196.0699999999997</v>
      </c>
      <c r="H4" s="54">
        <v>2045.5</v>
      </c>
      <c r="I4" s="54">
        <v>8080.9995199999994</v>
      </c>
      <c r="J4" s="54">
        <v>13895.679520000002</v>
      </c>
      <c r="L4" s="24"/>
      <c r="M4" s="24"/>
      <c r="N4" s="24"/>
      <c r="O4" s="24"/>
      <c r="P4" s="24"/>
      <c r="Q4" s="24"/>
      <c r="R4" s="24"/>
      <c r="S4" s="24"/>
    </row>
    <row r="5" spans="1:20" s="28" customFormat="1" ht="14" x14ac:dyDescent="0.35">
      <c r="A5" s="27">
        <v>51</v>
      </c>
      <c r="B5" s="28" t="s">
        <v>7</v>
      </c>
      <c r="C5" s="55">
        <v>4</v>
      </c>
      <c r="D5" s="55">
        <v>3</v>
      </c>
      <c r="E5" s="55">
        <v>6</v>
      </c>
      <c r="F5" s="55">
        <v>21</v>
      </c>
      <c r="G5" s="55">
        <v>106.07</v>
      </c>
      <c r="H5" s="55">
        <v>47</v>
      </c>
      <c r="I5" s="55">
        <v>360.1</v>
      </c>
      <c r="J5" s="56">
        <v>547.17000000000007</v>
      </c>
      <c r="L5" s="24"/>
      <c r="M5" s="24"/>
      <c r="N5" s="24"/>
      <c r="O5" s="24"/>
      <c r="P5" s="24"/>
      <c r="Q5" s="24"/>
      <c r="R5" s="24"/>
      <c r="S5" s="24"/>
    </row>
    <row r="6" spans="1:20" s="28" customFormat="1" ht="14" x14ac:dyDescent="0.35">
      <c r="A6" s="27">
        <v>52</v>
      </c>
      <c r="B6" s="28" t="s">
        <v>8</v>
      </c>
      <c r="C6" s="55">
        <v>2</v>
      </c>
      <c r="D6" s="55">
        <v>4</v>
      </c>
      <c r="E6" s="55">
        <v>9</v>
      </c>
      <c r="F6" s="55">
        <v>14</v>
      </c>
      <c r="G6" s="55">
        <v>40</v>
      </c>
      <c r="H6" s="55">
        <v>46</v>
      </c>
      <c r="I6" s="55">
        <v>169</v>
      </c>
      <c r="J6" s="56">
        <v>284</v>
      </c>
      <c r="L6" s="24"/>
      <c r="M6" s="24"/>
      <c r="N6" s="24"/>
      <c r="O6" s="24"/>
      <c r="P6" s="24"/>
      <c r="Q6" s="24"/>
      <c r="R6" s="24"/>
      <c r="S6" s="24"/>
    </row>
    <row r="7" spans="1:20" s="28" customFormat="1" ht="14" x14ac:dyDescent="0.35">
      <c r="A7" s="27">
        <v>86</v>
      </c>
      <c r="B7" s="28" t="s">
        <v>9</v>
      </c>
      <c r="C7" s="55">
        <v>3</v>
      </c>
      <c r="D7" s="55">
        <v>4</v>
      </c>
      <c r="E7" s="55">
        <v>11</v>
      </c>
      <c r="F7" s="55">
        <v>25</v>
      </c>
      <c r="G7" s="55">
        <v>52</v>
      </c>
      <c r="H7" s="55">
        <v>61</v>
      </c>
      <c r="I7" s="55">
        <v>225</v>
      </c>
      <c r="J7" s="56">
        <v>381</v>
      </c>
      <c r="L7" s="24"/>
      <c r="M7" s="24"/>
      <c r="N7" s="24"/>
      <c r="O7" s="24"/>
      <c r="P7" s="24"/>
      <c r="Q7" s="24"/>
      <c r="R7" s="24"/>
      <c r="S7" s="24"/>
    </row>
    <row r="8" spans="1:20" s="28" customFormat="1" ht="14" x14ac:dyDescent="0.35">
      <c r="A8" s="27">
        <v>53</v>
      </c>
      <c r="B8" s="28" t="s">
        <v>10</v>
      </c>
      <c r="C8" s="55">
        <v>2</v>
      </c>
      <c r="D8" s="55">
        <v>3</v>
      </c>
      <c r="E8" s="55">
        <v>9</v>
      </c>
      <c r="F8" s="55">
        <v>25</v>
      </c>
      <c r="G8" s="55">
        <v>37</v>
      </c>
      <c r="H8" s="55">
        <v>48</v>
      </c>
      <c r="I8" s="55">
        <v>162</v>
      </c>
      <c r="J8" s="56">
        <v>286</v>
      </c>
      <c r="L8" s="24"/>
      <c r="M8" s="24"/>
      <c r="N8" s="24"/>
      <c r="O8" s="24"/>
      <c r="P8" s="24"/>
      <c r="Q8" s="24"/>
      <c r="R8" s="24"/>
      <c r="S8" s="24"/>
    </row>
    <row r="9" spans="1:20" s="28" customFormat="1" ht="14" x14ac:dyDescent="0.35">
      <c r="A9" s="27">
        <v>54</v>
      </c>
      <c r="B9" s="28" t="s">
        <v>11</v>
      </c>
      <c r="C9" s="55">
        <v>3</v>
      </c>
      <c r="D9" s="55">
        <v>3</v>
      </c>
      <c r="E9" s="55">
        <v>7</v>
      </c>
      <c r="F9" s="55">
        <v>29</v>
      </c>
      <c r="G9" s="55">
        <v>42</v>
      </c>
      <c r="H9" s="55">
        <v>23</v>
      </c>
      <c r="I9" s="55">
        <v>129</v>
      </c>
      <c r="J9" s="56">
        <v>236</v>
      </c>
      <c r="L9" s="24"/>
      <c r="M9" s="24"/>
      <c r="N9" s="24"/>
      <c r="O9" s="24"/>
      <c r="P9" s="24"/>
      <c r="Q9" s="24"/>
      <c r="R9" s="24"/>
      <c r="S9" s="24"/>
    </row>
    <row r="10" spans="1:20" s="28" customFormat="1" ht="14" x14ac:dyDescent="0.35">
      <c r="A10" s="27">
        <v>55</v>
      </c>
      <c r="B10" s="28" t="s">
        <v>12</v>
      </c>
      <c r="C10" s="55">
        <v>3</v>
      </c>
      <c r="D10" s="55">
        <v>3</v>
      </c>
      <c r="E10" s="55">
        <v>7</v>
      </c>
      <c r="F10" s="55">
        <v>31</v>
      </c>
      <c r="G10" s="55">
        <v>60</v>
      </c>
      <c r="H10" s="55">
        <v>63</v>
      </c>
      <c r="I10" s="55">
        <v>262.57</v>
      </c>
      <c r="J10" s="56">
        <v>429.57</v>
      </c>
      <c r="L10" s="24"/>
      <c r="M10" s="24"/>
      <c r="N10" s="24"/>
      <c r="O10" s="24"/>
      <c r="P10" s="24"/>
      <c r="Q10" s="24"/>
      <c r="R10" s="24"/>
      <c r="S10" s="24"/>
    </row>
    <row r="11" spans="1:20" s="28" customFormat="1" ht="14" x14ac:dyDescent="0.35">
      <c r="A11" s="27">
        <v>56</v>
      </c>
      <c r="B11" s="28" t="s">
        <v>13</v>
      </c>
      <c r="C11" s="55">
        <v>1</v>
      </c>
      <c r="D11" s="55">
        <v>3</v>
      </c>
      <c r="E11" s="55">
        <v>5</v>
      </c>
      <c r="F11" s="55">
        <v>10</v>
      </c>
      <c r="G11" s="55">
        <v>45</v>
      </c>
      <c r="H11" s="55">
        <v>69</v>
      </c>
      <c r="I11" s="55">
        <v>262</v>
      </c>
      <c r="J11" s="56">
        <v>395</v>
      </c>
      <c r="L11" s="24"/>
      <c r="M11" s="24"/>
      <c r="N11" s="24"/>
      <c r="O11" s="24"/>
      <c r="P11" s="24"/>
      <c r="Q11" s="24"/>
      <c r="R11" s="24"/>
      <c r="S11" s="24"/>
    </row>
    <row r="12" spans="1:20" s="28" customFormat="1" ht="14" x14ac:dyDescent="0.35">
      <c r="A12" s="27">
        <v>57</v>
      </c>
      <c r="B12" s="28" t="s">
        <v>14</v>
      </c>
      <c r="C12" s="55">
        <v>3</v>
      </c>
      <c r="D12" s="55">
        <v>5</v>
      </c>
      <c r="E12" s="55">
        <v>10</v>
      </c>
      <c r="F12" s="55">
        <v>17</v>
      </c>
      <c r="G12" s="55">
        <v>40</v>
      </c>
      <c r="H12" s="55">
        <v>20</v>
      </c>
      <c r="I12" s="55">
        <v>105</v>
      </c>
      <c r="J12" s="56">
        <v>200</v>
      </c>
      <c r="L12" s="24"/>
      <c r="M12" s="24"/>
      <c r="N12" s="24"/>
      <c r="O12" s="24"/>
      <c r="P12" s="24"/>
      <c r="Q12" s="24"/>
      <c r="R12" s="24"/>
      <c r="S12" s="24"/>
    </row>
    <row r="13" spans="1:20" s="28" customFormat="1" ht="14" x14ac:dyDescent="0.35">
      <c r="A13" s="27">
        <v>59</v>
      </c>
      <c r="B13" s="28" t="s">
        <v>15</v>
      </c>
      <c r="C13" s="55">
        <v>3</v>
      </c>
      <c r="D13" s="55">
        <v>2</v>
      </c>
      <c r="E13" s="55">
        <v>9</v>
      </c>
      <c r="F13" s="55">
        <v>13</v>
      </c>
      <c r="G13" s="55">
        <v>20</v>
      </c>
      <c r="H13" s="55">
        <v>36</v>
      </c>
      <c r="I13" s="55">
        <v>111.32</v>
      </c>
      <c r="J13" s="56">
        <v>194.32</v>
      </c>
      <c r="L13" s="24"/>
      <c r="M13" s="24"/>
      <c r="N13" s="24"/>
      <c r="O13" s="24"/>
      <c r="P13" s="24"/>
      <c r="Q13" s="24"/>
      <c r="R13" s="24"/>
      <c r="S13" s="24"/>
    </row>
    <row r="14" spans="1:20" s="28" customFormat="1" ht="14" x14ac:dyDescent="0.35">
      <c r="A14" s="27">
        <v>60</v>
      </c>
      <c r="B14" s="28" t="s">
        <v>16</v>
      </c>
      <c r="C14" s="55">
        <v>3</v>
      </c>
      <c r="D14" s="55">
        <v>3</v>
      </c>
      <c r="E14" s="55">
        <v>11</v>
      </c>
      <c r="F14" s="55">
        <v>21</v>
      </c>
      <c r="G14" s="55">
        <v>61</v>
      </c>
      <c r="H14" s="55">
        <v>59</v>
      </c>
      <c r="I14" s="55">
        <v>197</v>
      </c>
      <c r="J14" s="56">
        <v>355</v>
      </c>
      <c r="L14" s="24"/>
      <c r="M14" s="24"/>
      <c r="N14" s="24"/>
      <c r="O14" s="24"/>
      <c r="P14" s="24"/>
      <c r="Q14" s="24"/>
      <c r="R14" s="24"/>
      <c r="S14" s="24"/>
    </row>
    <row r="15" spans="1:20" s="28" customFormat="1" ht="14" x14ac:dyDescent="0.35">
      <c r="A15" s="27">
        <v>61</v>
      </c>
      <c r="B15" s="29" t="s">
        <v>56</v>
      </c>
      <c r="C15" s="55">
        <v>2</v>
      </c>
      <c r="D15" s="55">
        <v>7</v>
      </c>
      <c r="E15" s="55">
        <v>35</v>
      </c>
      <c r="F15" s="55">
        <v>69</v>
      </c>
      <c r="G15" s="55">
        <v>115.5</v>
      </c>
      <c r="H15" s="55">
        <v>103</v>
      </c>
      <c r="I15" s="55">
        <v>281</v>
      </c>
      <c r="J15" s="56">
        <v>612.5</v>
      </c>
      <c r="L15" s="24"/>
      <c r="M15" s="24"/>
      <c r="N15" s="24"/>
      <c r="O15" s="24"/>
      <c r="P15" s="24"/>
      <c r="Q15" s="24"/>
      <c r="R15" s="24"/>
      <c r="S15" s="24"/>
    </row>
    <row r="16" spans="1:20" s="28" customFormat="1" ht="14" x14ac:dyDescent="0.35">
      <c r="A16" s="27">
        <v>62</v>
      </c>
      <c r="B16" s="28" t="s">
        <v>143</v>
      </c>
      <c r="C16" s="55">
        <f>C60+C61</f>
        <v>3.2</v>
      </c>
      <c r="D16" s="55">
        <f t="shared" ref="D16:J16" si="0">D60+D61</f>
        <v>10</v>
      </c>
      <c r="E16" s="55">
        <f t="shared" si="0"/>
        <v>16</v>
      </c>
      <c r="F16" s="55">
        <f t="shared" si="0"/>
        <v>39</v>
      </c>
      <c r="G16" s="55">
        <f t="shared" si="0"/>
        <v>68</v>
      </c>
      <c r="H16" s="55">
        <f t="shared" si="0"/>
        <v>72</v>
      </c>
      <c r="I16" s="55">
        <f t="shared" si="0"/>
        <v>228</v>
      </c>
      <c r="J16" s="56">
        <f t="shared" si="0"/>
        <v>436.2</v>
      </c>
      <c r="L16" s="24"/>
      <c r="M16" s="24"/>
      <c r="N16" s="24"/>
      <c r="O16" s="24"/>
      <c r="P16" s="24"/>
      <c r="Q16" s="24"/>
      <c r="R16" s="24"/>
      <c r="S16" s="24"/>
    </row>
    <row r="17" spans="1:19" s="28" customFormat="1" ht="14" x14ac:dyDescent="0.35">
      <c r="A17" s="27">
        <v>58</v>
      </c>
      <c r="B17" s="28" t="s">
        <v>19</v>
      </c>
      <c r="C17" s="55">
        <v>2</v>
      </c>
      <c r="D17" s="55">
        <v>4</v>
      </c>
      <c r="E17" s="55">
        <v>6</v>
      </c>
      <c r="F17" s="55">
        <v>30</v>
      </c>
      <c r="G17" s="55">
        <v>52</v>
      </c>
      <c r="H17" s="55">
        <v>53</v>
      </c>
      <c r="I17" s="55">
        <v>194</v>
      </c>
      <c r="J17" s="56">
        <v>341</v>
      </c>
      <c r="L17" s="24"/>
      <c r="M17" s="24"/>
      <c r="N17" s="24"/>
      <c r="O17" s="24"/>
      <c r="P17" s="24"/>
      <c r="Q17" s="24"/>
      <c r="R17" s="24"/>
      <c r="S17" s="24"/>
    </row>
    <row r="18" spans="1:19" s="28" customFormat="1" ht="14" x14ac:dyDescent="0.35">
      <c r="A18" s="27">
        <v>63</v>
      </c>
      <c r="B18" s="28" t="s">
        <v>20</v>
      </c>
      <c r="C18" s="55">
        <v>3</v>
      </c>
      <c r="D18" s="55">
        <v>3</v>
      </c>
      <c r="E18" s="55">
        <v>12</v>
      </c>
      <c r="F18" s="55">
        <v>23</v>
      </c>
      <c r="G18" s="55">
        <v>44</v>
      </c>
      <c r="H18" s="55">
        <v>60</v>
      </c>
      <c r="I18" s="55">
        <v>239</v>
      </c>
      <c r="J18" s="56">
        <v>384</v>
      </c>
      <c r="L18" s="24"/>
      <c r="M18" s="24"/>
      <c r="N18" s="24"/>
      <c r="O18" s="24"/>
      <c r="P18" s="24"/>
      <c r="Q18" s="24"/>
      <c r="R18" s="24"/>
      <c r="S18" s="24"/>
    </row>
    <row r="19" spans="1:19" s="28" customFormat="1" ht="14" x14ac:dyDescent="0.35">
      <c r="A19" s="27">
        <v>64</v>
      </c>
      <c r="B19" s="28" t="s">
        <v>21</v>
      </c>
      <c r="C19" s="55">
        <v>4</v>
      </c>
      <c r="D19" s="55">
        <v>9</v>
      </c>
      <c r="E19" s="55">
        <v>18</v>
      </c>
      <c r="F19" s="55">
        <v>42</v>
      </c>
      <c r="G19" s="55">
        <v>156</v>
      </c>
      <c r="H19" s="55">
        <v>103</v>
      </c>
      <c r="I19" s="55">
        <v>426.5</v>
      </c>
      <c r="J19" s="56">
        <v>758.5</v>
      </c>
      <c r="L19" s="24"/>
      <c r="M19" s="24"/>
      <c r="N19" s="24"/>
      <c r="O19" s="24"/>
      <c r="P19" s="24"/>
      <c r="Q19" s="24"/>
      <c r="R19" s="24"/>
      <c r="S19" s="24"/>
    </row>
    <row r="20" spans="1:19" s="28" customFormat="1" ht="14" x14ac:dyDescent="0.35">
      <c r="A20" s="27">
        <v>65</v>
      </c>
      <c r="B20" s="28" t="s">
        <v>22</v>
      </c>
      <c r="C20" s="55">
        <v>2</v>
      </c>
      <c r="D20" s="55">
        <v>4</v>
      </c>
      <c r="E20" s="55">
        <v>5</v>
      </c>
      <c r="F20" s="55">
        <v>20</v>
      </c>
      <c r="G20" s="55">
        <v>32</v>
      </c>
      <c r="H20" s="55">
        <v>26</v>
      </c>
      <c r="I20" s="55">
        <v>108.69</v>
      </c>
      <c r="J20" s="56">
        <v>197.69</v>
      </c>
      <c r="L20" s="24"/>
      <c r="M20" s="24"/>
      <c r="N20" s="24"/>
      <c r="O20" s="24"/>
      <c r="P20" s="24"/>
      <c r="Q20" s="24"/>
      <c r="R20" s="24"/>
      <c r="S20" s="24"/>
    </row>
    <row r="21" spans="1:19" s="28" customFormat="1" ht="14" x14ac:dyDescent="0.35">
      <c r="A21" s="27">
        <v>67</v>
      </c>
      <c r="B21" s="28" t="s">
        <v>25</v>
      </c>
      <c r="C21" s="55">
        <v>4</v>
      </c>
      <c r="D21" s="55">
        <v>6</v>
      </c>
      <c r="E21" s="55">
        <v>22</v>
      </c>
      <c r="F21" s="55">
        <v>49.5</v>
      </c>
      <c r="G21" s="55">
        <v>98.5</v>
      </c>
      <c r="H21" s="55">
        <v>94</v>
      </c>
      <c r="I21" s="55">
        <v>447.43</v>
      </c>
      <c r="J21" s="56">
        <v>721.43000000000006</v>
      </c>
      <c r="L21" s="24"/>
      <c r="M21" s="24"/>
      <c r="N21" s="24"/>
      <c r="O21" s="24"/>
      <c r="P21" s="24"/>
      <c r="Q21" s="24"/>
      <c r="R21" s="24"/>
      <c r="S21" s="24"/>
    </row>
    <row r="22" spans="1:19" s="28" customFormat="1" ht="14" x14ac:dyDescent="0.35">
      <c r="A22" s="27">
        <v>68</v>
      </c>
      <c r="B22" s="28" t="s">
        <v>57</v>
      </c>
      <c r="C22" s="55">
        <v>3</v>
      </c>
      <c r="D22" s="55">
        <v>4</v>
      </c>
      <c r="E22" s="55">
        <v>9</v>
      </c>
      <c r="F22" s="55">
        <v>21</v>
      </c>
      <c r="G22" s="55">
        <v>55</v>
      </c>
      <c r="H22" s="55">
        <v>35</v>
      </c>
      <c r="I22" s="55">
        <v>159</v>
      </c>
      <c r="J22" s="56">
        <v>286</v>
      </c>
      <c r="L22" s="24"/>
      <c r="M22" s="24"/>
      <c r="N22" s="24"/>
      <c r="O22" s="24"/>
      <c r="P22" s="24"/>
      <c r="Q22" s="24"/>
      <c r="R22" s="24"/>
      <c r="S22" s="24"/>
    </row>
    <row r="23" spans="1:19" s="28" customFormat="1" ht="14" x14ac:dyDescent="0.35">
      <c r="A23" s="27">
        <v>69</v>
      </c>
      <c r="B23" s="28" t="s">
        <v>27</v>
      </c>
      <c r="C23" s="119">
        <v>4</v>
      </c>
      <c r="D23" s="119">
        <v>2</v>
      </c>
      <c r="E23" s="119">
        <v>9</v>
      </c>
      <c r="F23" s="119">
        <v>24.6</v>
      </c>
      <c r="G23" s="119">
        <v>70</v>
      </c>
      <c r="H23" s="119">
        <v>79</v>
      </c>
      <c r="I23" s="119">
        <v>295</v>
      </c>
      <c r="J23" s="120">
        <v>483.6</v>
      </c>
      <c r="K23" s="73" t="s">
        <v>146</v>
      </c>
      <c r="L23" s="24"/>
      <c r="M23" s="24"/>
      <c r="N23" s="24"/>
      <c r="O23" s="24"/>
      <c r="P23" s="24"/>
      <c r="Q23" s="24"/>
      <c r="R23" s="24"/>
      <c r="S23" s="24"/>
    </row>
    <row r="24" spans="1:19" s="28" customFormat="1" ht="14" x14ac:dyDescent="0.35">
      <c r="A24" s="27">
        <v>70</v>
      </c>
      <c r="B24" s="28" t="s">
        <v>28</v>
      </c>
      <c r="C24" s="55">
        <v>2</v>
      </c>
      <c r="D24" s="55">
        <v>4</v>
      </c>
      <c r="E24" s="55">
        <v>12</v>
      </c>
      <c r="F24" s="55">
        <v>31</v>
      </c>
      <c r="G24" s="55">
        <v>88</v>
      </c>
      <c r="H24" s="55">
        <v>67</v>
      </c>
      <c r="I24" s="55">
        <v>333</v>
      </c>
      <c r="J24" s="56">
        <v>537</v>
      </c>
      <c r="L24" s="24"/>
      <c r="M24" s="24"/>
      <c r="N24" s="24"/>
      <c r="O24" s="24"/>
      <c r="P24" s="24"/>
      <c r="Q24" s="24"/>
      <c r="R24" s="24"/>
      <c r="S24" s="24"/>
    </row>
    <row r="25" spans="1:19" s="28" customFormat="1" ht="14" x14ac:dyDescent="0.35">
      <c r="A25" s="27">
        <v>71</v>
      </c>
      <c r="B25" s="28" t="s">
        <v>58</v>
      </c>
      <c r="C25" s="55">
        <v>1</v>
      </c>
      <c r="D25" s="55">
        <v>2</v>
      </c>
      <c r="E25" s="55">
        <v>0</v>
      </c>
      <c r="F25" s="55">
        <v>9</v>
      </c>
      <c r="G25" s="55">
        <v>13</v>
      </c>
      <c r="H25" s="55">
        <v>8</v>
      </c>
      <c r="I25" s="55">
        <v>42</v>
      </c>
      <c r="J25" s="56">
        <v>75</v>
      </c>
      <c r="L25" s="24"/>
      <c r="M25" s="24"/>
      <c r="N25" s="24"/>
      <c r="O25" s="24"/>
      <c r="P25" s="24"/>
      <c r="Q25" s="24"/>
      <c r="R25" s="24"/>
      <c r="S25" s="24"/>
    </row>
    <row r="26" spans="1:19" s="28" customFormat="1" ht="14" x14ac:dyDescent="0.35">
      <c r="A26" s="27">
        <v>73</v>
      </c>
      <c r="B26" s="28" t="s">
        <v>31</v>
      </c>
      <c r="C26" s="55">
        <v>4</v>
      </c>
      <c r="D26" s="55">
        <v>4</v>
      </c>
      <c r="E26" s="55">
        <v>15</v>
      </c>
      <c r="F26" s="55">
        <v>61</v>
      </c>
      <c r="G26" s="55">
        <v>98</v>
      </c>
      <c r="H26" s="55">
        <v>118</v>
      </c>
      <c r="I26" s="55">
        <v>453</v>
      </c>
      <c r="J26" s="56">
        <v>753</v>
      </c>
      <c r="L26" s="24"/>
      <c r="M26" s="24"/>
      <c r="N26" s="24"/>
      <c r="O26" s="24"/>
      <c r="P26" s="24"/>
      <c r="Q26" s="24"/>
      <c r="R26" s="24"/>
      <c r="S26" s="24"/>
    </row>
    <row r="27" spans="1:19" s="28" customFormat="1" ht="14" x14ac:dyDescent="0.35">
      <c r="A27" s="27">
        <v>74</v>
      </c>
      <c r="B27" s="28" t="s">
        <v>32</v>
      </c>
      <c r="C27" s="55">
        <v>3</v>
      </c>
      <c r="D27" s="55">
        <v>4</v>
      </c>
      <c r="E27" s="55">
        <v>10</v>
      </c>
      <c r="F27" s="55">
        <v>34</v>
      </c>
      <c r="G27" s="55">
        <v>95</v>
      </c>
      <c r="H27" s="55">
        <v>105</v>
      </c>
      <c r="I27" s="55">
        <v>416</v>
      </c>
      <c r="J27" s="56">
        <v>667</v>
      </c>
      <c r="L27" s="24"/>
      <c r="M27" s="24"/>
      <c r="N27" s="24"/>
      <c r="O27" s="24"/>
      <c r="P27" s="24"/>
      <c r="Q27" s="24"/>
      <c r="R27" s="24"/>
      <c r="S27" s="24"/>
    </row>
    <row r="28" spans="1:19" s="28" customFormat="1" ht="14" x14ac:dyDescent="0.35">
      <c r="A28" s="27">
        <v>75</v>
      </c>
      <c r="B28" s="28" t="s">
        <v>33</v>
      </c>
      <c r="C28" s="55">
        <v>3</v>
      </c>
      <c r="D28" s="55">
        <v>4</v>
      </c>
      <c r="E28" s="55">
        <v>6</v>
      </c>
      <c r="F28" s="55">
        <v>22</v>
      </c>
      <c r="G28" s="55">
        <v>58</v>
      </c>
      <c r="H28" s="55">
        <v>61</v>
      </c>
      <c r="I28" s="55">
        <v>252</v>
      </c>
      <c r="J28" s="56">
        <v>406</v>
      </c>
      <c r="L28" s="24"/>
      <c r="M28" s="24"/>
      <c r="N28" s="24"/>
      <c r="O28" s="24"/>
      <c r="P28" s="24"/>
      <c r="Q28" s="24"/>
      <c r="R28" s="24"/>
      <c r="S28" s="24"/>
    </row>
    <row r="29" spans="1:19" s="28" customFormat="1" ht="14" x14ac:dyDescent="0.35">
      <c r="A29" s="27">
        <v>76</v>
      </c>
      <c r="B29" s="28" t="s">
        <v>34</v>
      </c>
      <c r="C29" s="55">
        <v>3</v>
      </c>
      <c r="D29" s="55">
        <v>4</v>
      </c>
      <c r="E29" s="55">
        <v>10</v>
      </c>
      <c r="F29" s="55">
        <v>22</v>
      </c>
      <c r="G29" s="55">
        <v>44</v>
      </c>
      <c r="H29" s="55">
        <v>35</v>
      </c>
      <c r="I29" s="55">
        <v>103</v>
      </c>
      <c r="J29" s="56">
        <v>221</v>
      </c>
      <c r="L29" s="24"/>
      <c r="M29" s="24"/>
      <c r="N29" s="24"/>
      <c r="O29" s="24"/>
      <c r="P29" s="24"/>
      <c r="Q29" s="24"/>
      <c r="R29" s="24"/>
      <c r="S29" s="24"/>
    </row>
    <row r="30" spans="1:19" s="28" customFormat="1" ht="14" x14ac:dyDescent="0.35">
      <c r="A30" s="27">
        <v>79</v>
      </c>
      <c r="B30" s="28" t="s">
        <v>36</v>
      </c>
      <c r="C30" s="55">
        <v>2</v>
      </c>
      <c r="D30" s="55">
        <v>2</v>
      </c>
      <c r="E30" s="55">
        <v>9</v>
      </c>
      <c r="F30" s="55">
        <v>23</v>
      </c>
      <c r="G30" s="55">
        <v>42</v>
      </c>
      <c r="H30" s="55">
        <v>33.5</v>
      </c>
      <c r="I30" s="55">
        <v>158</v>
      </c>
      <c r="J30" s="56">
        <v>269.5</v>
      </c>
      <c r="L30" s="24"/>
      <c r="M30" s="24"/>
      <c r="N30" s="24"/>
      <c r="O30" s="24"/>
      <c r="P30" s="24"/>
      <c r="Q30" s="24"/>
      <c r="R30" s="24"/>
      <c r="S30" s="24"/>
    </row>
    <row r="31" spans="1:19" s="28" customFormat="1" ht="14" x14ac:dyDescent="0.35">
      <c r="A31" s="27"/>
      <c r="B31" s="67" t="s">
        <v>81</v>
      </c>
      <c r="C31" s="55">
        <v>0</v>
      </c>
      <c r="D31" s="55">
        <v>0</v>
      </c>
      <c r="E31" s="55">
        <v>0</v>
      </c>
      <c r="F31" s="55">
        <v>0</v>
      </c>
      <c r="G31" s="55">
        <v>0</v>
      </c>
      <c r="H31" s="55">
        <v>0</v>
      </c>
      <c r="I31" s="55">
        <v>0</v>
      </c>
      <c r="J31" s="55">
        <v>0</v>
      </c>
      <c r="L31" s="24"/>
      <c r="M31" s="24"/>
      <c r="N31" s="24"/>
      <c r="O31" s="24"/>
      <c r="P31" s="24"/>
      <c r="Q31" s="24"/>
      <c r="R31" s="24"/>
      <c r="S31" s="24"/>
    </row>
    <row r="32" spans="1:19" s="28" customFormat="1" ht="14" x14ac:dyDescent="0.35">
      <c r="A32" s="27">
        <v>80</v>
      </c>
      <c r="B32" s="28" t="s">
        <v>38</v>
      </c>
      <c r="C32" s="55">
        <v>2</v>
      </c>
      <c r="D32" s="55">
        <v>3</v>
      </c>
      <c r="E32" s="55">
        <v>8</v>
      </c>
      <c r="F32" s="55">
        <v>20</v>
      </c>
      <c r="G32" s="55">
        <v>50</v>
      </c>
      <c r="H32" s="55">
        <v>48</v>
      </c>
      <c r="I32" s="55">
        <v>183</v>
      </c>
      <c r="J32" s="56">
        <v>314</v>
      </c>
      <c r="L32" s="24"/>
      <c r="M32" s="24"/>
      <c r="N32" s="24"/>
      <c r="O32" s="24"/>
      <c r="P32" s="24"/>
      <c r="Q32" s="24"/>
      <c r="R32" s="24"/>
      <c r="S32" s="24"/>
    </row>
    <row r="33" spans="1:19" s="28" customFormat="1" ht="14" x14ac:dyDescent="0.35">
      <c r="A33" s="27">
        <v>81</v>
      </c>
      <c r="B33" s="28" t="s">
        <v>39</v>
      </c>
      <c r="C33" s="55">
        <v>3</v>
      </c>
      <c r="D33" s="55">
        <v>3</v>
      </c>
      <c r="E33" s="55">
        <v>10</v>
      </c>
      <c r="F33" s="55">
        <v>24</v>
      </c>
      <c r="G33" s="55">
        <v>45</v>
      </c>
      <c r="H33" s="55">
        <v>31</v>
      </c>
      <c r="I33" s="55">
        <v>144</v>
      </c>
      <c r="J33" s="56">
        <v>260</v>
      </c>
      <c r="L33" s="24"/>
      <c r="M33" s="24"/>
      <c r="N33" s="24"/>
      <c r="O33" s="24"/>
      <c r="P33" s="24"/>
      <c r="Q33" s="24"/>
      <c r="R33" s="24"/>
      <c r="S33" s="24"/>
    </row>
    <row r="34" spans="1:19" s="28" customFormat="1" ht="14" x14ac:dyDescent="0.35">
      <c r="A34" s="27">
        <v>83</v>
      </c>
      <c r="B34" s="28" t="s">
        <v>40</v>
      </c>
      <c r="C34" s="55">
        <v>3</v>
      </c>
      <c r="D34" s="55">
        <v>1</v>
      </c>
      <c r="E34" s="55">
        <v>4</v>
      </c>
      <c r="F34" s="55">
        <v>11</v>
      </c>
      <c r="G34" s="55">
        <v>21</v>
      </c>
      <c r="H34" s="55">
        <v>22</v>
      </c>
      <c r="I34" s="55">
        <v>80</v>
      </c>
      <c r="J34" s="56">
        <v>142</v>
      </c>
      <c r="L34" s="24"/>
      <c r="M34" s="24"/>
      <c r="N34" s="24"/>
      <c r="O34" s="24"/>
      <c r="P34" s="24"/>
      <c r="Q34" s="24"/>
      <c r="R34" s="24"/>
      <c r="S34" s="24"/>
    </row>
    <row r="35" spans="1:19" s="28" customFormat="1" ht="14" x14ac:dyDescent="0.35">
      <c r="A35" s="27">
        <v>84</v>
      </c>
      <c r="B35" s="28" t="s">
        <v>41</v>
      </c>
      <c r="C35" s="55">
        <v>3</v>
      </c>
      <c r="D35" s="55">
        <v>4</v>
      </c>
      <c r="E35" s="55">
        <v>7</v>
      </c>
      <c r="F35" s="55">
        <v>28</v>
      </c>
      <c r="G35" s="55">
        <v>86</v>
      </c>
      <c r="H35" s="55">
        <v>75</v>
      </c>
      <c r="I35" s="55">
        <v>319.58</v>
      </c>
      <c r="J35" s="56">
        <v>522.57999999999993</v>
      </c>
      <c r="L35" s="24"/>
      <c r="M35" s="24"/>
      <c r="N35" s="24"/>
      <c r="O35" s="24"/>
      <c r="P35" s="24"/>
      <c r="Q35" s="24"/>
      <c r="R35" s="24"/>
      <c r="S35" s="24"/>
    </row>
    <row r="36" spans="1:19" s="28" customFormat="1" ht="14" x14ac:dyDescent="0.35">
      <c r="A36" s="27">
        <v>85</v>
      </c>
      <c r="B36" s="28" t="s">
        <v>42</v>
      </c>
      <c r="C36" s="55">
        <v>3</v>
      </c>
      <c r="D36" s="55">
        <v>4</v>
      </c>
      <c r="E36" s="55">
        <v>8</v>
      </c>
      <c r="F36" s="55">
        <v>29.57</v>
      </c>
      <c r="G36" s="55">
        <v>54</v>
      </c>
      <c r="H36" s="55">
        <v>25</v>
      </c>
      <c r="I36" s="55">
        <v>113</v>
      </c>
      <c r="J36" s="56">
        <v>236.57</v>
      </c>
      <c r="L36" s="24"/>
      <c r="M36" s="24"/>
      <c r="N36" s="24"/>
      <c r="O36" s="24"/>
      <c r="P36" s="24"/>
      <c r="Q36" s="24"/>
      <c r="R36" s="24"/>
      <c r="S36" s="24"/>
    </row>
    <row r="37" spans="1:19" s="28" customFormat="1" ht="14" x14ac:dyDescent="0.35">
      <c r="A37" s="27">
        <v>87</v>
      </c>
      <c r="B37" s="28" t="s">
        <v>43</v>
      </c>
      <c r="C37" s="55">
        <v>3</v>
      </c>
      <c r="D37" s="55">
        <v>4</v>
      </c>
      <c r="E37" s="55">
        <v>6</v>
      </c>
      <c r="F37" s="55">
        <v>12</v>
      </c>
      <c r="G37" s="55">
        <v>24</v>
      </c>
      <c r="H37" s="55">
        <v>22</v>
      </c>
      <c r="I37" s="55">
        <v>96</v>
      </c>
      <c r="J37" s="56">
        <v>167</v>
      </c>
      <c r="L37" s="24"/>
      <c r="M37" s="24"/>
      <c r="N37" s="24"/>
      <c r="O37" s="24"/>
      <c r="P37" s="24"/>
      <c r="Q37" s="24"/>
      <c r="R37" s="24"/>
      <c r="S37" s="24"/>
    </row>
    <row r="38" spans="1:19" s="28" customFormat="1" ht="14" x14ac:dyDescent="0.35">
      <c r="A38" s="27">
        <v>90</v>
      </c>
      <c r="B38" s="28" t="s">
        <v>45</v>
      </c>
      <c r="C38" s="55">
        <v>2</v>
      </c>
      <c r="D38" s="55">
        <v>3</v>
      </c>
      <c r="E38" s="55">
        <v>7</v>
      </c>
      <c r="F38" s="55">
        <v>32</v>
      </c>
      <c r="G38" s="55">
        <v>65</v>
      </c>
      <c r="H38" s="55">
        <v>66</v>
      </c>
      <c r="I38" s="55">
        <v>234</v>
      </c>
      <c r="J38" s="56">
        <v>409</v>
      </c>
      <c r="L38" s="24"/>
      <c r="M38" s="24"/>
      <c r="N38" s="24"/>
      <c r="O38" s="24"/>
      <c r="P38" s="24"/>
      <c r="Q38" s="24"/>
      <c r="R38" s="24"/>
      <c r="S38" s="24"/>
    </row>
    <row r="39" spans="1:19" s="28" customFormat="1" ht="14" x14ac:dyDescent="0.35">
      <c r="A39" s="27">
        <v>91</v>
      </c>
      <c r="B39" s="28" t="s">
        <v>46</v>
      </c>
      <c r="C39" s="55">
        <v>3</v>
      </c>
      <c r="D39" s="55">
        <v>3</v>
      </c>
      <c r="E39" s="55">
        <v>7</v>
      </c>
      <c r="F39" s="55">
        <v>18</v>
      </c>
      <c r="G39" s="55">
        <v>40</v>
      </c>
      <c r="H39" s="55">
        <v>30</v>
      </c>
      <c r="I39" s="55">
        <v>109</v>
      </c>
      <c r="J39" s="56">
        <v>210</v>
      </c>
      <c r="L39" s="24"/>
      <c r="M39" s="24"/>
      <c r="N39" s="24"/>
      <c r="O39" s="24"/>
      <c r="P39" s="24"/>
      <c r="Q39" s="24"/>
      <c r="R39" s="24"/>
      <c r="S39" s="24"/>
    </row>
    <row r="40" spans="1:19" s="28" customFormat="1" ht="14" x14ac:dyDescent="0.35">
      <c r="A40" s="27">
        <v>92</v>
      </c>
      <c r="B40" s="28" t="s">
        <v>47</v>
      </c>
      <c r="C40" s="55">
        <v>3</v>
      </c>
      <c r="D40" s="55">
        <v>6</v>
      </c>
      <c r="E40" s="55">
        <v>7</v>
      </c>
      <c r="F40" s="55">
        <v>29</v>
      </c>
      <c r="G40" s="55">
        <v>85</v>
      </c>
      <c r="H40" s="55">
        <v>91</v>
      </c>
      <c r="I40" s="55">
        <v>332</v>
      </c>
      <c r="J40" s="56">
        <v>553</v>
      </c>
      <c r="L40" s="24"/>
      <c r="M40" s="24"/>
      <c r="N40" s="24"/>
      <c r="O40" s="24"/>
      <c r="P40" s="24"/>
      <c r="Q40" s="24"/>
      <c r="R40" s="24"/>
      <c r="S40" s="24"/>
    </row>
    <row r="41" spans="1:19" s="28" customFormat="1" ht="14" x14ac:dyDescent="0.35">
      <c r="A41" s="27">
        <v>94</v>
      </c>
      <c r="B41" s="28" t="s">
        <v>49</v>
      </c>
      <c r="C41" s="55">
        <v>3</v>
      </c>
      <c r="D41" s="55">
        <v>4</v>
      </c>
      <c r="E41" s="55">
        <v>6</v>
      </c>
      <c r="F41" s="55">
        <v>14</v>
      </c>
      <c r="G41" s="55">
        <v>42</v>
      </c>
      <c r="H41" s="55">
        <v>53</v>
      </c>
      <c r="I41" s="55">
        <v>132.80952000000002</v>
      </c>
      <c r="J41" s="56">
        <v>254.80952000000002</v>
      </c>
      <c r="L41" s="24"/>
      <c r="M41" s="24"/>
      <c r="N41" s="24"/>
      <c r="O41" s="24"/>
      <c r="P41" s="24"/>
      <c r="Q41" s="24"/>
      <c r="R41" s="24"/>
      <c r="S41" s="24"/>
    </row>
    <row r="42" spans="1:19" s="28" customFormat="1" ht="14" x14ac:dyDescent="0.35">
      <c r="A42" s="27">
        <v>96</v>
      </c>
      <c r="B42" s="28" t="s">
        <v>51</v>
      </c>
      <c r="C42" s="55">
        <v>3</v>
      </c>
      <c r="D42" s="55">
        <v>3</v>
      </c>
      <c r="E42" s="55">
        <v>6</v>
      </c>
      <c r="F42" s="55">
        <v>22</v>
      </c>
      <c r="G42" s="55">
        <v>46</v>
      </c>
      <c r="H42" s="55">
        <v>54</v>
      </c>
      <c r="I42" s="55">
        <v>192</v>
      </c>
      <c r="J42" s="56">
        <v>326</v>
      </c>
      <c r="L42" s="24"/>
      <c r="M42" s="24"/>
      <c r="N42" s="24"/>
      <c r="O42" s="24"/>
      <c r="P42" s="24"/>
      <c r="Q42" s="24"/>
      <c r="R42" s="24"/>
      <c r="S42" s="24"/>
    </row>
    <row r="43" spans="1:19" s="28" customFormat="1" ht="14" x14ac:dyDescent="0.35">
      <c r="A43" s="27">
        <v>72</v>
      </c>
      <c r="B43" s="28" t="s">
        <v>30</v>
      </c>
      <c r="C43" s="55">
        <v>0.2</v>
      </c>
      <c r="D43" s="55">
        <v>0</v>
      </c>
      <c r="E43" s="55">
        <v>0</v>
      </c>
      <c r="F43" s="55">
        <v>1</v>
      </c>
      <c r="G43" s="55">
        <v>2</v>
      </c>
      <c r="H43" s="55">
        <v>2</v>
      </c>
      <c r="I43" s="55">
        <v>6</v>
      </c>
      <c r="J43" s="56">
        <v>11.2</v>
      </c>
      <c r="L43" s="24"/>
      <c r="M43" s="24"/>
      <c r="N43" s="24"/>
      <c r="O43" s="24"/>
      <c r="P43" s="24"/>
      <c r="Q43" s="24"/>
      <c r="R43" s="24"/>
      <c r="S43" s="24"/>
    </row>
    <row r="44" spans="1:19" s="23" customFormat="1" ht="26.25" customHeight="1" x14ac:dyDescent="0.35">
      <c r="A44" s="25"/>
      <c r="B44" s="23" t="s">
        <v>59</v>
      </c>
      <c r="C44" s="26">
        <v>27</v>
      </c>
      <c r="D44" s="26">
        <v>43</v>
      </c>
      <c r="E44" s="26">
        <v>152</v>
      </c>
      <c r="F44" s="26">
        <v>383</v>
      </c>
      <c r="G44" s="26">
        <v>1691.06</v>
      </c>
      <c r="H44" s="26">
        <v>1496</v>
      </c>
      <c r="I44" s="26">
        <v>7441.875</v>
      </c>
      <c r="J44" s="26">
        <v>11233.935000000001</v>
      </c>
      <c r="L44" s="24"/>
      <c r="M44" s="24"/>
      <c r="N44" s="24"/>
      <c r="O44" s="24"/>
      <c r="P44" s="24"/>
      <c r="Q44" s="24"/>
      <c r="R44" s="24"/>
      <c r="S44" s="24"/>
    </row>
    <row r="45" spans="1:19" s="28" customFormat="1" ht="14" x14ac:dyDescent="0.35">
      <c r="A45" s="27">
        <v>66</v>
      </c>
      <c r="B45" s="28" t="s">
        <v>24</v>
      </c>
      <c r="C45" s="55">
        <v>4</v>
      </c>
      <c r="D45" s="55">
        <v>8</v>
      </c>
      <c r="E45" s="55">
        <v>13</v>
      </c>
      <c r="F45" s="55">
        <v>59</v>
      </c>
      <c r="G45" s="55">
        <v>216</v>
      </c>
      <c r="H45" s="55">
        <v>191</v>
      </c>
      <c r="I45" s="55">
        <v>928</v>
      </c>
      <c r="J45" s="56">
        <v>1419</v>
      </c>
      <c r="L45" s="24"/>
      <c r="M45" s="24"/>
      <c r="N45" s="24"/>
      <c r="O45" s="24"/>
      <c r="P45" s="24"/>
      <c r="Q45" s="24"/>
      <c r="R45" s="24"/>
      <c r="S45" s="24"/>
    </row>
    <row r="46" spans="1:19" s="28" customFormat="1" ht="14" x14ac:dyDescent="0.35">
      <c r="A46" s="27">
        <v>78</v>
      </c>
      <c r="B46" s="28" t="s">
        <v>35</v>
      </c>
      <c r="C46" s="55">
        <v>2</v>
      </c>
      <c r="D46" s="55">
        <v>4</v>
      </c>
      <c r="E46" s="55">
        <v>15</v>
      </c>
      <c r="F46" s="55">
        <v>31</v>
      </c>
      <c r="G46" s="55">
        <v>155.69999999999999</v>
      </c>
      <c r="H46" s="55">
        <v>19</v>
      </c>
      <c r="I46" s="55">
        <v>489.5</v>
      </c>
      <c r="J46" s="56">
        <v>716.2</v>
      </c>
      <c r="L46" s="24"/>
      <c r="M46" s="24"/>
      <c r="N46" s="24"/>
      <c r="O46" s="24"/>
      <c r="P46" s="24"/>
      <c r="Q46" s="24"/>
      <c r="R46" s="24"/>
      <c r="S46" s="24"/>
    </row>
    <row r="47" spans="1:19" s="28" customFormat="1" ht="14" x14ac:dyDescent="0.35">
      <c r="A47" s="27">
        <v>89</v>
      </c>
      <c r="B47" s="28" t="s">
        <v>44</v>
      </c>
      <c r="C47" s="55">
        <v>3</v>
      </c>
      <c r="D47" s="55">
        <v>4</v>
      </c>
      <c r="E47" s="55">
        <v>9</v>
      </c>
      <c r="F47" s="55">
        <v>28</v>
      </c>
      <c r="G47" s="55">
        <v>100</v>
      </c>
      <c r="H47" s="55">
        <v>88</v>
      </c>
      <c r="I47" s="55">
        <v>392</v>
      </c>
      <c r="J47" s="56">
        <v>624</v>
      </c>
      <c r="L47" s="24"/>
      <c r="M47" s="24"/>
      <c r="N47" s="24"/>
      <c r="O47" s="24"/>
      <c r="P47" s="24"/>
      <c r="Q47" s="24"/>
      <c r="R47" s="24"/>
      <c r="S47" s="24"/>
    </row>
    <row r="48" spans="1:19" s="28" customFormat="1" ht="14" x14ac:dyDescent="0.35">
      <c r="A48" s="27">
        <v>93</v>
      </c>
      <c r="B48" s="28" t="s">
        <v>60</v>
      </c>
      <c r="C48" s="55">
        <v>4</v>
      </c>
      <c r="D48" s="55">
        <v>4</v>
      </c>
      <c r="E48" s="55">
        <v>23</v>
      </c>
      <c r="F48" s="55">
        <v>19</v>
      </c>
      <c r="G48" s="55">
        <v>129</v>
      </c>
      <c r="H48" s="55">
        <v>102</v>
      </c>
      <c r="I48" s="55">
        <v>407.375</v>
      </c>
      <c r="J48" s="56">
        <v>688.375</v>
      </c>
      <c r="L48" s="24"/>
      <c r="M48" s="24"/>
      <c r="N48" s="24"/>
      <c r="O48" s="24"/>
      <c r="P48" s="24"/>
      <c r="Q48" s="24"/>
      <c r="R48" s="24"/>
      <c r="S48" s="24"/>
    </row>
    <row r="49" spans="1:19" s="28" customFormat="1" ht="14" x14ac:dyDescent="0.35">
      <c r="A49" s="27">
        <v>95</v>
      </c>
      <c r="B49" s="28" t="s">
        <v>50</v>
      </c>
      <c r="C49" s="55">
        <v>3</v>
      </c>
      <c r="D49" s="55">
        <v>6</v>
      </c>
      <c r="E49" s="55">
        <v>15</v>
      </c>
      <c r="F49" s="55">
        <v>41</v>
      </c>
      <c r="G49" s="55">
        <v>244</v>
      </c>
      <c r="H49" s="55">
        <v>240</v>
      </c>
      <c r="I49" s="55">
        <v>1025</v>
      </c>
      <c r="J49" s="56">
        <v>1574</v>
      </c>
      <c r="L49" s="24"/>
      <c r="M49" s="24"/>
      <c r="N49" s="24"/>
      <c r="O49" s="24"/>
      <c r="P49" s="24"/>
      <c r="Q49" s="24"/>
      <c r="R49" s="24"/>
      <c r="S49" s="24"/>
    </row>
    <row r="50" spans="1:19" s="28" customFormat="1" ht="14" x14ac:dyDescent="0.35">
      <c r="A50" s="27">
        <v>97</v>
      </c>
      <c r="B50" s="28" t="s">
        <v>52</v>
      </c>
      <c r="C50" s="55">
        <v>4</v>
      </c>
      <c r="D50" s="55">
        <v>4</v>
      </c>
      <c r="E50" s="55">
        <v>13</v>
      </c>
      <c r="F50" s="55">
        <v>57</v>
      </c>
      <c r="G50" s="55">
        <v>182</v>
      </c>
      <c r="H50" s="55">
        <v>194</v>
      </c>
      <c r="I50" s="55">
        <v>690</v>
      </c>
      <c r="J50" s="56">
        <v>1144</v>
      </c>
      <c r="L50" s="24"/>
      <c r="M50" s="24"/>
      <c r="N50" s="24"/>
      <c r="O50" s="24"/>
      <c r="P50" s="24"/>
      <c r="Q50" s="24"/>
      <c r="R50" s="24"/>
      <c r="S50" s="24"/>
    </row>
    <row r="51" spans="1:19" s="28" customFormat="1" ht="14" x14ac:dyDescent="0.35">
      <c r="A51" s="28">
        <v>77</v>
      </c>
      <c r="B51" s="42" t="s">
        <v>23</v>
      </c>
      <c r="C51" s="57">
        <v>7</v>
      </c>
      <c r="D51" s="57">
        <v>13</v>
      </c>
      <c r="E51" s="57">
        <v>64</v>
      </c>
      <c r="F51" s="57">
        <v>148</v>
      </c>
      <c r="G51" s="57">
        <v>664.36</v>
      </c>
      <c r="H51" s="57">
        <v>662</v>
      </c>
      <c r="I51" s="57">
        <v>3510</v>
      </c>
      <c r="J51" s="58">
        <v>5068.3600000000006</v>
      </c>
      <c r="L51" s="24"/>
      <c r="M51" s="24"/>
      <c r="N51" s="24"/>
      <c r="O51" s="24"/>
      <c r="P51" s="24"/>
      <c r="Q51" s="24"/>
      <c r="R51" s="24"/>
      <c r="S51" s="24"/>
    </row>
    <row r="52" spans="1:19" s="62" customFormat="1" x14ac:dyDescent="0.35">
      <c r="A52" s="27"/>
      <c r="B52" s="51"/>
      <c r="C52" s="59"/>
      <c r="D52" s="59"/>
      <c r="E52" s="60"/>
      <c r="F52" s="60"/>
      <c r="G52" s="61"/>
      <c r="H52" s="61"/>
      <c r="I52" s="61"/>
      <c r="J52" s="61"/>
    </row>
    <row r="53" spans="1:19" s="28" customFormat="1" ht="12.5" x14ac:dyDescent="0.35">
      <c r="A53" s="27"/>
      <c r="H53" s="43"/>
    </row>
    <row r="54" spans="1:19" s="28" customFormat="1" ht="12.5" x14ac:dyDescent="0.35">
      <c r="A54" s="27"/>
      <c r="B54" s="63" t="s">
        <v>71</v>
      </c>
      <c r="D54" s="43"/>
      <c r="E54" s="43"/>
    </row>
    <row r="55" spans="1:19" x14ac:dyDescent="0.35">
      <c r="I55" s="59"/>
      <c r="J55" s="59"/>
    </row>
    <row r="56" spans="1:19" x14ac:dyDescent="0.35">
      <c r="H56" s="59"/>
    </row>
    <row r="60" spans="1:19" x14ac:dyDescent="0.35">
      <c r="B60" s="28" t="s">
        <v>18</v>
      </c>
      <c r="C60" s="55">
        <v>3</v>
      </c>
      <c r="D60" s="55">
        <v>5</v>
      </c>
      <c r="E60" s="55">
        <v>7</v>
      </c>
      <c r="F60" s="55">
        <v>23</v>
      </c>
      <c r="G60" s="55">
        <v>35</v>
      </c>
      <c r="H60" s="55">
        <v>41</v>
      </c>
      <c r="I60" s="55">
        <v>137</v>
      </c>
      <c r="J60" s="56">
        <v>251</v>
      </c>
    </row>
    <row r="61" spans="1:19" x14ac:dyDescent="0.35">
      <c r="B61" s="28" t="s">
        <v>53</v>
      </c>
      <c r="C61" s="55">
        <v>0.2</v>
      </c>
      <c r="D61" s="55">
        <v>5</v>
      </c>
      <c r="E61" s="55">
        <v>9</v>
      </c>
      <c r="F61" s="55">
        <v>16</v>
      </c>
      <c r="G61" s="55">
        <v>33</v>
      </c>
      <c r="H61" s="55">
        <v>31</v>
      </c>
      <c r="I61" s="55">
        <v>91</v>
      </c>
      <c r="J61" s="56">
        <v>185.2</v>
      </c>
    </row>
  </sheetData>
  <mergeCells count="1">
    <mergeCell ref="B1:J1"/>
  </mergeCells>
  <printOptions horizontalCentered="1" verticalCentered="1"/>
  <pageMargins left="0.43" right="0.46" top="0.33" bottom="0.25" header="0.31" footer="0.51181102362204722"/>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FF0000"/>
    <pageSetUpPr fitToPage="1"/>
  </sheetPr>
  <dimension ref="A1:P58"/>
  <sheetViews>
    <sheetView showGridLines="0" zoomScale="85" workbookViewId="0">
      <pane xSplit="2" ySplit="2" topLeftCell="C20" activePane="bottomRight" state="frozen"/>
      <selection activeCell="A4" sqref="A4:H4"/>
      <selection pane="topRight" activeCell="A4" sqref="A4:H4"/>
      <selection pane="bottomLeft" activeCell="A4" sqref="A4:H4"/>
      <selection pane="bottomRight" activeCell="A4" sqref="A4:H4"/>
    </sheetView>
  </sheetViews>
  <sheetFormatPr defaultRowHeight="15.5" x14ac:dyDescent="0.35"/>
  <cols>
    <col min="1" max="1" width="4.7265625" style="40" hidden="1" customWidth="1"/>
    <col min="2" max="2" width="25.26953125" style="69" customWidth="1"/>
    <col min="3" max="8" width="13" style="69" customWidth="1"/>
    <col min="9" max="254" width="9.1796875" style="69"/>
    <col min="255" max="255" width="0" style="69" hidden="1" customWidth="1"/>
    <col min="256" max="256" width="25.26953125" style="69" customWidth="1"/>
    <col min="257" max="262" width="13" style="69" customWidth="1"/>
    <col min="263" max="510" width="9.1796875" style="69"/>
    <col min="511" max="511" width="0" style="69" hidden="1" customWidth="1"/>
    <col min="512" max="512" width="25.26953125" style="69" customWidth="1"/>
    <col min="513" max="518" width="13" style="69" customWidth="1"/>
    <col min="519" max="766" width="9.1796875" style="69"/>
    <col min="767" max="767" width="0" style="69" hidden="1" customWidth="1"/>
    <col min="768" max="768" width="25.26953125" style="69" customWidth="1"/>
    <col min="769" max="774" width="13" style="69" customWidth="1"/>
    <col min="775" max="1022" width="9.1796875" style="69"/>
    <col min="1023" max="1023" width="0" style="69" hidden="1" customWidth="1"/>
    <col min="1024" max="1024" width="25.26953125" style="69" customWidth="1"/>
    <col min="1025" max="1030" width="13" style="69" customWidth="1"/>
    <col min="1031" max="1278" width="9.1796875" style="69"/>
    <col min="1279" max="1279" width="0" style="69" hidden="1" customWidth="1"/>
    <col min="1280" max="1280" width="25.26953125" style="69" customWidth="1"/>
    <col min="1281" max="1286" width="13" style="69" customWidth="1"/>
    <col min="1287" max="1534" width="9.1796875" style="69"/>
    <col min="1535" max="1535" width="0" style="69" hidden="1" customWidth="1"/>
    <col min="1536" max="1536" width="25.26953125" style="69" customWidth="1"/>
    <col min="1537" max="1542" width="13" style="69" customWidth="1"/>
    <col min="1543" max="1790" width="9.1796875" style="69"/>
    <col min="1791" max="1791" width="0" style="69" hidden="1" customWidth="1"/>
    <col min="1792" max="1792" width="25.26953125" style="69" customWidth="1"/>
    <col min="1793" max="1798" width="13" style="69" customWidth="1"/>
    <col min="1799" max="2046" width="9.1796875" style="69"/>
    <col min="2047" max="2047" width="0" style="69" hidden="1" customWidth="1"/>
    <col min="2048" max="2048" width="25.26953125" style="69" customWidth="1"/>
    <col min="2049" max="2054" width="13" style="69" customWidth="1"/>
    <col min="2055" max="2302" width="9.1796875" style="69"/>
    <col min="2303" max="2303" width="0" style="69" hidden="1" customWidth="1"/>
    <col min="2304" max="2304" width="25.26953125" style="69" customWidth="1"/>
    <col min="2305" max="2310" width="13" style="69" customWidth="1"/>
    <col min="2311" max="2558" width="9.1796875" style="69"/>
    <col min="2559" max="2559" width="0" style="69" hidden="1" customWidth="1"/>
    <col min="2560" max="2560" width="25.26953125" style="69" customWidth="1"/>
    <col min="2561" max="2566" width="13" style="69" customWidth="1"/>
    <col min="2567" max="2814" width="9.1796875" style="69"/>
    <col min="2815" max="2815" width="0" style="69" hidden="1" customWidth="1"/>
    <col min="2816" max="2816" width="25.26953125" style="69" customWidth="1"/>
    <col min="2817" max="2822" width="13" style="69" customWidth="1"/>
    <col min="2823" max="3070" width="9.1796875" style="69"/>
    <col min="3071" max="3071" width="0" style="69" hidden="1" customWidth="1"/>
    <col min="3072" max="3072" width="25.26953125" style="69" customWidth="1"/>
    <col min="3073" max="3078" width="13" style="69" customWidth="1"/>
    <col min="3079" max="3326" width="9.1796875" style="69"/>
    <col min="3327" max="3327" width="0" style="69" hidden="1" customWidth="1"/>
    <col min="3328" max="3328" width="25.26953125" style="69" customWidth="1"/>
    <col min="3329" max="3334" width="13" style="69" customWidth="1"/>
    <col min="3335" max="3582" width="9.1796875" style="69"/>
    <col min="3583" max="3583" width="0" style="69" hidden="1" customWidth="1"/>
    <col min="3584" max="3584" width="25.26953125" style="69" customWidth="1"/>
    <col min="3585" max="3590" width="13" style="69" customWidth="1"/>
    <col min="3591" max="3838" width="9.1796875" style="69"/>
    <col min="3839" max="3839" width="0" style="69" hidden="1" customWidth="1"/>
    <col min="3840" max="3840" width="25.26953125" style="69" customWidth="1"/>
    <col min="3841" max="3846" width="13" style="69" customWidth="1"/>
    <col min="3847" max="4094" width="9.1796875" style="69"/>
    <col min="4095" max="4095" width="0" style="69" hidden="1" customWidth="1"/>
    <col min="4096" max="4096" width="25.26953125" style="69" customWidth="1"/>
    <col min="4097" max="4102" width="13" style="69" customWidth="1"/>
    <col min="4103" max="4350" width="9.1796875" style="69"/>
    <col min="4351" max="4351" width="0" style="69" hidden="1" customWidth="1"/>
    <col min="4352" max="4352" width="25.26953125" style="69" customWidth="1"/>
    <col min="4353" max="4358" width="13" style="69" customWidth="1"/>
    <col min="4359" max="4606" width="9.1796875" style="69"/>
    <col min="4607" max="4607" width="0" style="69" hidden="1" customWidth="1"/>
    <col min="4608" max="4608" width="25.26953125" style="69" customWidth="1"/>
    <col min="4609" max="4614" width="13" style="69" customWidth="1"/>
    <col min="4615" max="4862" width="9.1796875" style="69"/>
    <col min="4863" max="4863" width="0" style="69" hidden="1" customWidth="1"/>
    <col min="4864" max="4864" width="25.26953125" style="69" customWidth="1"/>
    <col min="4865" max="4870" width="13" style="69" customWidth="1"/>
    <col min="4871" max="5118" width="9.1796875" style="69"/>
    <col min="5119" max="5119" width="0" style="69" hidden="1" customWidth="1"/>
    <col min="5120" max="5120" width="25.26953125" style="69" customWidth="1"/>
    <col min="5121" max="5126" width="13" style="69" customWidth="1"/>
    <col min="5127" max="5374" width="9.1796875" style="69"/>
    <col min="5375" max="5375" width="0" style="69" hidden="1" customWidth="1"/>
    <col min="5376" max="5376" width="25.26953125" style="69" customWidth="1"/>
    <col min="5377" max="5382" width="13" style="69" customWidth="1"/>
    <col min="5383" max="5630" width="9.1796875" style="69"/>
    <col min="5631" max="5631" width="0" style="69" hidden="1" customWidth="1"/>
    <col min="5632" max="5632" width="25.26953125" style="69" customWidth="1"/>
    <col min="5633" max="5638" width="13" style="69" customWidth="1"/>
    <col min="5639" max="5886" width="9.1796875" style="69"/>
    <col min="5887" max="5887" width="0" style="69" hidden="1" customWidth="1"/>
    <col min="5888" max="5888" width="25.26953125" style="69" customWidth="1"/>
    <col min="5889" max="5894" width="13" style="69" customWidth="1"/>
    <col min="5895" max="6142" width="9.1796875" style="69"/>
    <col min="6143" max="6143" width="0" style="69" hidden="1" customWidth="1"/>
    <col min="6144" max="6144" width="25.26953125" style="69" customWidth="1"/>
    <col min="6145" max="6150" width="13" style="69" customWidth="1"/>
    <col min="6151" max="6398" width="9.1796875" style="69"/>
    <col min="6399" max="6399" width="0" style="69" hidden="1" customWidth="1"/>
    <col min="6400" max="6400" width="25.26953125" style="69" customWidth="1"/>
    <col min="6401" max="6406" width="13" style="69" customWidth="1"/>
    <col min="6407" max="6654" width="9.1796875" style="69"/>
    <col min="6655" max="6655" width="0" style="69" hidden="1" customWidth="1"/>
    <col min="6656" max="6656" width="25.26953125" style="69" customWidth="1"/>
    <col min="6657" max="6662" width="13" style="69" customWidth="1"/>
    <col min="6663" max="6910" width="9.1796875" style="69"/>
    <col min="6911" max="6911" width="0" style="69" hidden="1" customWidth="1"/>
    <col min="6912" max="6912" width="25.26953125" style="69" customWidth="1"/>
    <col min="6913" max="6918" width="13" style="69" customWidth="1"/>
    <col min="6919" max="7166" width="9.1796875" style="69"/>
    <col min="7167" max="7167" width="0" style="69" hidden="1" customWidth="1"/>
    <col min="7168" max="7168" width="25.26953125" style="69" customWidth="1"/>
    <col min="7169" max="7174" width="13" style="69" customWidth="1"/>
    <col min="7175" max="7422" width="9.1796875" style="69"/>
    <col min="7423" max="7423" width="0" style="69" hidden="1" customWidth="1"/>
    <col min="7424" max="7424" width="25.26953125" style="69" customWidth="1"/>
    <col min="7425" max="7430" width="13" style="69" customWidth="1"/>
    <col min="7431" max="7678" width="9.1796875" style="69"/>
    <col min="7679" max="7679" width="0" style="69" hidden="1" customWidth="1"/>
    <col min="7680" max="7680" width="25.26953125" style="69" customWidth="1"/>
    <col min="7681" max="7686" width="13" style="69" customWidth="1"/>
    <col min="7687" max="7934" width="9.1796875" style="69"/>
    <col min="7935" max="7935" width="0" style="69" hidden="1" customWidth="1"/>
    <col min="7936" max="7936" width="25.26953125" style="69" customWidth="1"/>
    <col min="7937" max="7942" width="13" style="69" customWidth="1"/>
    <col min="7943" max="8190" width="9.1796875" style="69"/>
    <col min="8191" max="8191" width="0" style="69" hidden="1" customWidth="1"/>
    <col min="8192" max="8192" width="25.26953125" style="69" customWidth="1"/>
    <col min="8193" max="8198" width="13" style="69" customWidth="1"/>
    <col min="8199" max="8446" width="9.1796875" style="69"/>
    <col min="8447" max="8447" width="0" style="69" hidden="1" customWidth="1"/>
    <col min="8448" max="8448" width="25.26953125" style="69" customWidth="1"/>
    <col min="8449" max="8454" width="13" style="69" customWidth="1"/>
    <col min="8455" max="8702" width="9.1796875" style="69"/>
    <col min="8703" max="8703" width="0" style="69" hidden="1" customWidth="1"/>
    <col min="8704" max="8704" width="25.26953125" style="69" customWidth="1"/>
    <col min="8705" max="8710" width="13" style="69" customWidth="1"/>
    <col min="8711" max="8958" width="9.1796875" style="69"/>
    <col min="8959" max="8959" width="0" style="69" hidden="1" customWidth="1"/>
    <col min="8960" max="8960" width="25.26953125" style="69" customWidth="1"/>
    <col min="8961" max="8966" width="13" style="69" customWidth="1"/>
    <col min="8967" max="9214" width="9.1796875" style="69"/>
    <col min="9215" max="9215" width="0" style="69" hidden="1" customWidth="1"/>
    <col min="9216" max="9216" width="25.26953125" style="69" customWidth="1"/>
    <col min="9217" max="9222" width="13" style="69" customWidth="1"/>
    <col min="9223" max="9470" width="9.1796875" style="69"/>
    <col min="9471" max="9471" width="0" style="69" hidden="1" customWidth="1"/>
    <col min="9472" max="9472" width="25.26953125" style="69" customWidth="1"/>
    <col min="9473" max="9478" width="13" style="69" customWidth="1"/>
    <col min="9479" max="9726" width="9.1796875" style="69"/>
    <col min="9727" max="9727" width="0" style="69" hidden="1" customWidth="1"/>
    <col min="9728" max="9728" width="25.26953125" style="69" customWidth="1"/>
    <col min="9729" max="9734" width="13" style="69" customWidth="1"/>
    <col min="9735" max="9982" width="9.1796875" style="69"/>
    <col min="9983" max="9983" width="0" style="69" hidden="1" customWidth="1"/>
    <col min="9984" max="9984" width="25.26953125" style="69" customWidth="1"/>
    <col min="9985" max="9990" width="13" style="69" customWidth="1"/>
    <col min="9991" max="10238" width="9.1796875" style="69"/>
    <col min="10239" max="10239" width="0" style="69" hidden="1" customWidth="1"/>
    <col min="10240" max="10240" width="25.26953125" style="69" customWidth="1"/>
    <col min="10241" max="10246" width="13" style="69" customWidth="1"/>
    <col min="10247" max="10494" width="9.1796875" style="69"/>
    <col min="10495" max="10495" width="0" style="69" hidden="1" customWidth="1"/>
    <col min="10496" max="10496" width="25.26953125" style="69" customWidth="1"/>
    <col min="10497" max="10502" width="13" style="69" customWidth="1"/>
    <col min="10503" max="10750" width="9.1796875" style="69"/>
    <col min="10751" max="10751" width="0" style="69" hidden="1" customWidth="1"/>
    <col min="10752" max="10752" width="25.26953125" style="69" customWidth="1"/>
    <col min="10753" max="10758" width="13" style="69" customWidth="1"/>
    <col min="10759" max="11006" width="9.1796875" style="69"/>
    <col min="11007" max="11007" width="0" style="69" hidden="1" customWidth="1"/>
    <col min="11008" max="11008" width="25.26953125" style="69" customWidth="1"/>
    <col min="11009" max="11014" width="13" style="69" customWidth="1"/>
    <col min="11015" max="11262" width="9.1796875" style="69"/>
    <col min="11263" max="11263" width="0" style="69" hidden="1" customWidth="1"/>
    <col min="11264" max="11264" width="25.26953125" style="69" customWidth="1"/>
    <col min="11265" max="11270" width="13" style="69" customWidth="1"/>
    <col min="11271" max="11518" width="9.1796875" style="69"/>
    <col min="11519" max="11519" width="0" style="69" hidden="1" customWidth="1"/>
    <col min="11520" max="11520" width="25.26953125" style="69" customWidth="1"/>
    <col min="11521" max="11526" width="13" style="69" customWidth="1"/>
    <col min="11527" max="11774" width="9.1796875" style="69"/>
    <col min="11775" max="11775" width="0" style="69" hidden="1" customWidth="1"/>
    <col min="11776" max="11776" width="25.26953125" style="69" customWidth="1"/>
    <col min="11777" max="11782" width="13" style="69" customWidth="1"/>
    <col min="11783" max="12030" width="9.1796875" style="69"/>
    <col min="12031" max="12031" width="0" style="69" hidden="1" customWidth="1"/>
    <col min="12032" max="12032" width="25.26953125" style="69" customWidth="1"/>
    <col min="12033" max="12038" width="13" style="69" customWidth="1"/>
    <col min="12039" max="12286" width="9.1796875" style="69"/>
    <col min="12287" max="12287" width="0" style="69" hidden="1" customWidth="1"/>
    <col min="12288" max="12288" width="25.26953125" style="69" customWidth="1"/>
    <col min="12289" max="12294" width="13" style="69" customWidth="1"/>
    <col min="12295" max="12542" width="9.1796875" style="69"/>
    <col min="12543" max="12543" width="0" style="69" hidden="1" customWidth="1"/>
    <col min="12544" max="12544" width="25.26953125" style="69" customWidth="1"/>
    <col min="12545" max="12550" width="13" style="69" customWidth="1"/>
    <col min="12551" max="12798" width="9.1796875" style="69"/>
    <col min="12799" max="12799" width="0" style="69" hidden="1" customWidth="1"/>
    <col min="12800" max="12800" width="25.26953125" style="69" customWidth="1"/>
    <col min="12801" max="12806" width="13" style="69" customWidth="1"/>
    <col min="12807" max="13054" width="9.1796875" style="69"/>
    <col min="13055" max="13055" width="0" style="69" hidden="1" customWidth="1"/>
    <col min="13056" max="13056" width="25.26953125" style="69" customWidth="1"/>
    <col min="13057" max="13062" width="13" style="69" customWidth="1"/>
    <col min="13063" max="13310" width="9.1796875" style="69"/>
    <col min="13311" max="13311" width="0" style="69" hidden="1" customWidth="1"/>
    <col min="13312" max="13312" width="25.26953125" style="69" customWidth="1"/>
    <col min="13313" max="13318" width="13" style="69" customWidth="1"/>
    <col min="13319" max="13566" width="9.1796875" style="69"/>
    <col min="13567" max="13567" width="0" style="69" hidden="1" customWidth="1"/>
    <col min="13568" max="13568" width="25.26953125" style="69" customWidth="1"/>
    <col min="13569" max="13574" width="13" style="69" customWidth="1"/>
    <col min="13575" max="13822" width="9.1796875" style="69"/>
    <col min="13823" max="13823" width="0" style="69" hidden="1" customWidth="1"/>
    <col min="13824" max="13824" width="25.26953125" style="69" customWidth="1"/>
    <col min="13825" max="13830" width="13" style="69" customWidth="1"/>
    <col min="13831" max="14078" width="9.1796875" style="69"/>
    <col min="14079" max="14079" width="0" style="69" hidden="1" customWidth="1"/>
    <col min="14080" max="14080" width="25.26953125" style="69" customWidth="1"/>
    <col min="14081" max="14086" width="13" style="69" customWidth="1"/>
    <col min="14087" max="14334" width="9.1796875" style="69"/>
    <col min="14335" max="14335" width="0" style="69" hidden="1" customWidth="1"/>
    <col min="14336" max="14336" width="25.26953125" style="69" customWidth="1"/>
    <col min="14337" max="14342" width="13" style="69" customWidth="1"/>
    <col min="14343" max="14590" width="9.1796875" style="69"/>
    <col min="14591" max="14591" width="0" style="69" hidden="1" customWidth="1"/>
    <col min="14592" max="14592" width="25.26953125" style="69" customWidth="1"/>
    <col min="14593" max="14598" width="13" style="69" customWidth="1"/>
    <col min="14599" max="14846" width="9.1796875" style="69"/>
    <col min="14847" max="14847" width="0" style="69" hidden="1" customWidth="1"/>
    <col min="14848" max="14848" width="25.26953125" style="69" customWidth="1"/>
    <col min="14849" max="14854" width="13" style="69" customWidth="1"/>
    <col min="14855" max="15102" width="9.1796875" style="69"/>
    <col min="15103" max="15103" width="0" style="69" hidden="1" customWidth="1"/>
    <col min="15104" max="15104" width="25.26953125" style="69" customWidth="1"/>
    <col min="15105" max="15110" width="13" style="69" customWidth="1"/>
    <col min="15111" max="15358" width="9.1796875" style="69"/>
    <col min="15359" max="15359" width="0" style="69" hidden="1" customWidth="1"/>
    <col min="15360" max="15360" width="25.26953125" style="69" customWidth="1"/>
    <col min="15361" max="15366" width="13" style="69" customWidth="1"/>
    <col min="15367" max="15614" width="9.1796875" style="69"/>
    <col min="15615" max="15615" width="0" style="69" hidden="1" customWidth="1"/>
    <col min="15616" max="15616" width="25.26953125" style="69" customWidth="1"/>
    <col min="15617" max="15622" width="13" style="69" customWidth="1"/>
    <col min="15623" max="15870" width="9.1796875" style="69"/>
    <col min="15871" max="15871" width="0" style="69" hidden="1" customWidth="1"/>
    <col min="15872" max="15872" width="25.26953125" style="69" customWidth="1"/>
    <col min="15873" max="15878" width="13" style="69" customWidth="1"/>
    <col min="15879" max="16126" width="9.1796875" style="69"/>
    <col min="16127" max="16127" width="0" style="69" hidden="1" customWidth="1"/>
    <col min="16128" max="16128" width="25.26953125" style="69" customWidth="1"/>
    <col min="16129" max="16134" width="13" style="69" customWidth="1"/>
    <col min="16135" max="16384" width="9.1796875" style="69"/>
  </cols>
  <sheetData>
    <row r="1" spans="1:16" ht="39.75" customHeight="1" x14ac:dyDescent="0.35">
      <c r="B1" s="149" t="s">
        <v>82</v>
      </c>
      <c r="C1" s="150"/>
      <c r="D1" s="150"/>
      <c r="E1" s="150"/>
      <c r="F1" s="150"/>
      <c r="G1" s="150"/>
      <c r="H1" s="151"/>
    </row>
    <row r="2" spans="1:16" ht="30" customHeight="1" x14ac:dyDescent="0.35">
      <c r="C2" s="70" t="s">
        <v>74</v>
      </c>
      <c r="D2" s="70" t="s">
        <v>75</v>
      </c>
      <c r="E2" s="70" t="s">
        <v>76</v>
      </c>
      <c r="F2" s="70" t="s">
        <v>77</v>
      </c>
      <c r="G2" s="70" t="s">
        <v>78</v>
      </c>
      <c r="H2" s="71" t="s">
        <v>1</v>
      </c>
    </row>
    <row r="3" spans="1:16" s="36" customFormat="1" ht="26.25" customHeight="1" x14ac:dyDescent="0.35">
      <c r="A3" s="38"/>
      <c r="B3" s="37" t="s">
        <v>80</v>
      </c>
      <c r="C3" s="72">
        <v>0</v>
      </c>
      <c r="D3" s="72">
        <v>35.799999999999997</v>
      </c>
      <c r="E3" s="72">
        <v>875.4133333333333</v>
      </c>
      <c r="F3" s="72">
        <v>1927.0233333333333</v>
      </c>
      <c r="G3" s="72">
        <v>7990.2066666666669</v>
      </c>
      <c r="H3" s="72">
        <v>10828.443333333335</v>
      </c>
      <c r="I3" s="73"/>
      <c r="J3" s="73"/>
      <c r="K3" s="73"/>
      <c r="L3" s="73"/>
      <c r="M3" s="73"/>
      <c r="N3" s="73"/>
      <c r="O3" s="73"/>
      <c r="P3" s="73"/>
    </row>
    <row r="4" spans="1:16" s="37" customFormat="1" ht="26.25" customHeight="1" x14ac:dyDescent="0.35">
      <c r="A4" s="38"/>
      <c r="B4" s="37" t="s">
        <v>55</v>
      </c>
      <c r="C4" s="74">
        <v>0</v>
      </c>
      <c r="D4" s="74">
        <v>35.799999999999997</v>
      </c>
      <c r="E4" s="74">
        <v>846.6633333333333</v>
      </c>
      <c r="F4" s="74">
        <v>1893.3233333333333</v>
      </c>
      <c r="G4" s="74">
        <v>7813.3066666666673</v>
      </c>
      <c r="H4" s="74">
        <v>10589.093333333334</v>
      </c>
      <c r="I4" s="73"/>
      <c r="J4" s="73"/>
      <c r="K4" s="73"/>
      <c r="L4" s="73"/>
      <c r="M4" s="73"/>
    </row>
    <row r="5" spans="1:16" s="50" customFormat="1" ht="14" x14ac:dyDescent="0.35">
      <c r="A5" s="40">
        <v>51</v>
      </c>
      <c r="B5" s="50" t="s">
        <v>7</v>
      </c>
      <c r="C5" s="75">
        <v>0</v>
      </c>
      <c r="D5" s="75">
        <v>0</v>
      </c>
      <c r="E5" s="75">
        <v>11</v>
      </c>
      <c r="F5" s="75">
        <v>37.5</v>
      </c>
      <c r="G5" s="75">
        <v>128.5</v>
      </c>
      <c r="H5" s="76">
        <v>177</v>
      </c>
      <c r="I5" s="73"/>
      <c r="J5" s="73"/>
      <c r="K5" s="73"/>
      <c r="L5" s="73"/>
      <c r="M5" s="73"/>
    </row>
    <row r="6" spans="1:16" s="50" customFormat="1" ht="14" x14ac:dyDescent="0.35">
      <c r="A6" s="40">
        <v>52</v>
      </c>
      <c r="B6" s="50" t="s">
        <v>8</v>
      </c>
      <c r="C6" s="75">
        <v>0</v>
      </c>
      <c r="D6" s="75">
        <v>0</v>
      </c>
      <c r="E6" s="75">
        <v>11</v>
      </c>
      <c r="F6" s="75">
        <v>21</v>
      </c>
      <c r="G6" s="75">
        <v>114</v>
      </c>
      <c r="H6" s="76">
        <v>146</v>
      </c>
      <c r="I6" s="73"/>
      <c r="J6" s="73"/>
      <c r="K6" s="73"/>
      <c r="L6" s="73"/>
      <c r="M6" s="73"/>
    </row>
    <row r="7" spans="1:16" s="50" customFormat="1" ht="14" x14ac:dyDescent="0.35">
      <c r="A7" s="40">
        <v>86</v>
      </c>
      <c r="B7" s="50" t="s">
        <v>9</v>
      </c>
      <c r="C7" s="75">
        <v>0</v>
      </c>
      <c r="D7" s="75">
        <v>0</v>
      </c>
      <c r="E7" s="75">
        <v>7.25</v>
      </c>
      <c r="F7" s="75">
        <v>10.75</v>
      </c>
      <c r="G7" s="75">
        <v>38.75</v>
      </c>
      <c r="H7" s="76">
        <v>56.75</v>
      </c>
      <c r="I7" s="73"/>
      <c r="J7" s="73"/>
      <c r="K7" s="73"/>
      <c r="L7" s="73"/>
      <c r="M7" s="73"/>
    </row>
    <row r="8" spans="1:16" s="50" customFormat="1" ht="14" x14ac:dyDescent="0.35">
      <c r="A8" s="40">
        <v>53</v>
      </c>
      <c r="B8" s="50" t="s">
        <v>10</v>
      </c>
      <c r="C8" s="75">
        <v>0</v>
      </c>
      <c r="D8" s="75">
        <v>0</v>
      </c>
      <c r="E8" s="75">
        <v>11.25</v>
      </c>
      <c r="F8" s="75">
        <v>31.5</v>
      </c>
      <c r="G8" s="75">
        <v>93</v>
      </c>
      <c r="H8" s="76">
        <v>135.75</v>
      </c>
      <c r="I8" s="73"/>
      <c r="J8" s="73"/>
      <c r="K8" s="73"/>
      <c r="L8" s="73"/>
      <c r="M8" s="73"/>
    </row>
    <row r="9" spans="1:16" s="50" customFormat="1" ht="14" x14ac:dyDescent="0.35">
      <c r="A9" s="40">
        <v>54</v>
      </c>
      <c r="B9" s="50" t="s">
        <v>11</v>
      </c>
      <c r="C9" s="75">
        <v>0</v>
      </c>
      <c r="D9" s="75">
        <v>0</v>
      </c>
      <c r="E9" s="75">
        <v>22</v>
      </c>
      <c r="F9" s="75">
        <v>53</v>
      </c>
      <c r="G9" s="75">
        <v>156</v>
      </c>
      <c r="H9" s="76">
        <v>231</v>
      </c>
      <c r="I9" s="73"/>
      <c r="J9" s="73"/>
      <c r="K9" s="73"/>
      <c r="L9" s="73"/>
      <c r="M9" s="73"/>
    </row>
    <row r="10" spans="1:16" s="50" customFormat="1" ht="14" x14ac:dyDescent="0.35">
      <c r="A10" s="40">
        <v>55</v>
      </c>
      <c r="B10" s="50" t="s">
        <v>12</v>
      </c>
      <c r="C10" s="75">
        <v>0</v>
      </c>
      <c r="D10" s="75">
        <v>0</v>
      </c>
      <c r="E10" s="75">
        <v>10.55</v>
      </c>
      <c r="F10" s="75">
        <v>25.94</v>
      </c>
      <c r="G10" s="75">
        <v>113.67</v>
      </c>
      <c r="H10" s="76">
        <v>150.16</v>
      </c>
      <c r="I10" s="73"/>
      <c r="J10" s="73"/>
      <c r="K10" s="73"/>
      <c r="L10" s="73"/>
      <c r="M10" s="73"/>
    </row>
    <row r="11" spans="1:16" s="50" customFormat="1" ht="14" x14ac:dyDescent="0.35">
      <c r="A11" s="40">
        <v>56</v>
      </c>
      <c r="B11" s="50" t="s">
        <v>13</v>
      </c>
      <c r="C11" s="75">
        <v>0</v>
      </c>
      <c r="D11" s="75">
        <v>0</v>
      </c>
      <c r="E11" s="75">
        <v>3</v>
      </c>
      <c r="F11" s="75">
        <v>4.5</v>
      </c>
      <c r="G11" s="75">
        <v>53.25</v>
      </c>
      <c r="H11" s="76">
        <v>60.75</v>
      </c>
      <c r="I11" s="73"/>
      <c r="J11" s="73"/>
      <c r="K11" s="73"/>
      <c r="L11" s="73"/>
      <c r="M11" s="73"/>
    </row>
    <row r="12" spans="1:16" s="50" customFormat="1" ht="14" x14ac:dyDescent="0.35">
      <c r="A12" s="40">
        <v>57</v>
      </c>
      <c r="B12" s="50" t="s">
        <v>14</v>
      </c>
      <c r="C12" s="75">
        <v>0</v>
      </c>
      <c r="D12" s="75">
        <v>22</v>
      </c>
      <c r="E12" s="75">
        <v>33</v>
      </c>
      <c r="F12" s="75">
        <v>60</v>
      </c>
      <c r="G12" s="75">
        <v>309</v>
      </c>
      <c r="H12" s="76">
        <v>424</v>
      </c>
      <c r="I12" s="73"/>
      <c r="J12" s="73"/>
      <c r="K12" s="73"/>
      <c r="L12" s="73"/>
      <c r="M12" s="73"/>
    </row>
    <row r="13" spans="1:16" s="50" customFormat="1" ht="14" x14ac:dyDescent="0.35">
      <c r="A13" s="40">
        <v>59</v>
      </c>
      <c r="B13" s="50" t="s">
        <v>15</v>
      </c>
      <c r="C13" s="75">
        <v>0</v>
      </c>
      <c r="D13" s="75">
        <v>0</v>
      </c>
      <c r="E13" s="75">
        <v>15.92</v>
      </c>
      <c r="F13" s="75">
        <v>73.28</v>
      </c>
      <c r="G13" s="75">
        <v>228.98</v>
      </c>
      <c r="H13" s="76">
        <v>318.18</v>
      </c>
      <c r="I13" s="73"/>
      <c r="J13" s="73"/>
      <c r="K13" s="73"/>
      <c r="L13" s="73"/>
      <c r="M13" s="73"/>
    </row>
    <row r="14" spans="1:16" s="50" customFormat="1" ht="14" x14ac:dyDescent="0.35">
      <c r="A14" s="40">
        <v>60</v>
      </c>
      <c r="B14" s="50" t="s">
        <v>16</v>
      </c>
      <c r="C14" s="75">
        <v>0</v>
      </c>
      <c r="D14" s="75">
        <v>0</v>
      </c>
      <c r="E14" s="75">
        <v>23.8</v>
      </c>
      <c r="F14" s="75">
        <v>39.9</v>
      </c>
      <c r="G14" s="75">
        <v>157</v>
      </c>
      <c r="H14" s="76">
        <v>220.7</v>
      </c>
      <c r="I14" s="73"/>
      <c r="J14" s="73"/>
      <c r="K14" s="73"/>
      <c r="L14" s="73"/>
      <c r="M14" s="73"/>
    </row>
    <row r="15" spans="1:16" s="50" customFormat="1" ht="14" x14ac:dyDescent="0.35">
      <c r="A15" s="40">
        <v>61</v>
      </c>
      <c r="B15" s="77" t="s">
        <v>56</v>
      </c>
      <c r="C15" s="75">
        <v>0</v>
      </c>
      <c r="D15" s="75">
        <v>0</v>
      </c>
      <c r="E15" s="75">
        <v>95.25</v>
      </c>
      <c r="F15" s="75">
        <v>174.25</v>
      </c>
      <c r="G15" s="75">
        <v>798.95</v>
      </c>
      <c r="H15" s="76">
        <v>1068.45</v>
      </c>
      <c r="I15" s="73"/>
      <c r="J15" s="73"/>
      <c r="K15" s="73"/>
      <c r="L15" s="73"/>
      <c r="M15" s="73"/>
    </row>
    <row r="16" spans="1:16" s="50" customFormat="1" ht="14" x14ac:dyDescent="0.35">
      <c r="A16" s="40">
        <v>62</v>
      </c>
      <c r="B16" s="50" t="s">
        <v>143</v>
      </c>
      <c r="C16" s="75">
        <f>C57+C58</f>
        <v>0</v>
      </c>
      <c r="D16" s="75">
        <f t="shared" ref="D16:H16" si="0">D57+D58</f>
        <v>0</v>
      </c>
      <c r="E16" s="75">
        <f t="shared" si="0"/>
        <v>48.25</v>
      </c>
      <c r="F16" s="75">
        <f t="shared" si="0"/>
        <v>103.27000000000001</v>
      </c>
      <c r="G16" s="75">
        <f t="shared" si="0"/>
        <v>369.23</v>
      </c>
      <c r="H16" s="76">
        <f t="shared" si="0"/>
        <v>520.75</v>
      </c>
      <c r="I16" s="73"/>
      <c r="J16" s="73"/>
      <c r="K16" s="73"/>
      <c r="L16" s="73"/>
      <c r="M16" s="73"/>
    </row>
    <row r="17" spans="1:13" s="50" customFormat="1" ht="14" x14ac:dyDescent="0.35">
      <c r="A17" s="40">
        <v>58</v>
      </c>
      <c r="B17" s="50" t="s">
        <v>19</v>
      </c>
      <c r="C17" s="75">
        <v>0</v>
      </c>
      <c r="D17" s="75">
        <v>0</v>
      </c>
      <c r="E17" s="75">
        <v>15.63</v>
      </c>
      <c r="F17" s="75">
        <v>25.03</v>
      </c>
      <c r="G17" s="75">
        <v>111.36</v>
      </c>
      <c r="H17" s="76">
        <v>152.02000000000001</v>
      </c>
      <c r="I17" s="73"/>
      <c r="J17" s="73"/>
      <c r="K17" s="73"/>
      <c r="L17" s="73"/>
      <c r="M17" s="73"/>
    </row>
    <row r="18" spans="1:13" s="50" customFormat="1" ht="14" x14ac:dyDescent="0.35">
      <c r="A18" s="40">
        <v>63</v>
      </c>
      <c r="B18" s="50" t="s">
        <v>20</v>
      </c>
      <c r="C18" s="75">
        <v>0</v>
      </c>
      <c r="D18" s="75">
        <v>0</v>
      </c>
      <c r="E18" s="75">
        <v>17</v>
      </c>
      <c r="F18" s="75">
        <v>40</v>
      </c>
      <c r="G18" s="75">
        <v>171</v>
      </c>
      <c r="H18" s="76">
        <v>228</v>
      </c>
      <c r="I18" s="73"/>
      <c r="J18" s="73"/>
      <c r="K18" s="73"/>
      <c r="L18" s="73"/>
      <c r="M18" s="73"/>
    </row>
    <row r="19" spans="1:13" s="50" customFormat="1" ht="14" x14ac:dyDescent="0.35">
      <c r="A19" s="40">
        <v>64</v>
      </c>
      <c r="B19" s="50" t="s">
        <v>21</v>
      </c>
      <c r="C19" s="75">
        <v>0</v>
      </c>
      <c r="D19" s="75">
        <v>6</v>
      </c>
      <c r="E19" s="75">
        <v>32.25</v>
      </c>
      <c r="F19" s="75">
        <v>64</v>
      </c>
      <c r="G19" s="75">
        <v>287.5</v>
      </c>
      <c r="H19" s="76">
        <v>389.75</v>
      </c>
      <c r="I19" s="73"/>
      <c r="J19" s="73"/>
      <c r="K19" s="73"/>
      <c r="L19" s="73"/>
      <c r="M19" s="73"/>
    </row>
    <row r="20" spans="1:13" s="50" customFormat="1" ht="14" x14ac:dyDescent="0.35">
      <c r="A20" s="40">
        <v>65</v>
      </c>
      <c r="B20" s="50" t="s">
        <v>22</v>
      </c>
      <c r="C20" s="75">
        <v>0</v>
      </c>
      <c r="D20" s="75">
        <v>3.55</v>
      </c>
      <c r="E20" s="75">
        <v>20.350000000000001</v>
      </c>
      <c r="F20" s="75">
        <v>28.6</v>
      </c>
      <c r="G20" s="75">
        <v>149.94999999999999</v>
      </c>
      <c r="H20" s="76">
        <v>202.45</v>
      </c>
      <c r="I20" s="73"/>
      <c r="J20" s="73"/>
      <c r="K20" s="73"/>
      <c r="L20" s="73"/>
      <c r="M20" s="73"/>
    </row>
    <row r="21" spans="1:13" s="50" customFormat="1" ht="14" x14ac:dyDescent="0.35">
      <c r="A21" s="40">
        <v>67</v>
      </c>
      <c r="B21" s="50" t="s">
        <v>25</v>
      </c>
      <c r="C21" s="75">
        <v>0</v>
      </c>
      <c r="D21" s="75">
        <v>2.25</v>
      </c>
      <c r="E21" s="75">
        <v>45.5</v>
      </c>
      <c r="F21" s="75">
        <v>87.13</v>
      </c>
      <c r="G21" s="75">
        <v>441.88</v>
      </c>
      <c r="H21" s="76">
        <v>576.76</v>
      </c>
      <c r="I21" s="73"/>
      <c r="J21" s="73"/>
      <c r="K21" s="73"/>
      <c r="L21" s="73"/>
      <c r="M21" s="73"/>
    </row>
    <row r="22" spans="1:13" s="50" customFormat="1" ht="14" x14ac:dyDescent="0.35">
      <c r="A22" s="40">
        <v>68</v>
      </c>
      <c r="B22" s="50" t="s">
        <v>57</v>
      </c>
      <c r="C22" s="75">
        <v>0</v>
      </c>
      <c r="D22" s="75">
        <v>0</v>
      </c>
      <c r="E22" s="75">
        <v>17.7</v>
      </c>
      <c r="F22" s="75">
        <v>55.25</v>
      </c>
      <c r="G22" s="75">
        <v>179.83</v>
      </c>
      <c r="H22" s="76">
        <v>252.78000000000003</v>
      </c>
      <c r="I22" s="73"/>
      <c r="J22" s="73"/>
      <c r="K22" s="73"/>
      <c r="L22" s="73"/>
      <c r="M22" s="73"/>
    </row>
    <row r="23" spans="1:13" s="50" customFormat="1" ht="14" x14ac:dyDescent="0.35">
      <c r="A23" s="40">
        <v>69</v>
      </c>
      <c r="B23" s="50" t="s">
        <v>27</v>
      </c>
      <c r="C23" s="117">
        <v>0</v>
      </c>
      <c r="D23" s="117">
        <v>0</v>
      </c>
      <c r="E23" s="117">
        <v>21.2</v>
      </c>
      <c r="F23" s="117">
        <v>34</v>
      </c>
      <c r="G23" s="117">
        <v>133</v>
      </c>
      <c r="H23" s="118">
        <v>188.2</v>
      </c>
      <c r="I23" s="73" t="s">
        <v>146</v>
      </c>
      <c r="J23" s="73"/>
      <c r="K23" s="73"/>
      <c r="L23" s="73"/>
      <c r="M23" s="73"/>
    </row>
    <row r="24" spans="1:13" s="50" customFormat="1" ht="14" x14ac:dyDescent="0.35">
      <c r="A24" s="40">
        <v>70</v>
      </c>
      <c r="B24" s="50" t="s">
        <v>28</v>
      </c>
      <c r="C24" s="75">
        <v>0</v>
      </c>
      <c r="D24" s="75">
        <v>0</v>
      </c>
      <c r="E24" s="75">
        <v>20</v>
      </c>
      <c r="F24" s="75">
        <v>39</v>
      </c>
      <c r="G24" s="75">
        <v>288</v>
      </c>
      <c r="H24" s="76">
        <v>347</v>
      </c>
      <c r="I24" s="73"/>
      <c r="J24" s="73"/>
      <c r="K24" s="73"/>
      <c r="L24" s="73"/>
      <c r="M24" s="73"/>
    </row>
    <row r="25" spans="1:13" s="50" customFormat="1" ht="14" x14ac:dyDescent="0.35">
      <c r="A25" s="40">
        <v>71</v>
      </c>
      <c r="B25" s="50" t="s">
        <v>58</v>
      </c>
      <c r="C25" s="75">
        <v>0</v>
      </c>
      <c r="D25" s="75">
        <v>0</v>
      </c>
      <c r="E25" s="75">
        <v>9.83</v>
      </c>
      <c r="F25" s="75">
        <v>15.59</v>
      </c>
      <c r="G25" s="75">
        <v>83.29</v>
      </c>
      <c r="H25" s="76">
        <v>108.71000000000001</v>
      </c>
      <c r="I25" s="73"/>
      <c r="J25" s="73"/>
      <c r="K25" s="73"/>
      <c r="L25" s="73"/>
      <c r="M25" s="73"/>
    </row>
    <row r="26" spans="1:13" s="50" customFormat="1" ht="14" x14ac:dyDescent="0.35">
      <c r="A26" s="40">
        <v>73</v>
      </c>
      <c r="B26" s="50" t="s">
        <v>31</v>
      </c>
      <c r="C26" s="75">
        <v>0</v>
      </c>
      <c r="D26" s="75">
        <v>0</v>
      </c>
      <c r="E26" s="75">
        <v>29</v>
      </c>
      <c r="F26" s="75">
        <v>78</v>
      </c>
      <c r="G26" s="75">
        <v>405</v>
      </c>
      <c r="H26" s="76">
        <v>512</v>
      </c>
      <c r="I26" s="73"/>
      <c r="J26" s="73"/>
      <c r="K26" s="73"/>
      <c r="L26" s="73"/>
      <c r="M26" s="73"/>
    </row>
    <row r="27" spans="1:13" s="50" customFormat="1" ht="14" x14ac:dyDescent="0.35">
      <c r="A27" s="40">
        <v>74</v>
      </c>
      <c r="B27" s="50" t="s">
        <v>32</v>
      </c>
      <c r="C27" s="75">
        <v>0</v>
      </c>
      <c r="D27" s="75">
        <v>0</v>
      </c>
      <c r="E27" s="75">
        <v>24</v>
      </c>
      <c r="F27" s="75">
        <v>73.5</v>
      </c>
      <c r="G27" s="75">
        <v>177</v>
      </c>
      <c r="H27" s="76">
        <v>274.5</v>
      </c>
      <c r="I27" s="73"/>
      <c r="J27" s="73"/>
      <c r="K27" s="73"/>
      <c r="L27" s="73"/>
      <c r="M27" s="73"/>
    </row>
    <row r="28" spans="1:13" s="50" customFormat="1" ht="14" x14ac:dyDescent="0.35">
      <c r="A28" s="40">
        <v>75</v>
      </c>
      <c r="B28" s="50" t="s">
        <v>33</v>
      </c>
      <c r="C28" s="75">
        <v>0</v>
      </c>
      <c r="D28" s="75">
        <v>0</v>
      </c>
      <c r="E28" s="75">
        <v>11</v>
      </c>
      <c r="F28" s="75">
        <v>25</v>
      </c>
      <c r="G28" s="75">
        <v>125</v>
      </c>
      <c r="H28" s="76">
        <v>161</v>
      </c>
      <c r="I28" s="73"/>
      <c r="J28" s="73"/>
      <c r="K28" s="73"/>
      <c r="L28" s="73"/>
      <c r="M28" s="73"/>
    </row>
    <row r="29" spans="1:13" s="50" customFormat="1" ht="14" x14ac:dyDescent="0.35">
      <c r="A29" s="40">
        <v>76</v>
      </c>
      <c r="B29" s="50" t="s">
        <v>34</v>
      </c>
      <c r="C29" s="75">
        <v>0</v>
      </c>
      <c r="D29" s="75">
        <v>0</v>
      </c>
      <c r="E29" s="75">
        <v>39</v>
      </c>
      <c r="F29" s="75">
        <v>89</v>
      </c>
      <c r="G29" s="75">
        <v>330</v>
      </c>
      <c r="H29" s="76">
        <v>458</v>
      </c>
      <c r="I29" s="73"/>
      <c r="J29" s="73"/>
      <c r="K29" s="73"/>
      <c r="L29" s="73"/>
      <c r="M29" s="73"/>
    </row>
    <row r="30" spans="1:13" s="50" customFormat="1" ht="14" x14ac:dyDescent="0.35">
      <c r="A30" s="40">
        <v>79</v>
      </c>
      <c r="B30" s="50" t="s">
        <v>36</v>
      </c>
      <c r="C30" s="75">
        <v>0</v>
      </c>
      <c r="D30" s="75">
        <v>0</v>
      </c>
      <c r="E30" s="75">
        <v>41</v>
      </c>
      <c r="F30" s="75">
        <v>89</v>
      </c>
      <c r="G30" s="75">
        <v>364</v>
      </c>
      <c r="H30" s="76">
        <v>494</v>
      </c>
      <c r="I30" s="73"/>
      <c r="J30" s="73"/>
      <c r="K30" s="73"/>
      <c r="L30" s="73"/>
      <c r="M30" s="73"/>
    </row>
    <row r="31" spans="1:13" s="50" customFormat="1" ht="14" x14ac:dyDescent="0.35">
      <c r="A31" s="40"/>
      <c r="B31" s="67" t="s">
        <v>81</v>
      </c>
      <c r="C31" s="68" t="s">
        <v>64</v>
      </c>
      <c r="D31" s="68" t="s">
        <v>64</v>
      </c>
      <c r="E31" s="68" t="s">
        <v>64</v>
      </c>
      <c r="F31" s="68" t="s">
        <v>64</v>
      </c>
      <c r="G31" s="68" t="s">
        <v>64</v>
      </c>
      <c r="H31" s="68" t="s">
        <v>64</v>
      </c>
      <c r="I31" s="73"/>
      <c r="J31" s="73"/>
      <c r="K31" s="73"/>
      <c r="L31" s="73"/>
      <c r="M31" s="73"/>
    </row>
    <row r="32" spans="1:13" s="50" customFormat="1" ht="14" x14ac:dyDescent="0.35">
      <c r="A32" s="40">
        <v>80</v>
      </c>
      <c r="B32" s="50" t="s">
        <v>38</v>
      </c>
      <c r="C32" s="75">
        <v>0</v>
      </c>
      <c r="D32" s="75">
        <v>0</v>
      </c>
      <c r="E32" s="75">
        <v>29</v>
      </c>
      <c r="F32" s="75">
        <v>66</v>
      </c>
      <c r="G32" s="75">
        <v>216</v>
      </c>
      <c r="H32" s="76">
        <v>311</v>
      </c>
      <c r="I32" s="73"/>
      <c r="J32" s="73"/>
      <c r="K32" s="73"/>
      <c r="L32" s="73"/>
      <c r="M32" s="73"/>
    </row>
    <row r="33" spans="1:13" s="50" customFormat="1" ht="14" x14ac:dyDescent="0.35">
      <c r="A33" s="40">
        <v>81</v>
      </c>
      <c r="B33" s="50" t="s">
        <v>39</v>
      </c>
      <c r="C33" s="75">
        <v>0</v>
      </c>
      <c r="D33" s="75">
        <v>0</v>
      </c>
      <c r="E33" s="75">
        <v>9</v>
      </c>
      <c r="F33" s="75">
        <v>19.5</v>
      </c>
      <c r="G33" s="75">
        <v>161</v>
      </c>
      <c r="H33" s="76">
        <v>189.5</v>
      </c>
      <c r="I33" s="73"/>
      <c r="J33" s="73"/>
      <c r="K33" s="73"/>
      <c r="L33" s="73"/>
      <c r="M33" s="73"/>
    </row>
    <row r="34" spans="1:13" s="50" customFormat="1" ht="14" x14ac:dyDescent="0.35">
      <c r="A34" s="40">
        <v>83</v>
      </c>
      <c r="B34" s="50" t="s">
        <v>40</v>
      </c>
      <c r="C34" s="75">
        <v>0</v>
      </c>
      <c r="D34" s="75">
        <v>0</v>
      </c>
      <c r="E34" s="75">
        <v>14</v>
      </c>
      <c r="F34" s="75">
        <v>44</v>
      </c>
      <c r="G34" s="75">
        <v>132</v>
      </c>
      <c r="H34" s="76">
        <v>190</v>
      </c>
      <c r="I34" s="73"/>
      <c r="J34" s="73"/>
      <c r="K34" s="73"/>
      <c r="L34" s="73"/>
      <c r="M34" s="73"/>
    </row>
    <row r="35" spans="1:13" s="50" customFormat="1" ht="14" x14ac:dyDescent="0.35">
      <c r="A35" s="40">
        <v>84</v>
      </c>
      <c r="B35" s="50" t="s">
        <v>41</v>
      </c>
      <c r="C35" s="75">
        <v>0</v>
      </c>
      <c r="D35" s="75">
        <v>0</v>
      </c>
      <c r="E35" s="75">
        <v>16</v>
      </c>
      <c r="F35" s="75">
        <v>21.5</v>
      </c>
      <c r="G35" s="75">
        <v>92.5</v>
      </c>
      <c r="H35" s="76">
        <v>130</v>
      </c>
      <c r="I35" s="73"/>
      <c r="J35" s="73"/>
      <c r="K35" s="73"/>
      <c r="L35" s="73"/>
      <c r="M35" s="73"/>
    </row>
    <row r="36" spans="1:13" s="50" customFormat="1" ht="14" x14ac:dyDescent="0.35">
      <c r="A36" s="40">
        <v>85</v>
      </c>
      <c r="B36" s="50" t="s">
        <v>42</v>
      </c>
      <c r="C36" s="75">
        <v>0</v>
      </c>
      <c r="D36" s="75">
        <v>0</v>
      </c>
      <c r="E36" s="75">
        <v>22.25</v>
      </c>
      <c r="F36" s="75">
        <v>47.5</v>
      </c>
      <c r="G36" s="75">
        <v>198</v>
      </c>
      <c r="H36" s="76">
        <v>267.75</v>
      </c>
      <c r="I36" s="73"/>
      <c r="J36" s="73"/>
      <c r="K36" s="73"/>
      <c r="L36" s="73"/>
      <c r="M36" s="73"/>
    </row>
    <row r="37" spans="1:13" s="50" customFormat="1" ht="14" x14ac:dyDescent="0.35">
      <c r="A37" s="40">
        <v>87</v>
      </c>
      <c r="B37" s="50" t="s">
        <v>43</v>
      </c>
      <c r="C37" s="75">
        <v>0</v>
      </c>
      <c r="D37" s="75">
        <v>1</v>
      </c>
      <c r="E37" s="75">
        <v>21</v>
      </c>
      <c r="F37" s="75">
        <v>61</v>
      </c>
      <c r="G37" s="75">
        <v>244</v>
      </c>
      <c r="H37" s="76">
        <v>327</v>
      </c>
      <c r="I37" s="73"/>
      <c r="J37" s="73"/>
      <c r="K37" s="73"/>
      <c r="L37" s="73"/>
      <c r="M37" s="73"/>
    </row>
    <row r="38" spans="1:13" s="50" customFormat="1" ht="14" x14ac:dyDescent="0.35">
      <c r="A38" s="40">
        <v>90</v>
      </c>
      <c r="B38" s="50" t="s">
        <v>45</v>
      </c>
      <c r="C38" s="75">
        <v>0</v>
      </c>
      <c r="D38" s="75">
        <v>0</v>
      </c>
      <c r="E38" s="75">
        <v>26</v>
      </c>
      <c r="F38" s="75">
        <v>78</v>
      </c>
      <c r="G38" s="75">
        <v>337</v>
      </c>
      <c r="H38" s="76">
        <v>441</v>
      </c>
      <c r="I38" s="73"/>
      <c r="J38" s="73"/>
      <c r="K38" s="73"/>
      <c r="L38" s="73"/>
      <c r="M38" s="73"/>
    </row>
    <row r="39" spans="1:13" s="50" customFormat="1" ht="14" x14ac:dyDescent="0.35">
      <c r="A39" s="40">
        <v>91</v>
      </c>
      <c r="B39" s="50" t="s">
        <v>46</v>
      </c>
      <c r="C39" s="75">
        <v>0</v>
      </c>
      <c r="D39" s="75">
        <v>0</v>
      </c>
      <c r="E39" s="75">
        <v>36</v>
      </c>
      <c r="F39" s="75">
        <v>80</v>
      </c>
      <c r="G39" s="75">
        <v>319</v>
      </c>
      <c r="H39" s="76">
        <v>435</v>
      </c>
      <c r="I39" s="73"/>
      <c r="J39" s="73"/>
      <c r="K39" s="73"/>
      <c r="L39" s="73"/>
      <c r="M39" s="73"/>
    </row>
    <row r="40" spans="1:13" s="50" customFormat="1" ht="14" x14ac:dyDescent="0.35">
      <c r="A40" s="40">
        <v>92</v>
      </c>
      <c r="B40" s="50" t="s">
        <v>47</v>
      </c>
      <c r="C40" s="75">
        <v>0</v>
      </c>
      <c r="D40" s="75">
        <v>0</v>
      </c>
      <c r="E40" s="75">
        <v>9.25</v>
      </c>
      <c r="F40" s="75">
        <v>20</v>
      </c>
      <c r="G40" s="75">
        <v>71</v>
      </c>
      <c r="H40" s="76">
        <v>100.25</v>
      </c>
      <c r="I40" s="73"/>
      <c r="J40" s="73"/>
      <c r="K40" s="73"/>
      <c r="L40" s="73"/>
      <c r="M40" s="73"/>
    </row>
    <row r="41" spans="1:13" s="50" customFormat="1" ht="14" x14ac:dyDescent="0.35">
      <c r="A41" s="40">
        <v>94</v>
      </c>
      <c r="B41" s="50" t="s">
        <v>49</v>
      </c>
      <c r="C41" s="75">
        <v>0</v>
      </c>
      <c r="D41" s="75">
        <v>0</v>
      </c>
      <c r="E41" s="75">
        <v>8.3333333333333321</v>
      </c>
      <c r="F41" s="75">
        <v>13.833333333333334</v>
      </c>
      <c r="G41" s="75">
        <v>57.666666666666657</v>
      </c>
      <c r="H41" s="76">
        <v>79.833333333333314</v>
      </c>
      <c r="I41" s="73"/>
      <c r="J41" s="73"/>
      <c r="K41" s="73"/>
      <c r="L41" s="73"/>
      <c r="M41" s="73"/>
    </row>
    <row r="42" spans="1:13" s="50" customFormat="1" ht="14" x14ac:dyDescent="0.35">
      <c r="A42" s="40">
        <v>96</v>
      </c>
      <c r="B42" s="50" t="s">
        <v>51</v>
      </c>
      <c r="C42" s="75">
        <v>0</v>
      </c>
      <c r="D42" s="75">
        <v>0</v>
      </c>
      <c r="E42" s="75">
        <v>14</v>
      </c>
      <c r="F42" s="75">
        <v>57.5</v>
      </c>
      <c r="G42" s="75">
        <v>153.5</v>
      </c>
      <c r="H42" s="76">
        <v>225</v>
      </c>
      <c r="I42" s="73"/>
      <c r="J42" s="73"/>
      <c r="K42" s="73"/>
      <c r="L42" s="73"/>
      <c r="M42" s="73"/>
    </row>
    <row r="43" spans="1:13" s="50" customFormat="1" ht="14" x14ac:dyDescent="0.35">
      <c r="A43" s="40">
        <v>72</v>
      </c>
      <c r="B43" s="50" t="s">
        <v>30</v>
      </c>
      <c r="C43" s="75">
        <v>0</v>
      </c>
      <c r="D43" s="75">
        <v>1</v>
      </c>
      <c r="E43" s="75">
        <v>6</v>
      </c>
      <c r="F43" s="75">
        <v>6</v>
      </c>
      <c r="G43" s="75">
        <v>24</v>
      </c>
      <c r="H43" s="76">
        <v>37</v>
      </c>
      <c r="I43" s="73"/>
      <c r="J43" s="73"/>
      <c r="K43" s="73"/>
      <c r="L43" s="73"/>
      <c r="M43" s="73"/>
    </row>
    <row r="44" spans="1:13" s="37" customFormat="1" ht="26.25" customHeight="1" x14ac:dyDescent="0.35">
      <c r="A44" s="38"/>
      <c r="B44" s="37" t="s">
        <v>59</v>
      </c>
      <c r="C44" s="39">
        <v>0</v>
      </c>
      <c r="D44" s="39">
        <v>0</v>
      </c>
      <c r="E44" s="39">
        <v>28.75</v>
      </c>
      <c r="F44" s="39">
        <v>33.700000000000003</v>
      </c>
      <c r="G44" s="39">
        <v>176.9</v>
      </c>
      <c r="H44" s="39">
        <v>239.35</v>
      </c>
      <c r="I44" s="73"/>
      <c r="J44" s="73"/>
      <c r="K44" s="73"/>
      <c r="L44" s="73"/>
      <c r="M44" s="73"/>
    </row>
    <row r="45" spans="1:13" s="50" customFormat="1" ht="14" x14ac:dyDescent="0.35">
      <c r="A45" s="40">
        <v>66</v>
      </c>
      <c r="B45" s="50" t="s">
        <v>24</v>
      </c>
      <c r="C45" s="75">
        <v>0</v>
      </c>
      <c r="D45" s="75">
        <v>0</v>
      </c>
      <c r="E45" s="75">
        <v>4</v>
      </c>
      <c r="F45" s="75">
        <v>3</v>
      </c>
      <c r="G45" s="75">
        <v>24</v>
      </c>
      <c r="H45" s="76">
        <v>31</v>
      </c>
      <c r="I45" s="73"/>
      <c r="J45" s="73"/>
      <c r="K45" s="73"/>
      <c r="L45" s="73"/>
      <c r="M45" s="73"/>
    </row>
    <row r="46" spans="1:13" s="50" customFormat="1" ht="14" x14ac:dyDescent="0.35">
      <c r="A46" s="40">
        <v>78</v>
      </c>
      <c r="B46" s="50" t="s">
        <v>35</v>
      </c>
      <c r="C46" s="75">
        <v>0</v>
      </c>
      <c r="D46" s="75">
        <v>0</v>
      </c>
      <c r="E46" s="75">
        <v>6.25</v>
      </c>
      <c r="F46" s="75">
        <v>0.7</v>
      </c>
      <c r="G46" s="75">
        <v>17.899999999999999</v>
      </c>
      <c r="H46" s="76">
        <v>24.849999999999998</v>
      </c>
      <c r="I46" s="73"/>
      <c r="J46" s="73"/>
      <c r="K46" s="73"/>
      <c r="L46" s="73"/>
      <c r="M46" s="73"/>
    </row>
    <row r="47" spans="1:13" s="50" customFormat="1" ht="14" x14ac:dyDescent="0.35">
      <c r="A47" s="40">
        <v>89</v>
      </c>
      <c r="B47" s="50" t="s">
        <v>44</v>
      </c>
      <c r="C47" s="75">
        <v>0</v>
      </c>
      <c r="D47" s="75">
        <v>0</v>
      </c>
      <c r="E47" s="75">
        <v>5.5</v>
      </c>
      <c r="F47" s="75">
        <v>14</v>
      </c>
      <c r="G47" s="75">
        <v>57</v>
      </c>
      <c r="H47" s="76">
        <v>76.5</v>
      </c>
      <c r="I47" s="73"/>
      <c r="J47" s="73"/>
      <c r="K47" s="73"/>
      <c r="L47" s="73"/>
      <c r="M47" s="73"/>
    </row>
    <row r="48" spans="1:13" s="50" customFormat="1" ht="14" x14ac:dyDescent="0.35">
      <c r="A48" s="40">
        <v>93</v>
      </c>
      <c r="B48" s="50" t="s">
        <v>60</v>
      </c>
      <c r="C48" s="75">
        <v>0</v>
      </c>
      <c r="D48" s="75">
        <v>0</v>
      </c>
      <c r="E48" s="75">
        <v>1</v>
      </c>
      <c r="F48" s="75">
        <v>2</v>
      </c>
      <c r="G48" s="75">
        <v>9</v>
      </c>
      <c r="H48" s="76">
        <v>12</v>
      </c>
      <c r="I48" s="73"/>
      <c r="J48" s="73"/>
      <c r="K48" s="73"/>
      <c r="L48" s="73"/>
      <c r="M48" s="73"/>
    </row>
    <row r="49" spans="1:13" s="50" customFormat="1" ht="14" x14ac:dyDescent="0.35">
      <c r="A49" s="40">
        <v>95</v>
      </c>
      <c r="B49" s="50" t="s">
        <v>50</v>
      </c>
      <c r="C49" s="75">
        <v>0</v>
      </c>
      <c r="D49" s="75">
        <v>0</v>
      </c>
      <c r="E49" s="75">
        <v>5</v>
      </c>
      <c r="F49" s="75">
        <v>1</v>
      </c>
      <c r="G49" s="75">
        <v>0</v>
      </c>
      <c r="H49" s="76">
        <v>6</v>
      </c>
      <c r="I49" s="73"/>
      <c r="J49" s="73"/>
      <c r="K49" s="73"/>
      <c r="L49" s="73"/>
      <c r="M49" s="73"/>
    </row>
    <row r="50" spans="1:13" s="50" customFormat="1" ht="14" x14ac:dyDescent="0.35">
      <c r="A50" s="40">
        <v>97</v>
      </c>
      <c r="B50" s="50" t="s">
        <v>52</v>
      </c>
      <c r="C50" s="75">
        <v>0</v>
      </c>
      <c r="D50" s="75">
        <v>0</v>
      </c>
      <c r="E50" s="75">
        <v>7</v>
      </c>
      <c r="F50" s="75">
        <v>13</v>
      </c>
      <c r="G50" s="75">
        <v>69</v>
      </c>
      <c r="H50" s="76">
        <v>89</v>
      </c>
      <c r="I50" s="73"/>
      <c r="J50" s="73"/>
      <c r="K50" s="73"/>
      <c r="L50" s="73"/>
      <c r="M50" s="73"/>
    </row>
    <row r="51" spans="1:13" s="50" customFormat="1" ht="14" x14ac:dyDescent="0.35">
      <c r="A51" s="50">
        <v>77</v>
      </c>
      <c r="B51" s="44" t="s">
        <v>23</v>
      </c>
      <c r="C51" s="78">
        <v>0</v>
      </c>
      <c r="D51" s="78">
        <v>0</v>
      </c>
      <c r="E51" s="78">
        <v>0</v>
      </c>
      <c r="F51" s="78">
        <v>0</v>
      </c>
      <c r="G51" s="78">
        <v>0</v>
      </c>
      <c r="H51" s="79">
        <v>0</v>
      </c>
      <c r="I51" s="73"/>
      <c r="J51" s="73"/>
      <c r="K51" s="73"/>
      <c r="L51" s="73"/>
      <c r="M51" s="73"/>
    </row>
    <row r="52" spans="1:13" s="81" customFormat="1" x14ac:dyDescent="0.35">
      <c r="A52" s="40"/>
      <c r="B52" s="69"/>
      <c r="C52" s="60"/>
      <c r="D52" s="60"/>
      <c r="E52" s="80"/>
      <c r="F52" s="80"/>
      <c r="G52" s="80"/>
      <c r="H52" s="80"/>
    </row>
    <row r="53" spans="1:13" s="50" customFormat="1" ht="12.5" x14ac:dyDescent="0.35">
      <c r="A53" s="40"/>
      <c r="F53" s="45"/>
    </row>
    <row r="54" spans="1:13" s="50" customFormat="1" ht="12.5" x14ac:dyDescent="0.35">
      <c r="A54" s="40"/>
      <c r="B54" s="63" t="s">
        <v>71</v>
      </c>
      <c r="C54" s="45"/>
    </row>
    <row r="55" spans="1:13" x14ac:dyDescent="0.35">
      <c r="G55" s="82"/>
      <c r="H55" s="82"/>
    </row>
    <row r="56" spans="1:13" x14ac:dyDescent="0.35">
      <c r="F56" s="82"/>
    </row>
    <row r="57" spans="1:13" x14ac:dyDescent="0.35">
      <c r="B57" s="50" t="s">
        <v>18</v>
      </c>
      <c r="C57" s="75">
        <v>0</v>
      </c>
      <c r="D57" s="75">
        <v>0</v>
      </c>
      <c r="E57" s="75">
        <v>30.25</v>
      </c>
      <c r="F57" s="75">
        <v>61.27</v>
      </c>
      <c r="G57" s="75">
        <v>202.23</v>
      </c>
      <c r="H57" s="76">
        <v>293.75</v>
      </c>
    </row>
    <row r="58" spans="1:13" x14ac:dyDescent="0.35">
      <c r="B58" s="50" t="s">
        <v>53</v>
      </c>
      <c r="C58" s="75">
        <v>0</v>
      </c>
      <c r="D58" s="75">
        <v>0</v>
      </c>
      <c r="E58" s="75">
        <v>18</v>
      </c>
      <c r="F58" s="75">
        <v>42</v>
      </c>
      <c r="G58" s="75">
        <v>167</v>
      </c>
      <c r="H58" s="76">
        <v>227</v>
      </c>
    </row>
  </sheetData>
  <mergeCells count="1">
    <mergeCell ref="B1:H1"/>
  </mergeCells>
  <pageMargins left="0.37" right="0.24" top="0.55000000000000004" bottom="1" header="0.5" footer="0.5"/>
  <pageSetup paperSize="9" scale="8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FF0000"/>
  </sheetPr>
  <dimension ref="A1:Q62"/>
  <sheetViews>
    <sheetView showGridLines="0" zoomScale="85" zoomScaleNormal="85" workbookViewId="0">
      <pane xSplit="2" ySplit="2" topLeftCell="C20" activePane="bottomRight" state="frozen"/>
      <selection activeCell="A4" sqref="A4:H4"/>
      <selection pane="topRight" activeCell="A4" sqref="A4:H4"/>
      <selection pane="bottomLeft" activeCell="A4" sqref="A4:H4"/>
      <selection pane="bottomRight" activeCell="A4" sqref="A4:H4"/>
    </sheetView>
  </sheetViews>
  <sheetFormatPr defaultRowHeight="15.5" x14ac:dyDescent="0.35"/>
  <cols>
    <col min="1" max="1" width="3.453125" style="27" hidden="1" customWidth="1"/>
    <col min="2" max="2" width="25.26953125" style="51" customWidth="1"/>
    <col min="3" max="8" width="13" style="51" customWidth="1"/>
    <col min="9" max="256" width="9.1796875" style="51"/>
    <col min="257" max="257" width="0" style="51" hidden="1" customWidth="1"/>
    <col min="258" max="258" width="25.26953125" style="51" customWidth="1"/>
    <col min="259" max="264" width="13" style="51" customWidth="1"/>
    <col min="265" max="512" width="9.1796875" style="51"/>
    <col min="513" max="513" width="0" style="51" hidden="1" customWidth="1"/>
    <col min="514" max="514" width="25.26953125" style="51" customWidth="1"/>
    <col min="515" max="520" width="13" style="51" customWidth="1"/>
    <col min="521" max="768" width="9.1796875" style="51"/>
    <col min="769" max="769" width="0" style="51" hidden="1" customWidth="1"/>
    <col min="770" max="770" width="25.26953125" style="51" customWidth="1"/>
    <col min="771" max="776" width="13" style="51" customWidth="1"/>
    <col min="777" max="1024" width="9.1796875" style="51"/>
    <col min="1025" max="1025" width="0" style="51" hidden="1" customWidth="1"/>
    <col min="1026" max="1026" width="25.26953125" style="51" customWidth="1"/>
    <col min="1027" max="1032" width="13" style="51" customWidth="1"/>
    <col min="1033" max="1280" width="9.1796875" style="51"/>
    <col min="1281" max="1281" width="0" style="51" hidden="1" customWidth="1"/>
    <col min="1282" max="1282" width="25.26953125" style="51" customWidth="1"/>
    <col min="1283" max="1288" width="13" style="51" customWidth="1"/>
    <col min="1289" max="1536" width="9.1796875" style="51"/>
    <col min="1537" max="1537" width="0" style="51" hidden="1" customWidth="1"/>
    <col min="1538" max="1538" width="25.26953125" style="51" customWidth="1"/>
    <col min="1539" max="1544" width="13" style="51" customWidth="1"/>
    <col min="1545" max="1792" width="9.1796875" style="51"/>
    <col min="1793" max="1793" width="0" style="51" hidden="1" customWidth="1"/>
    <col min="1794" max="1794" width="25.26953125" style="51" customWidth="1"/>
    <col min="1795" max="1800" width="13" style="51" customWidth="1"/>
    <col min="1801" max="2048" width="9.1796875" style="51"/>
    <col min="2049" max="2049" width="0" style="51" hidden="1" customWidth="1"/>
    <col min="2050" max="2050" width="25.26953125" style="51" customWidth="1"/>
    <col min="2051" max="2056" width="13" style="51" customWidth="1"/>
    <col min="2057" max="2304" width="9.1796875" style="51"/>
    <col min="2305" max="2305" width="0" style="51" hidden="1" customWidth="1"/>
    <col min="2306" max="2306" width="25.26953125" style="51" customWidth="1"/>
    <col min="2307" max="2312" width="13" style="51" customWidth="1"/>
    <col min="2313" max="2560" width="9.1796875" style="51"/>
    <col min="2561" max="2561" width="0" style="51" hidden="1" customWidth="1"/>
    <col min="2562" max="2562" width="25.26953125" style="51" customWidth="1"/>
    <col min="2563" max="2568" width="13" style="51" customWidth="1"/>
    <col min="2569" max="2816" width="9.1796875" style="51"/>
    <col min="2817" max="2817" width="0" style="51" hidden="1" customWidth="1"/>
    <col min="2818" max="2818" width="25.26953125" style="51" customWidth="1"/>
    <col min="2819" max="2824" width="13" style="51" customWidth="1"/>
    <col min="2825" max="3072" width="9.1796875" style="51"/>
    <col min="3073" max="3073" width="0" style="51" hidden="1" customWidth="1"/>
    <col min="3074" max="3074" width="25.26953125" style="51" customWidth="1"/>
    <col min="3075" max="3080" width="13" style="51" customWidth="1"/>
    <col min="3081" max="3328" width="9.1796875" style="51"/>
    <col min="3329" max="3329" width="0" style="51" hidden="1" customWidth="1"/>
    <col min="3330" max="3330" width="25.26953125" style="51" customWidth="1"/>
    <col min="3331" max="3336" width="13" style="51" customWidth="1"/>
    <col min="3337" max="3584" width="9.1796875" style="51"/>
    <col min="3585" max="3585" width="0" style="51" hidden="1" customWidth="1"/>
    <col min="3586" max="3586" width="25.26953125" style="51" customWidth="1"/>
    <col min="3587" max="3592" width="13" style="51" customWidth="1"/>
    <col min="3593" max="3840" width="9.1796875" style="51"/>
    <col min="3841" max="3841" width="0" style="51" hidden="1" customWidth="1"/>
    <col min="3842" max="3842" width="25.26953125" style="51" customWidth="1"/>
    <col min="3843" max="3848" width="13" style="51" customWidth="1"/>
    <col min="3849" max="4096" width="9.1796875" style="51"/>
    <col min="4097" max="4097" width="0" style="51" hidden="1" customWidth="1"/>
    <col min="4098" max="4098" width="25.26953125" style="51" customWidth="1"/>
    <col min="4099" max="4104" width="13" style="51" customWidth="1"/>
    <col min="4105" max="4352" width="9.1796875" style="51"/>
    <col min="4353" max="4353" width="0" style="51" hidden="1" customWidth="1"/>
    <col min="4354" max="4354" width="25.26953125" style="51" customWidth="1"/>
    <col min="4355" max="4360" width="13" style="51" customWidth="1"/>
    <col min="4361" max="4608" width="9.1796875" style="51"/>
    <col min="4609" max="4609" width="0" style="51" hidden="1" customWidth="1"/>
    <col min="4610" max="4610" width="25.26953125" style="51" customWidth="1"/>
    <col min="4611" max="4616" width="13" style="51" customWidth="1"/>
    <col min="4617" max="4864" width="9.1796875" style="51"/>
    <col min="4865" max="4865" width="0" style="51" hidden="1" customWidth="1"/>
    <col min="4866" max="4866" width="25.26953125" style="51" customWidth="1"/>
    <col min="4867" max="4872" width="13" style="51" customWidth="1"/>
    <col min="4873" max="5120" width="9.1796875" style="51"/>
    <col min="5121" max="5121" width="0" style="51" hidden="1" customWidth="1"/>
    <col min="5122" max="5122" width="25.26953125" style="51" customWidth="1"/>
    <col min="5123" max="5128" width="13" style="51" customWidth="1"/>
    <col min="5129" max="5376" width="9.1796875" style="51"/>
    <col min="5377" max="5377" width="0" style="51" hidden="1" customWidth="1"/>
    <col min="5378" max="5378" width="25.26953125" style="51" customWidth="1"/>
    <col min="5379" max="5384" width="13" style="51" customWidth="1"/>
    <col min="5385" max="5632" width="9.1796875" style="51"/>
    <col min="5633" max="5633" width="0" style="51" hidden="1" customWidth="1"/>
    <col min="5634" max="5634" width="25.26953125" style="51" customWidth="1"/>
    <col min="5635" max="5640" width="13" style="51" customWidth="1"/>
    <col min="5641" max="5888" width="9.1796875" style="51"/>
    <col min="5889" max="5889" width="0" style="51" hidden="1" customWidth="1"/>
    <col min="5890" max="5890" width="25.26953125" style="51" customWidth="1"/>
    <col min="5891" max="5896" width="13" style="51" customWidth="1"/>
    <col min="5897" max="6144" width="9.1796875" style="51"/>
    <col min="6145" max="6145" width="0" style="51" hidden="1" customWidth="1"/>
    <col min="6146" max="6146" width="25.26953125" style="51" customWidth="1"/>
    <col min="6147" max="6152" width="13" style="51" customWidth="1"/>
    <col min="6153" max="6400" width="9.1796875" style="51"/>
    <col min="6401" max="6401" width="0" style="51" hidden="1" customWidth="1"/>
    <col min="6402" max="6402" width="25.26953125" style="51" customWidth="1"/>
    <col min="6403" max="6408" width="13" style="51" customWidth="1"/>
    <col min="6409" max="6656" width="9.1796875" style="51"/>
    <col min="6657" max="6657" width="0" style="51" hidden="1" customWidth="1"/>
    <col min="6658" max="6658" width="25.26953125" style="51" customWidth="1"/>
    <col min="6659" max="6664" width="13" style="51" customWidth="1"/>
    <col min="6665" max="6912" width="9.1796875" style="51"/>
    <col min="6913" max="6913" width="0" style="51" hidden="1" customWidth="1"/>
    <col min="6914" max="6914" width="25.26953125" style="51" customWidth="1"/>
    <col min="6915" max="6920" width="13" style="51" customWidth="1"/>
    <col min="6921" max="7168" width="9.1796875" style="51"/>
    <col min="7169" max="7169" width="0" style="51" hidden="1" customWidth="1"/>
    <col min="7170" max="7170" width="25.26953125" style="51" customWidth="1"/>
    <col min="7171" max="7176" width="13" style="51" customWidth="1"/>
    <col min="7177" max="7424" width="9.1796875" style="51"/>
    <col min="7425" max="7425" width="0" style="51" hidden="1" customWidth="1"/>
    <col min="7426" max="7426" width="25.26953125" style="51" customWidth="1"/>
    <col min="7427" max="7432" width="13" style="51" customWidth="1"/>
    <col min="7433" max="7680" width="9.1796875" style="51"/>
    <col min="7681" max="7681" width="0" style="51" hidden="1" customWidth="1"/>
    <col min="7682" max="7682" width="25.26953125" style="51" customWidth="1"/>
    <col min="7683" max="7688" width="13" style="51" customWidth="1"/>
    <col min="7689" max="7936" width="9.1796875" style="51"/>
    <col min="7937" max="7937" width="0" style="51" hidden="1" customWidth="1"/>
    <col min="7938" max="7938" width="25.26953125" style="51" customWidth="1"/>
    <col min="7939" max="7944" width="13" style="51" customWidth="1"/>
    <col min="7945" max="8192" width="9.1796875" style="51"/>
    <col min="8193" max="8193" width="0" style="51" hidden="1" customWidth="1"/>
    <col min="8194" max="8194" width="25.26953125" style="51" customWidth="1"/>
    <col min="8195" max="8200" width="13" style="51" customWidth="1"/>
    <col min="8201" max="8448" width="9.1796875" style="51"/>
    <col min="8449" max="8449" width="0" style="51" hidden="1" customWidth="1"/>
    <col min="8450" max="8450" width="25.26953125" style="51" customWidth="1"/>
    <col min="8451" max="8456" width="13" style="51" customWidth="1"/>
    <col min="8457" max="8704" width="9.1796875" style="51"/>
    <col min="8705" max="8705" width="0" style="51" hidden="1" customWidth="1"/>
    <col min="8706" max="8706" width="25.26953125" style="51" customWidth="1"/>
    <col min="8707" max="8712" width="13" style="51" customWidth="1"/>
    <col min="8713" max="8960" width="9.1796875" style="51"/>
    <col min="8961" max="8961" width="0" style="51" hidden="1" customWidth="1"/>
    <col min="8962" max="8962" width="25.26953125" style="51" customWidth="1"/>
    <col min="8963" max="8968" width="13" style="51" customWidth="1"/>
    <col min="8969" max="9216" width="9.1796875" style="51"/>
    <col min="9217" max="9217" width="0" style="51" hidden="1" customWidth="1"/>
    <col min="9218" max="9218" width="25.26953125" style="51" customWidth="1"/>
    <col min="9219" max="9224" width="13" style="51" customWidth="1"/>
    <col min="9225" max="9472" width="9.1796875" style="51"/>
    <col min="9473" max="9473" width="0" style="51" hidden="1" customWidth="1"/>
    <col min="9474" max="9474" width="25.26953125" style="51" customWidth="1"/>
    <col min="9475" max="9480" width="13" style="51" customWidth="1"/>
    <col min="9481" max="9728" width="9.1796875" style="51"/>
    <col min="9729" max="9729" width="0" style="51" hidden="1" customWidth="1"/>
    <col min="9730" max="9730" width="25.26953125" style="51" customWidth="1"/>
    <col min="9731" max="9736" width="13" style="51" customWidth="1"/>
    <col min="9737" max="9984" width="9.1796875" style="51"/>
    <col min="9985" max="9985" width="0" style="51" hidden="1" customWidth="1"/>
    <col min="9986" max="9986" width="25.26953125" style="51" customWidth="1"/>
    <col min="9987" max="9992" width="13" style="51" customWidth="1"/>
    <col min="9993" max="10240" width="9.1796875" style="51"/>
    <col min="10241" max="10241" width="0" style="51" hidden="1" customWidth="1"/>
    <col min="10242" max="10242" width="25.26953125" style="51" customWidth="1"/>
    <col min="10243" max="10248" width="13" style="51" customWidth="1"/>
    <col min="10249" max="10496" width="9.1796875" style="51"/>
    <col min="10497" max="10497" width="0" style="51" hidden="1" customWidth="1"/>
    <col min="10498" max="10498" width="25.26953125" style="51" customWidth="1"/>
    <col min="10499" max="10504" width="13" style="51" customWidth="1"/>
    <col min="10505" max="10752" width="9.1796875" style="51"/>
    <col min="10753" max="10753" width="0" style="51" hidden="1" customWidth="1"/>
    <col min="10754" max="10754" width="25.26953125" style="51" customWidth="1"/>
    <col min="10755" max="10760" width="13" style="51" customWidth="1"/>
    <col min="10761" max="11008" width="9.1796875" style="51"/>
    <col min="11009" max="11009" width="0" style="51" hidden="1" customWidth="1"/>
    <col min="11010" max="11010" width="25.26953125" style="51" customWidth="1"/>
    <col min="11011" max="11016" width="13" style="51" customWidth="1"/>
    <col min="11017" max="11264" width="9.1796875" style="51"/>
    <col min="11265" max="11265" width="0" style="51" hidden="1" customWidth="1"/>
    <col min="11266" max="11266" width="25.26953125" style="51" customWidth="1"/>
    <col min="11267" max="11272" width="13" style="51" customWidth="1"/>
    <col min="11273" max="11520" width="9.1796875" style="51"/>
    <col min="11521" max="11521" width="0" style="51" hidden="1" customWidth="1"/>
    <col min="11522" max="11522" width="25.26953125" style="51" customWidth="1"/>
    <col min="11523" max="11528" width="13" style="51" customWidth="1"/>
    <col min="11529" max="11776" width="9.1796875" style="51"/>
    <col min="11777" max="11777" width="0" style="51" hidden="1" customWidth="1"/>
    <col min="11778" max="11778" width="25.26953125" style="51" customWidth="1"/>
    <col min="11779" max="11784" width="13" style="51" customWidth="1"/>
    <col min="11785" max="12032" width="9.1796875" style="51"/>
    <col min="12033" max="12033" width="0" style="51" hidden="1" customWidth="1"/>
    <col min="12034" max="12034" width="25.26953125" style="51" customWidth="1"/>
    <col min="12035" max="12040" width="13" style="51" customWidth="1"/>
    <col min="12041" max="12288" width="9.1796875" style="51"/>
    <col min="12289" max="12289" width="0" style="51" hidden="1" customWidth="1"/>
    <col min="12290" max="12290" width="25.26953125" style="51" customWidth="1"/>
    <col min="12291" max="12296" width="13" style="51" customWidth="1"/>
    <col min="12297" max="12544" width="9.1796875" style="51"/>
    <col min="12545" max="12545" width="0" style="51" hidden="1" customWidth="1"/>
    <col min="12546" max="12546" width="25.26953125" style="51" customWidth="1"/>
    <col min="12547" max="12552" width="13" style="51" customWidth="1"/>
    <col min="12553" max="12800" width="9.1796875" style="51"/>
    <col min="12801" max="12801" width="0" style="51" hidden="1" customWidth="1"/>
    <col min="12802" max="12802" width="25.26953125" style="51" customWidth="1"/>
    <col min="12803" max="12808" width="13" style="51" customWidth="1"/>
    <col min="12809" max="13056" width="9.1796875" style="51"/>
    <col min="13057" max="13057" width="0" style="51" hidden="1" customWidth="1"/>
    <col min="13058" max="13058" width="25.26953125" style="51" customWidth="1"/>
    <col min="13059" max="13064" width="13" style="51" customWidth="1"/>
    <col min="13065" max="13312" width="9.1796875" style="51"/>
    <col min="13313" max="13313" width="0" style="51" hidden="1" customWidth="1"/>
    <col min="13314" max="13314" width="25.26953125" style="51" customWidth="1"/>
    <col min="13315" max="13320" width="13" style="51" customWidth="1"/>
    <col min="13321" max="13568" width="9.1796875" style="51"/>
    <col min="13569" max="13569" width="0" style="51" hidden="1" customWidth="1"/>
    <col min="13570" max="13570" width="25.26953125" style="51" customWidth="1"/>
    <col min="13571" max="13576" width="13" style="51" customWidth="1"/>
    <col min="13577" max="13824" width="9.1796875" style="51"/>
    <col min="13825" max="13825" width="0" style="51" hidden="1" customWidth="1"/>
    <col min="13826" max="13826" width="25.26953125" style="51" customWidth="1"/>
    <col min="13827" max="13832" width="13" style="51" customWidth="1"/>
    <col min="13833" max="14080" width="9.1796875" style="51"/>
    <col min="14081" max="14081" width="0" style="51" hidden="1" customWidth="1"/>
    <col min="14082" max="14082" width="25.26953125" style="51" customWidth="1"/>
    <col min="14083" max="14088" width="13" style="51" customWidth="1"/>
    <col min="14089" max="14336" width="9.1796875" style="51"/>
    <col min="14337" max="14337" width="0" style="51" hidden="1" customWidth="1"/>
    <col min="14338" max="14338" width="25.26953125" style="51" customWidth="1"/>
    <col min="14339" max="14344" width="13" style="51" customWidth="1"/>
    <col min="14345" max="14592" width="9.1796875" style="51"/>
    <col min="14593" max="14593" width="0" style="51" hidden="1" customWidth="1"/>
    <col min="14594" max="14594" width="25.26953125" style="51" customWidth="1"/>
    <col min="14595" max="14600" width="13" style="51" customWidth="1"/>
    <col min="14601" max="14848" width="9.1796875" style="51"/>
    <col min="14849" max="14849" width="0" style="51" hidden="1" customWidth="1"/>
    <col min="14850" max="14850" width="25.26953125" style="51" customWidth="1"/>
    <col min="14851" max="14856" width="13" style="51" customWidth="1"/>
    <col min="14857" max="15104" width="9.1796875" style="51"/>
    <col min="15105" max="15105" width="0" style="51" hidden="1" customWidth="1"/>
    <col min="15106" max="15106" width="25.26953125" style="51" customWidth="1"/>
    <col min="15107" max="15112" width="13" style="51" customWidth="1"/>
    <col min="15113" max="15360" width="9.1796875" style="51"/>
    <col min="15361" max="15361" width="0" style="51" hidden="1" customWidth="1"/>
    <col min="15362" max="15362" width="25.26953125" style="51" customWidth="1"/>
    <col min="15363" max="15368" width="13" style="51" customWidth="1"/>
    <col min="15369" max="15616" width="9.1796875" style="51"/>
    <col min="15617" max="15617" width="0" style="51" hidden="1" customWidth="1"/>
    <col min="15618" max="15618" width="25.26953125" style="51" customWidth="1"/>
    <col min="15619" max="15624" width="13" style="51" customWidth="1"/>
    <col min="15625" max="15872" width="9.1796875" style="51"/>
    <col min="15873" max="15873" width="0" style="51" hidden="1" customWidth="1"/>
    <col min="15874" max="15874" width="25.26953125" style="51" customWidth="1"/>
    <col min="15875" max="15880" width="13" style="51" customWidth="1"/>
    <col min="15881" max="16128" width="9.1796875" style="51"/>
    <col min="16129" max="16129" width="0" style="51" hidden="1" customWidth="1"/>
    <col min="16130" max="16130" width="25.26953125" style="51" customWidth="1"/>
    <col min="16131" max="16136" width="13" style="51" customWidth="1"/>
    <col min="16137" max="16384" width="9.1796875" style="51"/>
  </cols>
  <sheetData>
    <row r="1" spans="1:17" ht="39.75" customHeight="1" x14ac:dyDescent="0.35">
      <c r="B1" s="152" t="s">
        <v>83</v>
      </c>
      <c r="C1" s="153"/>
      <c r="D1" s="153"/>
      <c r="E1" s="153"/>
      <c r="F1" s="153"/>
      <c r="G1" s="153"/>
      <c r="H1" s="154"/>
    </row>
    <row r="2" spans="1:17" ht="30" customHeight="1" x14ac:dyDescent="0.35">
      <c r="C2" s="21" t="s">
        <v>74</v>
      </c>
      <c r="D2" s="21" t="s">
        <v>75</v>
      </c>
      <c r="E2" s="21" t="s">
        <v>76</v>
      </c>
      <c r="F2" s="21" t="s">
        <v>77</v>
      </c>
      <c r="G2" s="21" t="s">
        <v>78</v>
      </c>
      <c r="H2" s="22" t="s">
        <v>1</v>
      </c>
    </row>
    <row r="3" spans="1:17" s="20" customFormat="1" ht="26.25" customHeight="1" x14ac:dyDescent="0.35">
      <c r="A3" s="25"/>
      <c r="B3" s="23" t="s">
        <v>80</v>
      </c>
      <c r="C3" s="53">
        <f t="shared" ref="C3:H3" si="0">C4+C44</f>
        <v>17</v>
      </c>
      <c r="D3" s="53">
        <f t="shared" si="0"/>
        <v>57</v>
      </c>
      <c r="E3" s="53">
        <f t="shared" si="0"/>
        <v>220</v>
      </c>
      <c r="F3" s="53">
        <f t="shared" si="0"/>
        <v>258.375</v>
      </c>
      <c r="G3" s="53">
        <f t="shared" si="0"/>
        <v>567.83999999999992</v>
      </c>
      <c r="H3" s="53">
        <f t="shared" si="0"/>
        <v>1120.2150000000001</v>
      </c>
      <c r="I3" s="24"/>
      <c r="J3" s="24"/>
      <c r="K3" s="24"/>
      <c r="L3" s="24"/>
      <c r="M3" s="24"/>
      <c r="N3" s="24"/>
      <c r="O3" s="24"/>
      <c r="P3" s="24"/>
      <c r="Q3" s="24"/>
    </row>
    <row r="4" spans="1:17" s="23" customFormat="1" ht="26.25" customHeight="1" x14ac:dyDescent="0.35">
      <c r="A4" s="25"/>
      <c r="B4" s="23" t="s">
        <v>55</v>
      </c>
      <c r="C4" s="54">
        <f t="shared" ref="C4:H4" si="1">SUM(C5:C43)</f>
        <v>13</v>
      </c>
      <c r="D4" s="54">
        <f t="shared" si="1"/>
        <v>51</v>
      </c>
      <c r="E4" s="54">
        <f t="shared" si="1"/>
        <v>169</v>
      </c>
      <c r="F4" s="54">
        <f t="shared" si="1"/>
        <v>191.75</v>
      </c>
      <c r="G4" s="54">
        <f t="shared" si="1"/>
        <v>398.34999999999997</v>
      </c>
      <c r="H4" s="54">
        <f t="shared" si="1"/>
        <v>823.10000000000014</v>
      </c>
      <c r="J4" s="24"/>
      <c r="K4" s="24"/>
      <c r="L4" s="24"/>
      <c r="M4" s="24"/>
      <c r="N4" s="24"/>
      <c r="O4" s="24"/>
    </row>
    <row r="5" spans="1:17" s="28" customFormat="1" ht="14" x14ac:dyDescent="0.35">
      <c r="A5" s="27">
        <v>51</v>
      </c>
      <c r="B5" s="28" t="s">
        <v>7</v>
      </c>
      <c r="C5" s="55">
        <v>2</v>
      </c>
      <c r="D5" s="55">
        <v>0</v>
      </c>
      <c r="E5" s="55">
        <v>7</v>
      </c>
      <c r="F5" s="55">
        <v>10.5</v>
      </c>
      <c r="G5" s="55">
        <v>14</v>
      </c>
      <c r="H5" s="56">
        <v>33.5</v>
      </c>
      <c r="J5" s="24"/>
      <c r="K5" s="24"/>
      <c r="L5" s="24"/>
      <c r="M5" s="24"/>
      <c r="N5" s="24"/>
      <c r="O5" s="24"/>
    </row>
    <row r="6" spans="1:17" s="28" customFormat="1" ht="14" x14ac:dyDescent="0.35">
      <c r="A6" s="27">
        <v>52</v>
      </c>
      <c r="B6" s="28" t="s">
        <v>8</v>
      </c>
      <c r="C6" s="55">
        <v>0</v>
      </c>
      <c r="D6" s="55">
        <v>3</v>
      </c>
      <c r="E6" s="55">
        <v>6</v>
      </c>
      <c r="F6" s="55">
        <v>4</v>
      </c>
      <c r="G6" s="55">
        <v>9</v>
      </c>
      <c r="H6" s="56">
        <v>22</v>
      </c>
      <c r="J6" s="24"/>
      <c r="K6" s="24"/>
      <c r="L6" s="24"/>
      <c r="M6" s="24"/>
      <c r="N6" s="24"/>
      <c r="O6" s="24"/>
    </row>
    <row r="7" spans="1:17" s="28" customFormat="1" ht="14" x14ac:dyDescent="0.35">
      <c r="A7" s="27">
        <v>86</v>
      </c>
      <c r="B7" s="28" t="s">
        <v>9</v>
      </c>
      <c r="C7" s="55">
        <v>0</v>
      </c>
      <c r="D7" s="55">
        <v>1</v>
      </c>
      <c r="E7" s="55">
        <v>6</v>
      </c>
      <c r="F7" s="55">
        <v>8</v>
      </c>
      <c r="G7" s="55">
        <v>17</v>
      </c>
      <c r="H7" s="56">
        <v>32</v>
      </c>
      <c r="J7" s="24"/>
      <c r="K7" s="24"/>
      <c r="L7" s="24"/>
      <c r="M7" s="24"/>
      <c r="N7" s="24"/>
      <c r="O7" s="24"/>
    </row>
    <row r="8" spans="1:17" s="28" customFormat="1" ht="14" x14ac:dyDescent="0.35">
      <c r="A8" s="27">
        <v>53</v>
      </c>
      <c r="B8" s="28" t="s">
        <v>10</v>
      </c>
      <c r="C8" s="55">
        <v>1</v>
      </c>
      <c r="D8" s="55">
        <v>1</v>
      </c>
      <c r="E8" s="55">
        <v>5</v>
      </c>
      <c r="F8" s="55">
        <v>4</v>
      </c>
      <c r="G8" s="55">
        <v>4.5999999999999996</v>
      </c>
      <c r="H8" s="56">
        <v>15.6</v>
      </c>
      <c r="J8" s="24"/>
      <c r="K8" s="24"/>
      <c r="L8" s="24"/>
      <c r="M8" s="24"/>
      <c r="N8" s="24"/>
      <c r="O8" s="24"/>
    </row>
    <row r="9" spans="1:17" s="28" customFormat="1" ht="14" x14ac:dyDescent="0.35">
      <c r="A9" s="27">
        <v>54</v>
      </c>
      <c r="B9" s="28" t="s">
        <v>11</v>
      </c>
      <c r="C9" s="55">
        <v>1</v>
      </c>
      <c r="D9" s="55">
        <v>2</v>
      </c>
      <c r="E9" s="55">
        <v>5</v>
      </c>
      <c r="F9" s="55">
        <v>12</v>
      </c>
      <c r="G9" s="55">
        <v>20</v>
      </c>
      <c r="H9" s="56">
        <v>40</v>
      </c>
      <c r="J9" s="24"/>
      <c r="K9" s="24"/>
      <c r="L9" s="24"/>
      <c r="M9" s="24"/>
      <c r="N9" s="24"/>
      <c r="O9" s="24"/>
    </row>
    <row r="10" spans="1:17" s="28" customFormat="1" ht="14" x14ac:dyDescent="0.35">
      <c r="A10" s="27">
        <v>55</v>
      </c>
      <c r="B10" s="28" t="s">
        <v>12</v>
      </c>
      <c r="C10" s="55">
        <v>0</v>
      </c>
      <c r="D10" s="55">
        <v>0</v>
      </c>
      <c r="E10" s="55">
        <v>0</v>
      </c>
      <c r="F10" s="55">
        <v>0</v>
      </c>
      <c r="G10" s="55">
        <v>0</v>
      </c>
      <c r="H10" s="56">
        <v>0</v>
      </c>
      <c r="J10" s="24"/>
      <c r="K10" s="24"/>
      <c r="L10" s="24"/>
      <c r="M10" s="24"/>
      <c r="N10" s="24"/>
      <c r="O10" s="24"/>
    </row>
    <row r="11" spans="1:17" s="28" customFormat="1" ht="14" x14ac:dyDescent="0.35">
      <c r="A11" s="27">
        <v>56</v>
      </c>
      <c r="B11" s="28" t="s">
        <v>13</v>
      </c>
      <c r="C11" s="55">
        <v>0</v>
      </c>
      <c r="D11" s="55">
        <v>0</v>
      </c>
      <c r="E11" s="55">
        <v>4</v>
      </c>
      <c r="F11" s="55">
        <v>10.5</v>
      </c>
      <c r="G11" s="55">
        <v>7.5</v>
      </c>
      <c r="H11" s="56">
        <v>22</v>
      </c>
      <c r="J11" s="24"/>
      <c r="K11" s="24"/>
      <c r="L11" s="24"/>
      <c r="M11" s="24"/>
      <c r="N11" s="24"/>
      <c r="O11" s="24"/>
    </row>
    <row r="12" spans="1:17" s="28" customFormat="1" ht="14" x14ac:dyDescent="0.35">
      <c r="A12" s="27">
        <v>57</v>
      </c>
      <c r="B12" s="28" t="s">
        <v>14</v>
      </c>
      <c r="C12" s="55">
        <v>0</v>
      </c>
      <c r="D12" s="55">
        <v>1</v>
      </c>
      <c r="E12" s="55">
        <v>5</v>
      </c>
      <c r="F12" s="55">
        <v>5</v>
      </c>
      <c r="G12" s="55">
        <v>5.07</v>
      </c>
      <c r="H12" s="56">
        <v>16.07</v>
      </c>
      <c r="J12" s="24"/>
      <c r="K12" s="24"/>
      <c r="L12" s="24"/>
      <c r="M12" s="24"/>
      <c r="N12" s="24"/>
      <c r="O12" s="24"/>
    </row>
    <row r="13" spans="1:17" s="28" customFormat="1" ht="14" x14ac:dyDescent="0.35">
      <c r="A13" s="27">
        <v>59</v>
      </c>
      <c r="B13" s="28" t="s">
        <v>15</v>
      </c>
      <c r="C13" s="55">
        <v>0</v>
      </c>
      <c r="D13" s="55">
        <v>0</v>
      </c>
      <c r="E13" s="55">
        <v>0</v>
      </c>
      <c r="F13" s="55">
        <v>0</v>
      </c>
      <c r="G13" s="55">
        <v>0</v>
      </c>
      <c r="H13" s="56">
        <v>0</v>
      </c>
      <c r="J13" s="24"/>
      <c r="K13" s="24"/>
      <c r="L13" s="24"/>
      <c r="M13" s="24"/>
      <c r="N13" s="24"/>
      <c r="O13" s="24"/>
    </row>
    <row r="14" spans="1:17" s="28" customFormat="1" ht="14" x14ac:dyDescent="0.35">
      <c r="A14" s="27">
        <v>60</v>
      </c>
      <c r="B14" s="28" t="s">
        <v>16</v>
      </c>
      <c r="C14" s="55">
        <v>0</v>
      </c>
      <c r="D14" s="55">
        <v>1</v>
      </c>
      <c r="E14" s="55">
        <v>5</v>
      </c>
      <c r="F14" s="55">
        <v>4.5</v>
      </c>
      <c r="G14" s="55">
        <v>11.7</v>
      </c>
      <c r="H14" s="56">
        <v>22.2</v>
      </c>
      <c r="J14" s="24"/>
      <c r="K14" s="24"/>
      <c r="L14" s="24"/>
      <c r="M14" s="24"/>
      <c r="N14" s="24"/>
      <c r="O14" s="24"/>
    </row>
    <row r="15" spans="1:17" s="28" customFormat="1" ht="14" x14ac:dyDescent="0.35">
      <c r="A15" s="27">
        <v>61</v>
      </c>
      <c r="B15" s="29" t="s">
        <v>56</v>
      </c>
      <c r="C15" s="55">
        <v>2</v>
      </c>
      <c r="D15" s="55">
        <v>1</v>
      </c>
      <c r="E15" s="55">
        <v>7</v>
      </c>
      <c r="F15" s="55">
        <v>11</v>
      </c>
      <c r="G15" s="55">
        <v>18.130000000000003</v>
      </c>
      <c r="H15" s="56">
        <v>39.130000000000003</v>
      </c>
      <c r="J15" s="24"/>
      <c r="K15" s="24"/>
      <c r="L15" s="24"/>
      <c r="M15" s="24"/>
      <c r="N15" s="24"/>
      <c r="O15" s="24"/>
    </row>
    <row r="16" spans="1:17" s="28" customFormat="1" ht="14" x14ac:dyDescent="0.35">
      <c r="A16" s="27">
        <v>62</v>
      </c>
      <c r="B16" s="28" t="s">
        <v>143</v>
      </c>
      <c r="C16" s="55">
        <f>C61+C62</f>
        <v>0</v>
      </c>
      <c r="D16" s="55">
        <f t="shared" ref="D16:H16" si="2">D61+D62</f>
        <v>6</v>
      </c>
      <c r="E16" s="55">
        <f t="shared" si="2"/>
        <v>10.5</v>
      </c>
      <c r="F16" s="55">
        <f t="shared" si="2"/>
        <v>8</v>
      </c>
      <c r="G16" s="55">
        <f t="shared" si="2"/>
        <v>21</v>
      </c>
      <c r="H16" s="56">
        <f t="shared" si="2"/>
        <v>45.5</v>
      </c>
      <c r="J16" s="24"/>
      <c r="K16" s="24"/>
      <c r="L16" s="24"/>
      <c r="M16" s="24"/>
      <c r="N16" s="24"/>
      <c r="O16" s="24"/>
    </row>
    <row r="17" spans="1:15" s="28" customFormat="1" ht="14" x14ac:dyDescent="0.35">
      <c r="A17" s="27">
        <v>58</v>
      </c>
      <c r="B17" s="28" t="s">
        <v>19</v>
      </c>
      <c r="C17" s="55">
        <v>0</v>
      </c>
      <c r="D17" s="55">
        <v>1</v>
      </c>
      <c r="E17" s="55">
        <v>4</v>
      </c>
      <c r="F17" s="55">
        <v>4</v>
      </c>
      <c r="G17" s="55">
        <v>16.48</v>
      </c>
      <c r="H17" s="56">
        <v>25.48</v>
      </c>
      <c r="J17" s="24"/>
      <c r="K17" s="24"/>
      <c r="L17" s="24"/>
      <c r="M17" s="24"/>
      <c r="N17" s="24"/>
      <c r="O17" s="24"/>
    </row>
    <row r="18" spans="1:15" s="28" customFormat="1" ht="14" x14ac:dyDescent="0.35">
      <c r="A18" s="27">
        <v>63</v>
      </c>
      <c r="B18" s="28" t="s">
        <v>20</v>
      </c>
      <c r="C18" s="55">
        <v>1</v>
      </c>
      <c r="D18" s="55">
        <v>2</v>
      </c>
      <c r="E18" s="55">
        <v>5.5</v>
      </c>
      <c r="F18" s="55">
        <v>10</v>
      </c>
      <c r="G18" s="55">
        <v>24</v>
      </c>
      <c r="H18" s="56">
        <v>42.5</v>
      </c>
      <c r="J18" s="24"/>
      <c r="K18" s="24"/>
      <c r="L18" s="24"/>
      <c r="M18" s="24"/>
      <c r="N18" s="24"/>
      <c r="O18" s="24"/>
    </row>
    <row r="19" spans="1:15" s="28" customFormat="1" ht="14" x14ac:dyDescent="0.35">
      <c r="A19" s="27">
        <v>64</v>
      </c>
      <c r="B19" s="28" t="s">
        <v>21</v>
      </c>
      <c r="C19" s="119">
        <v>0</v>
      </c>
      <c r="D19" s="119">
        <v>0</v>
      </c>
      <c r="E19" s="119">
        <v>12</v>
      </c>
      <c r="F19" s="119">
        <v>11</v>
      </c>
      <c r="G19" s="119">
        <v>13</v>
      </c>
      <c r="H19" s="120">
        <v>36</v>
      </c>
      <c r="I19" s="73" t="s">
        <v>146</v>
      </c>
      <c r="J19" s="24"/>
      <c r="K19" s="24"/>
      <c r="L19" s="24"/>
      <c r="M19" s="24"/>
      <c r="N19" s="24"/>
      <c r="O19" s="24"/>
    </row>
    <row r="20" spans="1:15" s="28" customFormat="1" ht="14" x14ac:dyDescent="0.35">
      <c r="A20" s="27">
        <v>65</v>
      </c>
      <c r="B20" s="28" t="s">
        <v>22</v>
      </c>
      <c r="C20" s="55">
        <v>0</v>
      </c>
      <c r="D20" s="55">
        <v>0</v>
      </c>
      <c r="E20" s="55">
        <v>5</v>
      </c>
      <c r="F20" s="55">
        <v>4</v>
      </c>
      <c r="G20" s="55">
        <v>8.2899999999999991</v>
      </c>
      <c r="H20" s="56">
        <v>17.29</v>
      </c>
      <c r="J20" s="24"/>
      <c r="K20" s="24"/>
      <c r="L20" s="24"/>
      <c r="M20" s="24"/>
      <c r="N20" s="24"/>
      <c r="O20" s="24"/>
    </row>
    <row r="21" spans="1:15" s="28" customFormat="1" ht="14" x14ac:dyDescent="0.35">
      <c r="A21" s="27">
        <v>67</v>
      </c>
      <c r="B21" s="28" t="s">
        <v>25</v>
      </c>
      <c r="C21" s="55">
        <v>2</v>
      </c>
      <c r="D21" s="55">
        <v>2</v>
      </c>
      <c r="E21" s="55">
        <v>4.5</v>
      </c>
      <c r="F21" s="55">
        <v>9</v>
      </c>
      <c r="G21" s="55">
        <v>16.399999999999999</v>
      </c>
      <c r="H21" s="56">
        <v>33.9</v>
      </c>
      <c r="J21" s="24"/>
      <c r="K21" s="24"/>
      <c r="L21" s="24"/>
      <c r="M21" s="24"/>
      <c r="N21" s="24"/>
      <c r="O21" s="24"/>
    </row>
    <row r="22" spans="1:15" s="28" customFormat="1" ht="14" x14ac:dyDescent="0.35">
      <c r="A22" s="27">
        <v>68</v>
      </c>
      <c r="B22" s="28" t="s">
        <v>57</v>
      </c>
      <c r="C22" s="55">
        <v>0</v>
      </c>
      <c r="D22" s="55">
        <v>1</v>
      </c>
      <c r="E22" s="55">
        <v>2</v>
      </c>
      <c r="F22" s="55">
        <v>5.5</v>
      </c>
      <c r="G22" s="55">
        <v>11</v>
      </c>
      <c r="H22" s="56">
        <v>19.5</v>
      </c>
      <c r="J22" s="24"/>
      <c r="K22" s="24"/>
      <c r="L22" s="24"/>
      <c r="M22" s="24"/>
      <c r="N22" s="24"/>
      <c r="O22" s="24"/>
    </row>
    <row r="23" spans="1:15" s="28" customFormat="1" ht="14" x14ac:dyDescent="0.35">
      <c r="A23" s="27">
        <v>69</v>
      </c>
      <c r="B23" s="28" t="s">
        <v>27</v>
      </c>
      <c r="C23" s="119">
        <v>0</v>
      </c>
      <c r="D23" s="119">
        <v>1</v>
      </c>
      <c r="E23" s="119">
        <v>9</v>
      </c>
      <c r="F23" s="119">
        <v>3</v>
      </c>
      <c r="G23" s="119">
        <v>12</v>
      </c>
      <c r="H23" s="120">
        <v>25</v>
      </c>
      <c r="I23" s="73" t="s">
        <v>146</v>
      </c>
      <c r="J23" s="24"/>
      <c r="K23" s="24"/>
      <c r="L23" s="24"/>
      <c r="M23" s="24"/>
      <c r="N23" s="24"/>
      <c r="O23" s="24"/>
    </row>
    <row r="24" spans="1:15" s="28" customFormat="1" ht="14" x14ac:dyDescent="0.35">
      <c r="A24" s="27">
        <v>70</v>
      </c>
      <c r="B24" s="28" t="s">
        <v>28</v>
      </c>
      <c r="C24" s="55">
        <v>0</v>
      </c>
      <c r="D24" s="55">
        <v>1</v>
      </c>
      <c r="E24" s="55">
        <v>5</v>
      </c>
      <c r="F24" s="55">
        <v>7</v>
      </c>
      <c r="G24" s="55">
        <v>16</v>
      </c>
      <c r="H24" s="56">
        <v>29</v>
      </c>
      <c r="J24" s="24"/>
      <c r="K24" s="24"/>
      <c r="L24" s="24"/>
      <c r="M24" s="24"/>
      <c r="N24" s="24"/>
      <c r="O24" s="24"/>
    </row>
    <row r="25" spans="1:15" s="28" customFormat="1" ht="14" x14ac:dyDescent="0.35">
      <c r="A25" s="27">
        <v>71</v>
      </c>
      <c r="B25" s="28" t="s">
        <v>58</v>
      </c>
      <c r="C25" s="55">
        <v>0</v>
      </c>
      <c r="D25" s="55">
        <v>0</v>
      </c>
      <c r="E25" s="55">
        <v>0</v>
      </c>
      <c r="F25" s="55">
        <v>0</v>
      </c>
      <c r="G25" s="55">
        <v>0</v>
      </c>
      <c r="H25" s="56">
        <v>0</v>
      </c>
      <c r="J25" s="24"/>
      <c r="K25" s="24"/>
      <c r="L25" s="24"/>
      <c r="M25" s="24"/>
      <c r="N25" s="24"/>
      <c r="O25" s="24"/>
    </row>
    <row r="26" spans="1:15" s="28" customFormat="1" ht="14" x14ac:dyDescent="0.35">
      <c r="A26" s="27">
        <v>73</v>
      </c>
      <c r="B26" s="28" t="s">
        <v>31</v>
      </c>
      <c r="C26" s="55">
        <v>1</v>
      </c>
      <c r="D26" s="55">
        <v>3</v>
      </c>
      <c r="E26" s="55">
        <v>5</v>
      </c>
      <c r="F26" s="55">
        <v>9</v>
      </c>
      <c r="G26" s="55">
        <v>16</v>
      </c>
      <c r="H26" s="56">
        <v>34</v>
      </c>
      <c r="J26" s="24"/>
      <c r="K26" s="24"/>
      <c r="L26" s="24"/>
      <c r="M26" s="24"/>
      <c r="N26" s="24"/>
      <c r="O26" s="24"/>
    </row>
    <row r="27" spans="1:15" s="28" customFormat="1" ht="14" x14ac:dyDescent="0.35">
      <c r="A27" s="27">
        <v>74</v>
      </c>
      <c r="B27" s="28" t="s">
        <v>32</v>
      </c>
      <c r="C27" s="55">
        <v>0</v>
      </c>
      <c r="D27" s="55">
        <v>0</v>
      </c>
      <c r="E27" s="55">
        <v>0</v>
      </c>
      <c r="F27" s="55">
        <v>0</v>
      </c>
      <c r="G27" s="55">
        <v>0</v>
      </c>
      <c r="H27" s="56">
        <v>0</v>
      </c>
      <c r="J27" s="24"/>
      <c r="K27" s="24"/>
      <c r="L27" s="24"/>
      <c r="M27" s="24"/>
      <c r="N27" s="24"/>
      <c r="O27" s="24"/>
    </row>
    <row r="28" spans="1:15" s="28" customFormat="1" ht="14" x14ac:dyDescent="0.35">
      <c r="A28" s="27">
        <v>75</v>
      </c>
      <c r="B28" s="28" t="s">
        <v>33</v>
      </c>
      <c r="C28" s="55">
        <v>0</v>
      </c>
      <c r="D28" s="55">
        <v>2</v>
      </c>
      <c r="E28" s="55">
        <v>5</v>
      </c>
      <c r="F28" s="55">
        <v>9</v>
      </c>
      <c r="G28" s="55">
        <v>9.5</v>
      </c>
      <c r="H28" s="56">
        <v>25.5</v>
      </c>
      <c r="J28" s="24"/>
      <c r="K28" s="24"/>
      <c r="L28" s="24"/>
      <c r="M28" s="24"/>
      <c r="N28" s="24"/>
      <c r="O28" s="24"/>
    </row>
    <row r="29" spans="1:15" s="28" customFormat="1" ht="14" x14ac:dyDescent="0.35">
      <c r="A29" s="27">
        <v>76</v>
      </c>
      <c r="B29" s="28" t="s">
        <v>34</v>
      </c>
      <c r="C29" s="55">
        <v>0</v>
      </c>
      <c r="D29" s="55">
        <v>0</v>
      </c>
      <c r="E29" s="55">
        <v>1</v>
      </c>
      <c r="F29" s="55">
        <v>3</v>
      </c>
      <c r="G29" s="55">
        <v>3</v>
      </c>
      <c r="H29" s="56">
        <v>7</v>
      </c>
      <c r="J29" s="24"/>
      <c r="K29" s="24"/>
      <c r="L29" s="24"/>
      <c r="M29" s="24"/>
      <c r="N29" s="24"/>
      <c r="O29" s="24"/>
    </row>
    <row r="30" spans="1:15" s="28" customFormat="1" ht="14" x14ac:dyDescent="0.35">
      <c r="A30" s="27">
        <v>79</v>
      </c>
      <c r="B30" s="28" t="s">
        <v>36</v>
      </c>
      <c r="C30" s="55">
        <v>0</v>
      </c>
      <c r="D30" s="55">
        <v>1</v>
      </c>
      <c r="E30" s="55">
        <v>5</v>
      </c>
      <c r="F30" s="55">
        <v>4</v>
      </c>
      <c r="G30" s="55">
        <v>10.85</v>
      </c>
      <c r="H30" s="56">
        <v>20.85</v>
      </c>
      <c r="J30" s="24"/>
      <c r="K30" s="24"/>
      <c r="L30" s="24"/>
      <c r="M30" s="24"/>
      <c r="N30" s="24"/>
      <c r="O30" s="24"/>
    </row>
    <row r="31" spans="1:15" s="28" customFormat="1" ht="14" x14ac:dyDescent="0.35">
      <c r="A31" s="27"/>
      <c r="B31" s="67" t="s">
        <v>81</v>
      </c>
      <c r="C31" s="55">
        <v>1</v>
      </c>
      <c r="D31" s="55">
        <v>6</v>
      </c>
      <c r="E31" s="55">
        <v>12</v>
      </c>
      <c r="F31" s="55">
        <v>0</v>
      </c>
      <c r="G31" s="55">
        <v>37</v>
      </c>
      <c r="H31" s="55">
        <v>56</v>
      </c>
      <c r="J31" s="24"/>
      <c r="K31" s="24"/>
      <c r="L31" s="24"/>
      <c r="M31" s="24"/>
      <c r="N31" s="24"/>
      <c r="O31" s="24"/>
    </row>
    <row r="32" spans="1:15" s="28" customFormat="1" ht="14" x14ac:dyDescent="0.35">
      <c r="A32" s="27">
        <v>80</v>
      </c>
      <c r="B32" s="28" t="s">
        <v>38</v>
      </c>
      <c r="C32" s="55">
        <v>0</v>
      </c>
      <c r="D32" s="55">
        <v>2</v>
      </c>
      <c r="E32" s="55">
        <v>4</v>
      </c>
      <c r="F32" s="55">
        <v>4</v>
      </c>
      <c r="G32" s="55">
        <v>10</v>
      </c>
      <c r="H32" s="56">
        <v>20</v>
      </c>
      <c r="J32" s="24"/>
      <c r="K32" s="24"/>
      <c r="L32" s="24"/>
      <c r="M32" s="24"/>
      <c r="N32" s="24"/>
      <c r="O32" s="24"/>
    </row>
    <row r="33" spans="1:15" s="28" customFormat="1" ht="14" x14ac:dyDescent="0.35">
      <c r="A33" s="27">
        <v>81</v>
      </c>
      <c r="B33" s="28" t="s">
        <v>39</v>
      </c>
      <c r="C33" s="55">
        <v>0</v>
      </c>
      <c r="D33" s="55">
        <v>1</v>
      </c>
      <c r="E33" s="55">
        <v>4</v>
      </c>
      <c r="F33" s="55">
        <v>4</v>
      </c>
      <c r="G33" s="55">
        <v>9.8800000000000008</v>
      </c>
      <c r="H33" s="56">
        <v>18.880000000000003</v>
      </c>
      <c r="J33" s="24"/>
      <c r="K33" s="24"/>
      <c r="L33" s="24"/>
      <c r="M33" s="24"/>
      <c r="N33" s="24"/>
      <c r="O33" s="24"/>
    </row>
    <row r="34" spans="1:15" s="28" customFormat="1" ht="14" x14ac:dyDescent="0.35">
      <c r="A34" s="27">
        <v>83</v>
      </c>
      <c r="B34" s="28" t="s">
        <v>40</v>
      </c>
      <c r="C34" s="55">
        <v>0</v>
      </c>
      <c r="D34" s="55">
        <v>0</v>
      </c>
      <c r="E34" s="55">
        <v>4</v>
      </c>
      <c r="F34" s="55">
        <v>3.75</v>
      </c>
      <c r="G34" s="55">
        <v>8</v>
      </c>
      <c r="H34" s="56">
        <v>15.75</v>
      </c>
      <c r="J34" s="24"/>
      <c r="K34" s="24"/>
      <c r="L34" s="24"/>
      <c r="M34" s="24"/>
      <c r="N34" s="24"/>
      <c r="O34" s="24"/>
    </row>
    <row r="35" spans="1:15" s="28" customFormat="1" ht="14" x14ac:dyDescent="0.35">
      <c r="A35" s="27">
        <v>84</v>
      </c>
      <c r="B35" s="28" t="s">
        <v>41</v>
      </c>
      <c r="C35" s="55">
        <v>1</v>
      </c>
      <c r="D35" s="55">
        <v>2</v>
      </c>
      <c r="E35" s="55">
        <v>4</v>
      </c>
      <c r="F35" s="55">
        <v>7</v>
      </c>
      <c r="G35" s="55">
        <v>13.5</v>
      </c>
      <c r="H35" s="56">
        <v>27.5</v>
      </c>
      <c r="J35" s="24"/>
      <c r="K35" s="24"/>
      <c r="L35" s="24"/>
      <c r="M35" s="24"/>
      <c r="N35" s="24"/>
      <c r="O35" s="24"/>
    </row>
    <row r="36" spans="1:15" s="28" customFormat="1" ht="14" x14ac:dyDescent="0.35">
      <c r="A36" s="27">
        <v>85</v>
      </c>
      <c r="B36" s="28" t="s">
        <v>42</v>
      </c>
      <c r="C36" s="55">
        <v>0</v>
      </c>
      <c r="D36" s="55">
        <v>1</v>
      </c>
      <c r="E36" s="55">
        <v>5.5</v>
      </c>
      <c r="F36" s="55">
        <v>4</v>
      </c>
      <c r="G36" s="55">
        <v>8.4499999999999993</v>
      </c>
      <c r="H36" s="56">
        <v>18.95</v>
      </c>
      <c r="J36" s="24"/>
      <c r="K36" s="24"/>
      <c r="L36" s="24"/>
      <c r="M36" s="24"/>
      <c r="N36" s="24"/>
      <c r="O36" s="24"/>
    </row>
    <row r="37" spans="1:15" s="28" customFormat="1" ht="14" x14ac:dyDescent="0.35">
      <c r="A37" s="27">
        <v>87</v>
      </c>
      <c r="B37" s="28" t="s">
        <v>43</v>
      </c>
      <c r="C37" s="55">
        <v>0</v>
      </c>
      <c r="D37" s="55">
        <v>1</v>
      </c>
      <c r="E37" s="55">
        <v>4</v>
      </c>
      <c r="F37" s="55">
        <v>4</v>
      </c>
      <c r="G37" s="55">
        <v>9</v>
      </c>
      <c r="H37" s="56">
        <v>18</v>
      </c>
      <c r="J37" s="24"/>
      <c r="K37" s="24"/>
      <c r="L37" s="24"/>
      <c r="M37" s="24"/>
      <c r="N37" s="24"/>
      <c r="O37" s="24"/>
    </row>
    <row r="38" spans="1:15" s="28" customFormat="1" ht="14" x14ac:dyDescent="0.35">
      <c r="A38" s="27">
        <v>90</v>
      </c>
      <c r="B38" s="28" t="s">
        <v>45</v>
      </c>
      <c r="C38" s="55">
        <v>0</v>
      </c>
      <c r="D38" s="55">
        <v>0</v>
      </c>
      <c r="E38" s="55">
        <v>0</v>
      </c>
      <c r="F38" s="55">
        <v>0</v>
      </c>
      <c r="G38" s="55">
        <v>0</v>
      </c>
      <c r="H38" s="56">
        <v>0</v>
      </c>
      <c r="J38" s="24"/>
      <c r="K38" s="24"/>
      <c r="L38" s="24"/>
      <c r="M38" s="24"/>
      <c r="N38" s="24"/>
      <c r="O38" s="24"/>
    </row>
    <row r="39" spans="1:15" s="28" customFormat="1" ht="14" x14ac:dyDescent="0.35">
      <c r="A39" s="27">
        <v>91</v>
      </c>
      <c r="B39" s="28" t="s">
        <v>46</v>
      </c>
      <c r="C39" s="55">
        <v>0</v>
      </c>
      <c r="D39" s="55">
        <v>0</v>
      </c>
      <c r="E39" s="55">
        <v>0</v>
      </c>
      <c r="F39" s="55">
        <v>0</v>
      </c>
      <c r="G39" s="55">
        <v>0</v>
      </c>
      <c r="H39" s="56">
        <v>0</v>
      </c>
      <c r="J39" s="24"/>
      <c r="K39" s="24"/>
      <c r="L39" s="24"/>
      <c r="M39" s="24"/>
      <c r="N39" s="24"/>
      <c r="O39" s="24"/>
    </row>
    <row r="40" spans="1:15" s="28" customFormat="1" ht="14" x14ac:dyDescent="0.35">
      <c r="A40" s="27">
        <v>92</v>
      </c>
      <c r="B40" s="28" t="s">
        <v>47</v>
      </c>
      <c r="C40" s="55">
        <v>1</v>
      </c>
      <c r="D40" s="55">
        <v>3</v>
      </c>
      <c r="E40" s="55">
        <v>4</v>
      </c>
      <c r="F40" s="55">
        <v>6</v>
      </c>
      <c r="G40" s="55">
        <v>12.5</v>
      </c>
      <c r="H40" s="56">
        <v>26.5</v>
      </c>
      <c r="J40" s="24"/>
      <c r="K40" s="24"/>
      <c r="L40" s="24"/>
      <c r="M40" s="24"/>
      <c r="N40" s="24"/>
      <c r="O40" s="24"/>
    </row>
    <row r="41" spans="1:15" s="28" customFormat="1" ht="14" x14ac:dyDescent="0.35">
      <c r="A41" s="27">
        <v>94</v>
      </c>
      <c r="B41" s="28" t="s">
        <v>49</v>
      </c>
      <c r="C41" s="55">
        <v>0</v>
      </c>
      <c r="D41" s="55">
        <v>5</v>
      </c>
      <c r="E41" s="55">
        <v>4</v>
      </c>
      <c r="F41" s="55">
        <v>3</v>
      </c>
      <c r="G41" s="55">
        <v>5.5</v>
      </c>
      <c r="H41" s="56">
        <v>17.5</v>
      </c>
      <c r="J41" s="24"/>
      <c r="K41" s="24"/>
      <c r="L41" s="24"/>
      <c r="M41" s="24"/>
      <c r="N41" s="24"/>
      <c r="O41" s="24"/>
    </row>
    <row r="42" spans="1:15" s="28" customFormat="1" ht="14" x14ac:dyDescent="0.35">
      <c r="A42" s="27">
        <v>96</v>
      </c>
      <c r="B42" s="28" t="s">
        <v>51</v>
      </c>
      <c r="C42" s="55">
        <v>0</v>
      </c>
      <c r="D42" s="55">
        <v>0</v>
      </c>
      <c r="E42" s="55">
        <v>0</v>
      </c>
      <c r="F42" s="55">
        <v>0</v>
      </c>
      <c r="G42" s="55">
        <v>0</v>
      </c>
      <c r="H42" s="56">
        <v>0</v>
      </c>
      <c r="J42" s="24"/>
      <c r="K42" s="24"/>
      <c r="L42" s="24"/>
      <c r="M42" s="24"/>
      <c r="N42" s="24"/>
      <c r="O42" s="24"/>
    </row>
    <row r="43" spans="1:15" s="28" customFormat="1" ht="14" x14ac:dyDescent="0.35">
      <c r="A43" s="27">
        <v>72</v>
      </c>
      <c r="B43" s="28" t="s">
        <v>30</v>
      </c>
      <c r="C43" s="55">
        <v>0</v>
      </c>
      <c r="D43" s="55">
        <v>0</v>
      </c>
      <c r="E43" s="55">
        <v>0</v>
      </c>
      <c r="F43" s="55">
        <v>0</v>
      </c>
      <c r="G43" s="55">
        <v>0</v>
      </c>
      <c r="H43" s="56">
        <v>0</v>
      </c>
      <c r="J43" s="24"/>
      <c r="K43" s="24"/>
      <c r="L43" s="24"/>
      <c r="M43" s="24"/>
      <c r="N43" s="24"/>
      <c r="O43" s="24"/>
    </row>
    <row r="44" spans="1:15" s="23" customFormat="1" ht="26.25" customHeight="1" x14ac:dyDescent="0.35">
      <c r="A44" s="25"/>
      <c r="B44" s="23" t="s">
        <v>59</v>
      </c>
      <c r="C44" s="26">
        <v>4</v>
      </c>
      <c r="D44" s="26">
        <v>6</v>
      </c>
      <c r="E44" s="26">
        <v>51</v>
      </c>
      <c r="F44" s="26">
        <v>66.625</v>
      </c>
      <c r="G44" s="26">
        <v>169.49</v>
      </c>
      <c r="H44" s="26">
        <v>297.11500000000001</v>
      </c>
      <c r="J44" s="24"/>
      <c r="K44" s="24"/>
      <c r="L44" s="24"/>
      <c r="M44" s="24"/>
      <c r="N44" s="24"/>
      <c r="O44" s="24"/>
    </row>
    <row r="45" spans="1:15" s="28" customFormat="1" ht="14" x14ac:dyDescent="0.35">
      <c r="A45" s="27">
        <v>66</v>
      </c>
      <c r="B45" s="28" t="s">
        <v>24</v>
      </c>
      <c r="C45" s="55">
        <v>0</v>
      </c>
      <c r="D45" s="55">
        <v>0</v>
      </c>
      <c r="E45" s="55">
        <v>0</v>
      </c>
      <c r="F45" s="55">
        <v>0</v>
      </c>
      <c r="G45" s="55">
        <v>0</v>
      </c>
      <c r="H45" s="56">
        <v>0</v>
      </c>
      <c r="J45" s="24"/>
      <c r="K45" s="24"/>
      <c r="L45" s="24"/>
      <c r="M45" s="24"/>
      <c r="N45" s="24"/>
      <c r="O45" s="24"/>
    </row>
    <row r="46" spans="1:15" s="28" customFormat="1" ht="14" x14ac:dyDescent="0.35">
      <c r="A46" s="27">
        <v>78</v>
      </c>
      <c r="B46" s="28" t="s">
        <v>35</v>
      </c>
      <c r="C46" s="55">
        <v>1</v>
      </c>
      <c r="D46" s="55">
        <v>0</v>
      </c>
      <c r="E46" s="55">
        <v>9</v>
      </c>
      <c r="F46" s="55">
        <v>5</v>
      </c>
      <c r="G46" s="55">
        <v>19</v>
      </c>
      <c r="H46" s="56">
        <v>34</v>
      </c>
      <c r="J46" s="24"/>
      <c r="K46" s="24"/>
      <c r="L46" s="24"/>
      <c r="M46" s="24"/>
      <c r="N46" s="24"/>
      <c r="O46" s="24"/>
    </row>
    <row r="47" spans="1:15" s="28" customFormat="1" ht="14" x14ac:dyDescent="0.35">
      <c r="A47" s="27">
        <v>89</v>
      </c>
      <c r="B47" s="28" t="s">
        <v>44</v>
      </c>
      <c r="C47" s="55">
        <v>0</v>
      </c>
      <c r="D47" s="55">
        <v>1</v>
      </c>
      <c r="E47" s="55">
        <v>5</v>
      </c>
      <c r="F47" s="55">
        <v>11</v>
      </c>
      <c r="G47" s="55">
        <v>15.5</v>
      </c>
      <c r="H47" s="56">
        <v>32.5</v>
      </c>
      <c r="J47" s="24"/>
      <c r="K47" s="24"/>
      <c r="L47" s="24"/>
      <c r="M47" s="24"/>
      <c r="N47" s="24"/>
      <c r="O47" s="24"/>
    </row>
    <row r="48" spans="1:15" s="28" customFormat="1" ht="14" x14ac:dyDescent="0.35">
      <c r="A48" s="27">
        <v>93</v>
      </c>
      <c r="B48" s="28" t="s">
        <v>60</v>
      </c>
      <c r="C48" s="55">
        <v>0</v>
      </c>
      <c r="D48" s="55">
        <v>1</v>
      </c>
      <c r="E48" s="55">
        <v>6</v>
      </c>
      <c r="F48" s="55">
        <v>6.625</v>
      </c>
      <c r="G48" s="55">
        <v>17</v>
      </c>
      <c r="H48" s="56">
        <v>30.625</v>
      </c>
      <c r="J48" s="24"/>
      <c r="K48" s="24"/>
      <c r="L48" s="24"/>
      <c r="M48" s="24"/>
      <c r="N48" s="24"/>
      <c r="O48" s="24"/>
    </row>
    <row r="49" spans="1:15" s="28" customFormat="1" ht="14" x14ac:dyDescent="0.35">
      <c r="A49" s="27">
        <v>95</v>
      </c>
      <c r="B49" s="28" t="s">
        <v>50</v>
      </c>
      <c r="C49" s="55">
        <v>2</v>
      </c>
      <c r="D49" s="55">
        <v>2</v>
      </c>
      <c r="E49" s="55">
        <v>16</v>
      </c>
      <c r="F49" s="55">
        <v>13</v>
      </c>
      <c r="G49" s="55">
        <v>23.5</v>
      </c>
      <c r="H49" s="56">
        <v>56.5</v>
      </c>
      <c r="J49" s="24"/>
      <c r="K49" s="24"/>
      <c r="L49" s="24"/>
      <c r="M49" s="24"/>
      <c r="N49" s="24"/>
      <c r="O49" s="24"/>
    </row>
    <row r="50" spans="1:15" s="28" customFormat="1" ht="14" x14ac:dyDescent="0.35">
      <c r="A50" s="27">
        <v>97</v>
      </c>
      <c r="B50" s="28" t="s">
        <v>52</v>
      </c>
      <c r="C50" s="55">
        <v>0</v>
      </c>
      <c r="D50" s="55">
        <v>0</v>
      </c>
      <c r="E50" s="55">
        <v>9</v>
      </c>
      <c r="F50" s="55">
        <v>10</v>
      </c>
      <c r="G50" s="55">
        <v>21</v>
      </c>
      <c r="H50" s="56">
        <v>40</v>
      </c>
      <c r="J50" s="24"/>
      <c r="K50" s="24"/>
      <c r="L50" s="24"/>
      <c r="M50" s="24"/>
      <c r="N50" s="24"/>
      <c r="O50" s="24"/>
    </row>
    <row r="51" spans="1:15" s="28" customFormat="1" ht="14" x14ac:dyDescent="0.35">
      <c r="A51" s="27">
        <v>77</v>
      </c>
      <c r="B51" s="42" t="s">
        <v>23</v>
      </c>
      <c r="C51" s="57">
        <v>1</v>
      </c>
      <c r="D51" s="57">
        <v>2</v>
      </c>
      <c r="E51" s="57">
        <v>6</v>
      </c>
      <c r="F51" s="57">
        <v>21</v>
      </c>
      <c r="G51" s="57">
        <v>73.489999999999995</v>
      </c>
      <c r="H51" s="58">
        <v>103.49</v>
      </c>
      <c r="J51" s="24"/>
      <c r="K51" s="24"/>
      <c r="L51" s="24"/>
      <c r="M51" s="24"/>
      <c r="N51" s="24"/>
      <c r="O51" s="24"/>
    </row>
    <row r="52" spans="1:15" s="62" customFormat="1" x14ac:dyDescent="0.35">
      <c r="A52" s="27"/>
      <c r="B52" s="51"/>
      <c r="C52" s="60"/>
      <c r="D52" s="60"/>
      <c r="E52" s="61"/>
      <c r="F52" s="61"/>
      <c r="G52" s="61"/>
      <c r="H52" s="61"/>
    </row>
    <row r="53" spans="1:15" s="28" customFormat="1" ht="12.5" x14ac:dyDescent="0.35">
      <c r="A53" s="27"/>
      <c r="B53" s="63" t="s">
        <v>71</v>
      </c>
      <c r="C53" s="43"/>
    </row>
    <row r="54" spans="1:15" x14ac:dyDescent="0.35">
      <c r="G54" s="59"/>
      <c r="H54" s="59"/>
    </row>
    <row r="55" spans="1:15" x14ac:dyDescent="0.35">
      <c r="F55" s="59"/>
    </row>
    <row r="61" spans="1:15" x14ac:dyDescent="0.35">
      <c r="B61" s="28" t="s">
        <v>18</v>
      </c>
      <c r="C61" s="55">
        <v>0</v>
      </c>
      <c r="D61" s="55">
        <v>3</v>
      </c>
      <c r="E61" s="55">
        <v>5.5</v>
      </c>
      <c r="F61" s="55">
        <v>4</v>
      </c>
      <c r="G61" s="55">
        <v>13</v>
      </c>
      <c r="H61" s="56">
        <v>25.5</v>
      </c>
    </row>
    <row r="62" spans="1:15" x14ac:dyDescent="0.35">
      <c r="B62" s="28" t="s">
        <v>53</v>
      </c>
      <c r="C62" s="55">
        <v>0</v>
      </c>
      <c r="D62" s="55">
        <v>3</v>
      </c>
      <c r="E62" s="55">
        <v>5</v>
      </c>
      <c r="F62" s="55">
        <v>4</v>
      </c>
      <c r="G62" s="55">
        <v>8</v>
      </c>
      <c r="H62" s="56">
        <v>20</v>
      </c>
    </row>
  </sheetData>
  <mergeCells count="1">
    <mergeCell ref="B1:H1"/>
  </mergeCells>
  <pageMargins left="0.75" right="0.75" top="1" bottom="1" header="0.5" footer="0.5"/>
  <pageSetup paperSize="9" scale="8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theme="4"/>
    <pageSetUpPr fitToPage="1"/>
  </sheetPr>
  <dimension ref="A1:T56"/>
  <sheetViews>
    <sheetView showGridLines="0" zoomScale="85" zoomScaleNormal="85" workbookViewId="0">
      <pane xSplit="2" ySplit="2" topLeftCell="C15" activePane="bottomRight" state="frozen"/>
      <selection activeCell="A4" sqref="A4:H4"/>
      <selection pane="topRight" activeCell="A4" sqref="A4:H4"/>
      <selection pane="bottomLeft" activeCell="A4" sqref="A4:H4"/>
      <selection pane="bottomRight" activeCell="A4" sqref="A4:H4"/>
    </sheetView>
  </sheetViews>
  <sheetFormatPr defaultColWidth="9.1796875" defaultRowHeight="15.5" x14ac:dyDescent="0.35"/>
  <cols>
    <col min="1" max="1" width="3.453125" style="27" hidden="1" customWidth="1"/>
    <col min="2" max="2" width="22.7265625" style="51" customWidth="1"/>
    <col min="3" max="8" width="13" style="51" customWidth="1"/>
    <col min="9" max="10" width="13.54296875" style="51" customWidth="1"/>
    <col min="11" max="16384" width="9.1796875" style="51"/>
  </cols>
  <sheetData>
    <row r="1" spans="1:20" ht="39.75" customHeight="1" x14ac:dyDescent="0.35">
      <c r="B1" s="152" t="s">
        <v>79</v>
      </c>
      <c r="C1" s="153"/>
      <c r="D1" s="153"/>
      <c r="E1" s="153"/>
      <c r="F1" s="153"/>
      <c r="G1" s="153"/>
      <c r="H1" s="153"/>
      <c r="I1" s="153"/>
      <c r="J1" s="154"/>
    </row>
    <row r="2" spans="1:20" ht="30" customHeight="1" x14ac:dyDescent="0.35">
      <c r="B2" s="52"/>
      <c r="C2" s="21" t="s">
        <v>72</v>
      </c>
      <c r="D2" s="21" t="s">
        <v>73</v>
      </c>
      <c r="E2" s="21" t="s">
        <v>74</v>
      </c>
      <c r="F2" s="21" t="s">
        <v>75</v>
      </c>
      <c r="G2" s="21" t="s">
        <v>76</v>
      </c>
      <c r="H2" s="21" t="s">
        <v>77</v>
      </c>
      <c r="I2" s="21" t="s">
        <v>78</v>
      </c>
      <c r="J2" s="22" t="s">
        <v>1</v>
      </c>
    </row>
    <row r="3" spans="1:20" s="20" customFormat="1" ht="26.25" customHeight="1" x14ac:dyDescent="0.35">
      <c r="A3" s="25"/>
      <c r="B3" s="23" t="s">
        <v>80</v>
      </c>
      <c r="C3" s="53">
        <f t="shared" ref="C3:J3" si="0">C4+C44</f>
        <v>126</v>
      </c>
      <c r="D3" s="53">
        <f t="shared" si="0"/>
        <v>170.5</v>
      </c>
      <c r="E3" s="53">
        <f t="shared" si="0"/>
        <v>478.5</v>
      </c>
      <c r="F3" s="53">
        <f t="shared" si="0"/>
        <v>1279.4000000000001</v>
      </c>
      <c r="G3" s="53">
        <f t="shared" si="0"/>
        <v>3742.5099999999998</v>
      </c>
      <c r="H3" s="53">
        <f t="shared" si="0"/>
        <v>3419.88</v>
      </c>
      <c r="I3" s="53">
        <f t="shared" si="0"/>
        <v>14670.6183</v>
      </c>
      <c r="J3" s="53">
        <f t="shared" si="0"/>
        <v>23887.408299999999</v>
      </c>
      <c r="K3" s="24"/>
      <c r="L3" s="24"/>
      <c r="M3" s="24"/>
      <c r="N3" s="24"/>
      <c r="O3" s="24"/>
      <c r="P3" s="24"/>
      <c r="Q3" s="24"/>
      <c r="R3" s="24"/>
      <c r="S3" s="24"/>
      <c r="T3" s="24"/>
    </row>
    <row r="4" spans="1:20" s="23" customFormat="1" ht="26.25" customHeight="1" x14ac:dyDescent="0.35">
      <c r="A4" s="25"/>
      <c r="B4" s="23" t="s">
        <v>55</v>
      </c>
      <c r="C4" s="54">
        <f t="shared" ref="C4:J4" si="1">SUM(C5:C43)</f>
        <v>97</v>
      </c>
      <c r="D4" s="54">
        <f t="shared" si="1"/>
        <v>128.5</v>
      </c>
      <c r="E4" s="54">
        <f t="shared" si="1"/>
        <v>340.5</v>
      </c>
      <c r="F4" s="54">
        <f t="shared" si="1"/>
        <v>910.40000000000009</v>
      </c>
      <c r="G4" s="54">
        <f t="shared" si="1"/>
        <v>2161.7799999999997</v>
      </c>
      <c r="H4" s="54">
        <f t="shared" si="1"/>
        <v>2003.88</v>
      </c>
      <c r="I4" s="54">
        <f t="shared" si="1"/>
        <v>7558.9333000000006</v>
      </c>
      <c r="J4" s="54">
        <f t="shared" si="1"/>
        <v>13200.993299999998</v>
      </c>
      <c r="L4" s="24"/>
      <c r="M4" s="24"/>
      <c r="N4" s="24"/>
      <c r="O4" s="24"/>
      <c r="P4" s="24"/>
      <c r="Q4" s="24"/>
      <c r="R4" s="24"/>
      <c r="S4" s="24"/>
    </row>
    <row r="5" spans="1:20" s="28" customFormat="1" ht="14" x14ac:dyDescent="0.35">
      <c r="A5" s="27">
        <v>51</v>
      </c>
      <c r="B5" s="28" t="s">
        <v>7</v>
      </c>
      <c r="C5" s="55">
        <v>4</v>
      </c>
      <c r="D5" s="55">
        <v>3</v>
      </c>
      <c r="E5" s="55">
        <v>7</v>
      </c>
      <c r="F5" s="55">
        <v>19</v>
      </c>
      <c r="G5" s="55">
        <v>105.52</v>
      </c>
      <c r="H5" s="55">
        <v>45.5</v>
      </c>
      <c r="I5" s="55">
        <v>338.95</v>
      </c>
      <c r="J5" s="55">
        <v>522.97</v>
      </c>
      <c r="L5" s="24"/>
      <c r="M5" s="24"/>
      <c r="N5" s="24"/>
      <c r="O5" s="24"/>
      <c r="P5" s="24"/>
      <c r="Q5" s="24"/>
      <c r="R5" s="24"/>
      <c r="S5" s="24"/>
    </row>
    <row r="6" spans="1:20" s="28" customFormat="1" ht="14" x14ac:dyDescent="0.35">
      <c r="A6" s="27">
        <v>52</v>
      </c>
      <c r="B6" s="28" t="s">
        <v>8</v>
      </c>
      <c r="C6" s="55">
        <v>2</v>
      </c>
      <c r="D6" s="55">
        <v>5</v>
      </c>
      <c r="E6" s="55">
        <v>9</v>
      </c>
      <c r="F6" s="55">
        <v>13</v>
      </c>
      <c r="G6" s="55">
        <v>39</v>
      </c>
      <c r="H6" s="55">
        <v>47</v>
      </c>
      <c r="I6" s="55">
        <v>155</v>
      </c>
      <c r="J6" s="55">
        <v>270</v>
      </c>
      <c r="L6" s="24"/>
      <c r="M6" s="24"/>
      <c r="N6" s="24"/>
      <c r="O6" s="24"/>
      <c r="P6" s="24"/>
      <c r="Q6" s="24"/>
      <c r="R6" s="24"/>
      <c r="S6" s="24"/>
    </row>
    <row r="7" spans="1:20" s="28" customFormat="1" ht="14" x14ac:dyDescent="0.35">
      <c r="A7" s="27">
        <v>86</v>
      </c>
      <c r="B7" s="28" t="s">
        <v>9</v>
      </c>
      <c r="C7" s="55">
        <v>3</v>
      </c>
      <c r="D7" s="55">
        <v>4</v>
      </c>
      <c r="E7" s="55">
        <v>10</v>
      </c>
      <c r="F7" s="55">
        <v>26</v>
      </c>
      <c r="G7" s="55">
        <v>57</v>
      </c>
      <c r="H7" s="55">
        <v>68</v>
      </c>
      <c r="I7" s="55">
        <v>217</v>
      </c>
      <c r="J7" s="55">
        <v>385</v>
      </c>
      <c r="L7" s="24"/>
      <c r="M7" s="24"/>
      <c r="N7" s="24"/>
      <c r="O7" s="24"/>
      <c r="P7" s="24"/>
      <c r="Q7" s="24"/>
      <c r="R7" s="24"/>
      <c r="S7" s="24"/>
    </row>
    <row r="8" spans="1:20" s="28" customFormat="1" ht="14" x14ac:dyDescent="0.35">
      <c r="A8" s="27">
        <v>53</v>
      </c>
      <c r="B8" s="28" t="s">
        <v>10</v>
      </c>
      <c r="C8" s="55">
        <v>2</v>
      </c>
      <c r="D8" s="55">
        <v>4</v>
      </c>
      <c r="E8" s="55">
        <v>9</v>
      </c>
      <c r="F8" s="55">
        <v>21</v>
      </c>
      <c r="G8" s="55">
        <v>36</v>
      </c>
      <c r="H8" s="55">
        <v>44</v>
      </c>
      <c r="I8" s="55">
        <v>143</v>
      </c>
      <c r="J8" s="55">
        <v>259</v>
      </c>
      <c r="L8" s="24"/>
      <c r="M8" s="24"/>
      <c r="N8" s="24"/>
      <c r="O8" s="24"/>
      <c r="P8" s="24"/>
      <c r="Q8" s="24"/>
      <c r="R8" s="24"/>
      <c r="S8" s="24"/>
    </row>
    <row r="9" spans="1:20" s="28" customFormat="1" ht="14" x14ac:dyDescent="0.35">
      <c r="A9" s="27">
        <v>54</v>
      </c>
      <c r="B9" s="28" t="s">
        <v>11</v>
      </c>
      <c r="C9" s="55">
        <v>3</v>
      </c>
      <c r="D9" s="55">
        <v>3</v>
      </c>
      <c r="E9" s="55">
        <v>8</v>
      </c>
      <c r="F9" s="55">
        <v>26</v>
      </c>
      <c r="G9" s="55">
        <v>46</v>
      </c>
      <c r="H9" s="55">
        <v>23</v>
      </c>
      <c r="I9" s="55">
        <v>127.5</v>
      </c>
      <c r="J9" s="55">
        <v>236.5</v>
      </c>
      <c r="L9" s="24"/>
      <c r="M9" s="24"/>
      <c r="N9" s="24"/>
      <c r="O9" s="24"/>
      <c r="P9" s="24"/>
      <c r="Q9" s="24"/>
      <c r="R9" s="24"/>
      <c r="S9" s="24"/>
    </row>
    <row r="10" spans="1:20" s="28" customFormat="1" ht="14" x14ac:dyDescent="0.35">
      <c r="A10" s="27">
        <v>55</v>
      </c>
      <c r="B10" s="28" t="s">
        <v>12</v>
      </c>
      <c r="C10" s="55">
        <v>2</v>
      </c>
      <c r="D10" s="55">
        <v>3</v>
      </c>
      <c r="E10" s="55">
        <v>7</v>
      </c>
      <c r="F10" s="55">
        <v>28</v>
      </c>
      <c r="G10" s="55">
        <v>57</v>
      </c>
      <c r="H10" s="55">
        <v>59</v>
      </c>
      <c r="I10" s="55">
        <v>233.57</v>
      </c>
      <c r="J10" s="55">
        <v>389.57</v>
      </c>
      <c r="L10" s="24"/>
      <c r="M10" s="24"/>
      <c r="N10" s="24"/>
      <c r="O10" s="24"/>
      <c r="P10" s="24"/>
      <c r="Q10" s="24"/>
      <c r="R10" s="24"/>
      <c r="S10" s="24"/>
    </row>
    <row r="11" spans="1:20" s="28" customFormat="1" ht="14" x14ac:dyDescent="0.35">
      <c r="A11" s="27">
        <v>56</v>
      </c>
      <c r="B11" s="28" t="s">
        <v>13</v>
      </c>
      <c r="C11" s="55">
        <v>1</v>
      </c>
      <c r="D11" s="55">
        <v>3</v>
      </c>
      <c r="E11" s="55">
        <v>6</v>
      </c>
      <c r="F11" s="55">
        <v>11</v>
      </c>
      <c r="G11" s="55">
        <v>48</v>
      </c>
      <c r="H11" s="55">
        <v>46</v>
      </c>
      <c r="I11" s="55">
        <v>248</v>
      </c>
      <c r="J11" s="55">
        <v>363</v>
      </c>
      <c r="L11" s="24"/>
      <c r="M11" s="24"/>
      <c r="N11" s="24"/>
      <c r="O11" s="24"/>
      <c r="P11" s="24"/>
      <c r="Q11" s="24"/>
      <c r="R11" s="24"/>
      <c r="S11" s="24"/>
    </row>
    <row r="12" spans="1:20" s="28" customFormat="1" ht="14" x14ac:dyDescent="0.35">
      <c r="A12" s="27">
        <v>57</v>
      </c>
      <c r="B12" s="28" t="s">
        <v>14</v>
      </c>
      <c r="C12" s="55">
        <v>2</v>
      </c>
      <c r="D12" s="55">
        <v>3</v>
      </c>
      <c r="E12" s="55">
        <v>9</v>
      </c>
      <c r="F12" s="55">
        <v>16</v>
      </c>
      <c r="G12" s="55">
        <v>41</v>
      </c>
      <c r="H12" s="55">
        <v>22</v>
      </c>
      <c r="I12" s="55">
        <v>97</v>
      </c>
      <c r="J12" s="55">
        <v>190</v>
      </c>
      <c r="L12" s="24"/>
      <c r="M12" s="24"/>
      <c r="N12" s="24"/>
      <c r="O12" s="24"/>
      <c r="P12" s="24"/>
      <c r="Q12" s="24"/>
      <c r="R12" s="24"/>
      <c r="S12" s="24"/>
    </row>
    <row r="13" spans="1:20" s="28" customFormat="1" ht="14" x14ac:dyDescent="0.35">
      <c r="A13" s="27">
        <v>59</v>
      </c>
      <c r="B13" s="28" t="s">
        <v>15</v>
      </c>
      <c r="C13" s="55">
        <v>2</v>
      </c>
      <c r="D13" s="55">
        <v>2</v>
      </c>
      <c r="E13" s="55">
        <v>7</v>
      </c>
      <c r="F13" s="55">
        <v>12</v>
      </c>
      <c r="G13" s="55">
        <v>22</v>
      </c>
      <c r="H13" s="55">
        <v>38.380000000000003</v>
      </c>
      <c r="I13" s="55">
        <v>106.24</v>
      </c>
      <c r="J13" s="55">
        <v>189.62</v>
      </c>
      <c r="L13" s="24"/>
      <c r="M13" s="24"/>
      <c r="N13" s="24"/>
      <c r="O13" s="24"/>
      <c r="P13" s="24"/>
      <c r="Q13" s="24"/>
      <c r="R13" s="24"/>
      <c r="S13" s="24"/>
    </row>
    <row r="14" spans="1:20" s="28" customFormat="1" ht="14" x14ac:dyDescent="0.35">
      <c r="A14" s="27">
        <v>60</v>
      </c>
      <c r="B14" s="28" t="s">
        <v>16</v>
      </c>
      <c r="C14" s="55">
        <v>3</v>
      </c>
      <c r="D14" s="55">
        <v>4</v>
      </c>
      <c r="E14" s="55">
        <v>8</v>
      </c>
      <c r="F14" s="55">
        <v>22</v>
      </c>
      <c r="G14" s="55">
        <v>59</v>
      </c>
      <c r="H14" s="55">
        <v>58</v>
      </c>
      <c r="I14" s="55">
        <v>202</v>
      </c>
      <c r="J14" s="55">
        <v>356</v>
      </c>
      <c r="L14" s="24"/>
      <c r="M14" s="24"/>
      <c r="N14" s="24"/>
      <c r="O14" s="24"/>
      <c r="P14" s="24"/>
      <c r="Q14" s="24"/>
      <c r="R14" s="24"/>
      <c r="S14" s="24"/>
    </row>
    <row r="15" spans="1:20" s="28" customFormat="1" ht="14" x14ac:dyDescent="0.35">
      <c r="A15" s="27">
        <v>61</v>
      </c>
      <c r="B15" s="29" t="s">
        <v>56</v>
      </c>
      <c r="C15" s="55">
        <v>2</v>
      </c>
      <c r="D15" s="55">
        <v>7</v>
      </c>
      <c r="E15" s="55">
        <v>34</v>
      </c>
      <c r="F15" s="55">
        <v>56</v>
      </c>
      <c r="G15" s="55">
        <v>114.5</v>
      </c>
      <c r="H15" s="55">
        <v>93</v>
      </c>
      <c r="I15" s="55">
        <v>266</v>
      </c>
      <c r="J15" s="55">
        <v>572.5</v>
      </c>
      <c r="L15" s="24"/>
      <c r="M15" s="24"/>
      <c r="N15" s="24"/>
      <c r="O15" s="24"/>
      <c r="P15" s="24"/>
      <c r="Q15" s="24"/>
      <c r="R15" s="24"/>
      <c r="S15" s="24"/>
    </row>
    <row r="16" spans="1:20" s="28" customFormat="1" ht="14" x14ac:dyDescent="0.35">
      <c r="A16" s="27">
        <v>62</v>
      </c>
      <c r="B16" s="28" t="s">
        <v>18</v>
      </c>
      <c r="C16" s="55">
        <v>5</v>
      </c>
      <c r="D16" s="55">
        <v>4</v>
      </c>
      <c r="E16" s="55">
        <v>13</v>
      </c>
      <c r="F16" s="55">
        <v>37</v>
      </c>
      <c r="G16" s="55">
        <v>68</v>
      </c>
      <c r="H16" s="55">
        <v>66</v>
      </c>
      <c r="I16" s="55">
        <v>228</v>
      </c>
      <c r="J16" s="55">
        <v>421</v>
      </c>
      <c r="L16" s="24"/>
      <c r="M16" s="24"/>
      <c r="N16" s="24"/>
      <c r="O16" s="24"/>
      <c r="P16" s="24"/>
      <c r="Q16" s="24"/>
      <c r="R16" s="24"/>
      <c r="S16" s="24"/>
    </row>
    <row r="17" spans="1:19" s="28" customFormat="1" ht="14" x14ac:dyDescent="0.35">
      <c r="A17" s="27">
        <v>58</v>
      </c>
      <c r="B17" s="28" t="s">
        <v>19</v>
      </c>
      <c r="C17" s="55">
        <v>2</v>
      </c>
      <c r="D17" s="55">
        <v>4</v>
      </c>
      <c r="E17" s="55">
        <v>5</v>
      </c>
      <c r="F17" s="55">
        <v>26</v>
      </c>
      <c r="G17" s="55">
        <v>47</v>
      </c>
      <c r="H17" s="55">
        <v>49</v>
      </c>
      <c r="I17" s="55">
        <v>181</v>
      </c>
      <c r="J17" s="55">
        <v>314</v>
      </c>
      <c r="L17" s="24"/>
      <c r="M17" s="24"/>
      <c r="N17" s="24"/>
      <c r="O17" s="24"/>
      <c r="P17" s="24"/>
      <c r="Q17" s="24"/>
      <c r="R17" s="24"/>
      <c r="S17" s="24"/>
    </row>
    <row r="18" spans="1:19" s="28" customFormat="1" ht="14" x14ac:dyDescent="0.35">
      <c r="A18" s="27">
        <v>63</v>
      </c>
      <c r="B18" s="28" t="s">
        <v>20</v>
      </c>
      <c r="C18" s="55">
        <v>2</v>
      </c>
      <c r="D18" s="55">
        <v>3</v>
      </c>
      <c r="E18" s="55">
        <v>10</v>
      </c>
      <c r="F18" s="55">
        <v>28</v>
      </c>
      <c r="G18" s="55">
        <v>45</v>
      </c>
      <c r="H18" s="55">
        <v>73</v>
      </c>
      <c r="I18" s="55">
        <v>221</v>
      </c>
      <c r="J18" s="55">
        <v>382</v>
      </c>
      <c r="L18" s="24"/>
      <c r="M18" s="24"/>
      <c r="N18" s="24"/>
      <c r="O18" s="24"/>
      <c r="P18" s="24"/>
      <c r="Q18" s="24"/>
      <c r="R18" s="24"/>
      <c r="S18" s="24"/>
    </row>
    <row r="19" spans="1:19" s="28" customFormat="1" ht="14" x14ac:dyDescent="0.35">
      <c r="A19" s="27">
        <v>64</v>
      </c>
      <c r="B19" s="28" t="s">
        <v>21</v>
      </c>
      <c r="C19" s="55">
        <v>3</v>
      </c>
      <c r="D19" s="55">
        <v>6</v>
      </c>
      <c r="E19" s="55">
        <v>11</v>
      </c>
      <c r="F19" s="55">
        <v>36</v>
      </c>
      <c r="G19" s="55">
        <v>151</v>
      </c>
      <c r="H19" s="55">
        <v>100</v>
      </c>
      <c r="I19" s="55">
        <v>394</v>
      </c>
      <c r="J19" s="55">
        <v>701</v>
      </c>
      <c r="L19" s="24"/>
      <c r="M19" s="24"/>
      <c r="N19" s="24"/>
      <c r="O19" s="24"/>
      <c r="P19" s="24"/>
      <c r="Q19" s="24"/>
      <c r="R19" s="24"/>
      <c r="S19" s="24"/>
    </row>
    <row r="20" spans="1:19" s="28" customFormat="1" ht="14" x14ac:dyDescent="0.35">
      <c r="A20" s="27">
        <v>65</v>
      </c>
      <c r="B20" s="28" t="s">
        <v>22</v>
      </c>
      <c r="C20" s="55">
        <v>0</v>
      </c>
      <c r="D20" s="55">
        <v>4</v>
      </c>
      <c r="E20" s="55">
        <v>6</v>
      </c>
      <c r="F20" s="55">
        <v>16</v>
      </c>
      <c r="G20" s="55">
        <v>25</v>
      </c>
      <c r="H20" s="55">
        <v>25</v>
      </c>
      <c r="I20" s="55">
        <v>109.56</v>
      </c>
      <c r="J20" s="55">
        <v>185.56</v>
      </c>
      <c r="L20" s="24"/>
      <c r="M20" s="24"/>
      <c r="N20" s="24"/>
      <c r="O20" s="24"/>
      <c r="P20" s="24"/>
      <c r="Q20" s="24"/>
      <c r="R20" s="24"/>
      <c r="S20" s="24"/>
    </row>
    <row r="21" spans="1:19" s="28" customFormat="1" ht="14" x14ac:dyDescent="0.35">
      <c r="A21" s="27">
        <v>67</v>
      </c>
      <c r="B21" s="28" t="s">
        <v>25</v>
      </c>
      <c r="C21" s="55">
        <v>5</v>
      </c>
      <c r="D21" s="55">
        <v>5</v>
      </c>
      <c r="E21" s="55">
        <v>23</v>
      </c>
      <c r="F21" s="55">
        <v>46.5</v>
      </c>
      <c r="G21" s="55">
        <v>98</v>
      </c>
      <c r="H21" s="55">
        <v>90</v>
      </c>
      <c r="I21" s="55">
        <v>466</v>
      </c>
      <c r="J21" s="55">
        <v>733.5</v>
      </c>
      <c r="L21" s="24"/>
      <c r="M21" s="24"/>
      <c r="N21" s="24"/>
      <c r="O21" s="24"/>
      <c r="P21" s="24"/>
      <c r="Q21" s="24"/>
      <c r="R21" s="24"/>
      <c r="S21" s="24"/>
    </row>
    <row r="22" spans="1:19" s="28" customFormat="1" ht="14" x14ac:dyDescent="0.35">
      <c r="A22" s="27">
        <v>68</v>
      </c>
      <c r="B22" s="28" t="s">
        <v>57</v>
      </c>
      <c r="C22" s="55">
        <v>3</v>
      </c>
      <c r="D22" s="55">
        <v>4</v>
      </c>
      <c r="E22" s="55">
        <v>10</v>
      </c>
      <c r="F22" s="55">
        <v>19</v>
      </c>
      <c r="G22" s="55">
        <v>57</v>
      </c>
      <c r="H22" s="55">
        <v>35</v>
      </c>
      <c r="I22" s="55">
        <v>136</v>
      </c>
      <c r="J22" s="55">
        <v>264</v>
      </c>
      <c r="L22" s="24"/>
      <c r="M22" s="24"/>
      <c r="N22" s="24"/>
      <c r="O22" s="24"/>
      <c r="P22" s="24"/>
      <c r="Q22" s="24"/>
      <c r="R22" s="24"/>
      <c r="S22" s="24"/>
    </row>
    <row r="23" spans="1:19" s="28" customFormat="1" ht="14" x14ac:dyDescent="0.35">
      <c r="A23" s="27">
        <v>69</v>
      </c>
      <c r="B23" s="28" t="s">
        <v>27</v>
      </c>
      <c r="C23" s="55">
        <v>4</v>
      </c>
      <c r="D23" s="55">
        <v>3</v>
      </c>
      <c r="E23" s="55">
        <v>8</v>
      </c>
      <c r="F23" s="55">
        <v>25.7</v>
      </c>
      <c r="G23" s="55">
        <v>60</v>
      </c>
      <c r="H23" s="55">
        <v>78</v>
      </c>
      <c r="I23" s="55">
        <v>291.2</v>
      </c>
      <c r="J23" s="55">
        <v>469.9</v>
      </c>
      <c r="L23" s="24"/>
      <c r="M23" s="24"/>
      <c r="N23" s="24"/>
      <c r="O23" s="24"/>
      <c r="P23" s="24"/>
      <c r="Q23" s="24"/>
      <c r="R23" s="24"/>
      <c r="S23" s="24"/>
    </row>
    <row r="24" spans="1:19" s="28" customFormat="1" ht="14" x14ac:dyDescent="0.35">
      <c r="A24" s="27">
        <v>70</v>
      </c>
      <c r="B24" s="28" t="s">
        <v>28</v>
      </c>
      <c r="C24" s="55">
        <v>2</v>
      </c>
      <c r="D24" s="55">
        <v>4</v>
      </c>
      <c r="E24" s="55">
        <v>9</v>
      </c>
      <c r="F24" s="55">
        <v>30</v>
      </c>
      <c r="G24" s="55">
        <v>79</v>
      </c>
      <c r="H24" s="55">
        <v>64</v>
      </c>
      <c r="I24" s="55">
        <v>297</v>
      </c>
      <c r="J24" s="55">
        <v>485</v>
      </c>
      <c r="L24" s="24"/>
      <c r="M24" s="24"/>
      <c r="N24" s="24"/>
      <c r="O24" s="24"/>
      <c r="P24" s="24"/>
      <c r="Q24" s="24"/>
      <c r="R24" s="24"/>
      <c r="S24" s="24"/>
    </row>
    <row r="25" spans="1:19" s="28" customFormat="1" ht="14" x14ac:dyDescent="0.35">
      <c r="A25" s="27">
        <v>71</v>
      </c>
      <c r="B25" s="28" t="s">
        <v>58</v>
      </c>
      <c r="C25" s="55">
        <v>0</v>
      </c>
      <c r="D25" s="55">
        <v>0.5</v>
      </c>
      <c r="E25" s="55">
        <v>1.5</v>
      </c>
      <c r="F25" s="55">
        <v>9</v>
      </c>
      <c r="G25" s="55">
        <v>11</v>
      </c>
      <c r="H25" s="55">
        <v>9</v>
      </c>
      <c r="I25" s="55">
        <v>40</v>
      </c>
      <c r="J25" s="55">
        <v>71</v>
      </c>
      <c r="L25" s="24"/>
      <c r="M25" s="24"/>
      <c r="N25" s="24"/>
      <c r="O25" s="24"/>
      <c r="P25" s="24"/>
      <c r="Q25" s="24"/>
      <c r="R25" s="24"/>
      <c r="S25" s="24"/>
    </row>
    <row r="26" spans="1:19" s="28" customFormat="1" ht="14" x14ac:dyDescent="0.35">
      <c r="A26" s="27">
        <v>73</v>
      </c>
      <c r="B26" s="28" t="s">
        <v>31</v>
      </c>
      <c r="C26" s="55">
        <v>4</v>
      </c>
      <c r="D26" s="55">
        <v>4</v>
      </c>
      <c r="E26" s="55">
        <v>16</v>
      </c>
      <c r="F26" s="55">
        <v>63</v>
      </c>
      <c r="G26" s="55">
        <v>89</v>
      </c>
      <c r="H26" s="55">
        <v>119</v>
      </c>
      <c r="I26" s="55">
        <v>435</v>
      </c>
      <c r="J26" s="55">
        <v>730</v>
      </c>
      <c r="L26" s="24"/>
      <c r="M26" s="24"/>
      <c r="N26" s="24"/>
      <c r="O26" s="24"/>
      <c r="P26" s="24"/>
      <c r="Q26" s="24"/>
      <c r="R26" s="24"/>
      <c r="S26" s="24"/>
    </row>
    <row r="27" spans="1:19" s="28" customFormat="1" ht="14" x14ac:dyDescent="0.35">
      <c r="A27" s="27">
        <v>74</v>
      </c>
      <c r="B27" s="28" t="s">
        <v>32</v>
      </c>
      <c r="C27" s="55">
        <v>3</v>
      </c>
      <c r="D27" s="55">
        <v>4</v>
      </c>
      <c r="E27" s="55">
        <v>13</v>
      </c>
      <c r="F27" s="55">
        <v>29</v>
      </c>
      <c r="G27" s="55">
        <v>97</v>
      </c>
      <c r="H27" s="55">
        <v>105</v>
      </c>
      <c r="I27" s="55">
        <v>376</v>
      </c>
      <c r="J27" s="55">
        <v>627</v>
      </c>
      <c r="L27" s="24"/>
      <c r="M27" s="24"/>
      <c r="N27" s="24"/>
      <c r="O27" s="24"/>
      <c r="P27" s="24"/>
      <c r="Q27" s="24"/>
      <c r="R27" s="24"/>
      <c r="S27" s="24"/>
    </row>
    <row r="28" spans="1:19" s="28" customFormat="1" ht="14" x14ac:dyDescent="0.35">
      <c r="A28" s="27">
        <v>75</v>
      </c>
      <c r="B28" s="28" t="s">
        <v>33</v>
      </c>
      <c r="C28" s="55">
        <v>3</v>
      </c>
      <c r="D28" s="55">
        <v>4</v>
      </c>
      <c r="E28" s="55">
        <v>4</v>
      </c>
      <c r="F28" s="55">
        <v>20</v>
      </c>
      <c r="G28" s="55">
        <v>53</v>
      </c>
      <c r="H28" s="55">
        <v>60</v>
      </c>
      <c r="I28" s="55">
        <v>218</v>
      </c>
      <c r="J28" s="55">
        <v>362</v>
      </c>
      <c r="L28" s="24"/>
      <c r="M28" s="24"/>
      <c r="N28" s="24"/>
      <c r="O28" s="24"/>
      <c r="P28" s="24"/>
      <c r="Q28" s="24"/>
      <c r="R28" s="24"/>
      <c r="S28" s="24"/>
    </row>
    <row r="29" spans="1:19" s="28" customFormat="1" ht="14" x14ac:dyDescent="0.35">
      <c r="A29" s="27">
        <v>76</v>
      </c>
      <c r="B29" s="28" t="s">
        <v>34</v>
      </c>
      <c r="C29" s="55">
        <v>3</v>
      </c>
      <c r="D29" s="55">
        <v>4</v>
      </c>
      <c r="E29" s="55">
        <v>8</v>
      </c>
      <c r="F29" s="55">
        <v>20</v>
      </c>
      <c r="G29" s="55">
        <v>40</v>
      </c>
      <c r="H29" s="55">
        <v>28</v>
      </c>
      <c r="I29" s="55">
        <v>100</v>
      </c>
      <c r="J29" s="55">
        <v>203</v>
      </c>
      <c r="L29" s="24"/>
      <c r="M29" s="24"/>
      <c r="N29" s="24"/>
      <c r="O29" s="24"/>
      <c r="P29" s="24"/>
      <c r="Q29" s="24"/>
      <c r="R29" s="24"/>
      <c r="S29" s="24"/>
    </row>
    <row r="30" spans="1:19" s="28" customFormat="1" ht="14" x14ac:dyDescent="0.35">
      <c r="A30" s="27">
        <v>79</v>
      </c>
      <c r="B30" s="28" t="s">
        <v>36</v>
      </c>
      <c r="C30" s="55">
        <v>1</v>
      </c>
      <c r="D30" s="55">
        <v>2</v>
      </c>
      <c r="E30" s="55">
        <v>9</v>
      </c>
      <c r="F30" s="55">
        <v>24</v>
      </c>
      <c r="G30" s="55">
        <v>42</v>
      </c>
      <c r="H30" s="55">
        <v>36.5</v>
      </c>
      <c r="I30" s="55">
        <v>149</v>
      </c>
      <c r="J30" s="55">
        <v>263.5</v>
      </c>
      <c r="L30" s="24"/>
      <c r="M30" s="24"/>
      <c r="N30" s="24"/>
      <c r="O30" s="24"/>
      <c r="P30" s="24"/>
      <c r="Q30" s="24"/>
      <c r="R30" s="24"/>
      <c r="S30" s="24"/>
    </row>
    <row r="31" spans="1:19" s="28" customFormat="1" ht="14" x14ac:dyDescent="0.35">
      <c r="A31" s="27"/>
      <c r="B31" s="67" t="s">
        <v>81</v>
      </c>
      <c r="C31" s="55">
        <v>0</v>
      </c>
      <c r="D31" s="55">
        <v>0</v>
      </c>
      <c r="E31" s="55">
        <v>0</v>
      </c>
      <c r="F31" s="55">
        <v>0</v>
      </c>
      <c r="G31" s="55">
        <v>0</v>
      </c>
      <c r="H31" s="55">
        <v>0</v>
      </c>
      <c r="I31" s="55">
        <v>0</v>
      </c>
      <c r="J31" s="55">
        <v>0</v>
      </c>
      <c r="L31" s="24"/>
      <c r="M31" s="24"/>
      <c r="N31" s="24"/>
      <c r="O31" s="24"/>
      <c r="P31" s="24"/>
      <c r="Q31" s="24"/>
      <c r="R31" s="24"/>
      <c r="S31" s="24"/>
    </row>
    <row r="32" spans="1:19" s="28" customFormat="1" ht="14" x14ac:dyDescent="0.35">
      <c r="A32" s="27">
        <v>80</v>
      </c>
      <c r="B32" s="28" t="s">
        <v>38</v>
      </c>
      <c r="C32" s="55">
        <v>2</v>
      </c>
      <c r="D32" s="55">
        <v>2</v>
      </c>
      <c r="E32" s="55">
        <v>8</v>
      </c>
      <c r="F32" s="55">
        <v>16</v>
      </c>
      <c r="G32" s="55">
        <v>51</v>
      </c>
      <c r="H32" s="55">
        <v>50</v>
      </c>
      <c r="I32" s="55">
        <v>175</v>
      </c>
      <c r="J32" s="55">
        <v>304</v>
      </c>
      <c r="L32" s="24"/>
      <c r="M32" s="24"/>
      <c r="N32" s="24"/>
      <c r="O32" s="24"/>
      <c r="P32" s="24"/>
      <c r="Q32" s="24"/>
      <c r="R32" s="24"/>
      <c r="S32" s="24"/>
    </row>
    <row r="33" spans="1:19" s="28" customFormat="1" ht="14" x14ac:dyDescent="0.35">
      <c r="A33" s="27">
        <v>81</v>
      </c>
      <c r="B33" s="28" t="s">
        <v>39</v>
      </c>
      <c r="C33" s="55">
        <v>2</v>
      </c>
      <c r="D33" s="55">
        <v>4</v>
      </c>
      <c r="E33" s="55">
        <v>9</v>
      </c>
      <c r="F33" s="55">
        <v>23</v>
      </c>
      <c r="G33" s="55">
        <v>38</v>
      </c>
      <c r="H33" s="55">
        <v>40</v>
      </c>
      <c r="I33" s="55">
        <v>159</v>
      </c>
      <c r="J33" s="55">
        <v>275</v>
      </c>
      <c r="L33" s="24"/>
      <c r="M33" s="24"/>
      <c r="N33" s="24"/>
      <c r="O33" s="24"/>
      <c r="P33" s="24"/>
      <c r="Q33" s="24"/>
      <c r="R33" s="24"/>
      <c r="S33" s="24"/>
    </row>
    <row r="34" spans="1:19" s="28" customFormat="1" ht="14" x14ac:dyDescent="0.35">
      <c r="A34" s="27">
        <v>83</v>
      </c>
      <c r="B34" s="28" t="s">
        <v>40</v>
      </c>
      <c r="C34" s="55">
        <v>3</v>
      </c>
      <c r="D34" s="55">
        <v>1</v>
      </c>
      <c r="E34" s="55">
        <v>3</v>
      </c>
      <c r="F34" s="55">
        <v>10</v>
      </c>
      <c r="G34" s="55">
        <v>20</v>
      </c>
      <c r="H34" s="55">
        <v>22</v>
      </c>
      <c r="I34" s="55">
        <v>79</v>
      </c>
      <c r="J34" s="55">
        <v>138</v>
      </c>
      <c r="L34" s="24"/>
      <c r="M34" s="24"/>
      <c r="N34" s="24"/>
      <c r="O34" s="24"/>
      <c r="P34" s="24"/>
      <c r="Q34" s="24"/>
      <c r="R34" s="24"/>
      <c r="S34" s="24"/>
    </row>
    <row r="35" spans="1:19" s="28" customFormat="1" ht="14" x14ac:dyDescent="0.35">
      <c r="A35" s="27">
        <v>84</v>
      </c>
      <c r="B35" s="28" t="s">
        <v>41</v>
      </c>
      <c r="C35" s="55">
        <v>3</v>
      </c>
      <c r="D35" s="55">
        <v>4</v>
      </c>
      <c r="E35" s="55">
        <v>6</v>
      </c>
      <c r="F35" s="55">
        <v>30</v>
      </c>
      <c r="G35" s="55">
        <v>84</v>
      </c>
      <c r="H35" s="55">
        <v>72</v>
      </c>
      <c r="I35" s="55">
        <v>297.58</v>
      </c>
      <c r="J35" s="55">
        <v>496.58</v>
      </c>
      <c r="L35" s="24"/>
      <c r="M35" s="24"/>
      <c r="N35" s="24"/>
      <c r="O35" s="24"/>
      <c r="P35" s="24"/>
      <c r="Q35" s="24"/>
      <c r="R35" s="24"/>
      <c r="S35" s="24"/>
    </row>
    <row r="36" spans="1:19" s="28" customFormat="1" ht="14" x14ac:dyDescent="0.35">
      <c r="A36" s="27">
        <v>85</v>
      </c>
      <c r="B36" s="28" t="s">
        <v>42</v>
      </c>
      <c r="C36" s="55">
        <v>3</v>
      </c>
      <c r="D36" s="55">
        <v>2</v>
      </c>
      <c r="E36" s="55">
        <v>10</v>
      </c>
      <c r="F36" s="55">
        <v>27</v>
      </c>
      <c r="G36" s="55">
        <v>51</v>
      </c>
      <c r="H36" s="55">
        <v>27</v>
      </c>
      <c r="I36" s="55">
        <v>109</v>
      </c>
      <c r="J36" s="55">
        <v>229</v>
      </c>
      <c r="L36" s="24"/>
      <c r="M36" s="24"/>
      <c r="N36" s="24"/>
      <c r="O36" s="24"/>
      <c r="P36" s="24"/>
      <c r="Q36" s="24"/>
      <c r="R36" s="24"/>
      <c r="S36" s="24"/>
    </row>
    <row r="37" spans="1:19" s="28" customFormat="1" ht="14" x14ac:dyDescent="0.35">
      <c r="A37" s="27">
        <v>87</v>
      </c>
      <c r="B37" s="28" t="s">
        <v>43</v>
      </c>
      <c r="C37" s="55">
        <v>3</v>
      </c>
      <c r="D37" s="55">
        <v>4</v>
      </c>
      <c r="E37" s="55">
        <v>5</v>
      </c>
      <c r="F37" s="55">
        <v>13</v>
      </c>
      <c r="G37" s="55">
        <v>27</v>
      </c>
      <c r="H37" s="55">
        <v>22</v>
      </c>
      <c r="I37" s="55">
        <v>94</v>
      </c>
      <c r="J37" s="55">
        <v>168</v>
      </c>
      <c r="L37" s="24"/>
      <c r="M37" s="24"/>
      <c r="N37" s="24"/>
      <c r="O37" s="24"/>
      <c r="P37" s="24"/>
      <c r="Q37" s="24"/>
      <c r="R37" s="24"/>
      <c r="S37" s="24"/>
    </row>
    <row r="38" spans="1:19" s="28" customFormat="1" ht="14" x14ac:dyDescent="0.35">
      <c r="A38" s="27">
        <v>90</v>
      </c>
      <c r="B38" s="28" t="s">
        <v>45</v>
      </c>
      <c r="C38" s="55">
        <v>2</v>
      </c>
      <c r="D38" s="55">
        <v>3</v>
      </c>
      <c r="E38" s="55">
        <v>6</v>
      </c>
      <c r="F38" s="55">
        <v>29</v>
      </c>
      <c r="G38" s="55">
        <v>60</v>
      </c>
      <c r="H38" s="55">
        <v>52</v>
      </c>
      <c r="I38" s="55">
        <v>198</v>
      </c>
      <c r="J38" s="55">
        <v>350</v>
      </c>
      <c r="L38" s="24"/>
      <c r="M38" s="24"/>
      <c r="N38" s="24"/>
      <c r="O38" s="24"/>
      <c r="P38" s="24"/>
      <c r="Q38" s="24"/>
      <c r="R38" s="24"/>
      <c r="S38" s="24"/>
    </row>
    <row r="39" spans="1:19" s="28" customFormat="1" ht="14" x14ac:dyDescent="0.35">
      <c r="A39" s="27">
        <v>91</v>
      </c>
      <c r="B39" s="28" t="s">
        <v>46</v>
      </c>
      <c r="C39" s="55">
        <v>3</v>
      </c>
      <c r="D39" s="55">
        <v>3</v>
      </c>
      <c r="E39" s="55">
        <v>7</v>
      </c>
      <c r="F39" s="55">
        <v>19</v>
      </c>
      <c r="G39" s="55">
        <v>39.26</v>
      </c>
      <c r="H39" s="55">
        <v>28</v>
      </c>
      <c r="I39" s="55">
        <v>111</v>
      </c>
      <c r="J39" s="55">
        <v>210.26</v>
      </c>
      <c r="L39" s="24"/>
      <c r="M39" s="24"/>
      <c r="N39" s="24"/>
      <c r="O39" s="24"/>
      <c r="P39" s="24"/>
      <c r="Q39" s="24"/>
      <c r="R39" s="24"/>
      <c r="S39" s="24"/>
    </row>
    <row r="40" spans="1:19" s="28" customFormat="1" ht="14" x14ac:dyDescent="0.35">
      <c r="A40" s="27">
        <v>92</v>
      </c>
      <c r="B40" s="28" t="s">
        <v>47</v>
      </c>
      <c r="C40" s="55">
        <v>3</v>
      </c>
      <c r="D40" s="55">
        <v>4</v>
      </c>
      <c r="E40" s="55">
        <v>12</v>
      </c>
      <c r="F40" s="55">
        <v>26.2</v>
      </c>
      <c r="G40" s="55">
        <v>106.5</v>
      </c>
      <c r="H40" s="55">
        <v>98.5</v>
      </c>
      <c r="I40" s="55">
        <v>273.83330000000001</v>
      </c>
      <c r="J40" s="55">
        <v>524.03330000000005</v>
      </c>
      <c r="L40" s="24"/>
      <c r="M40" s="24"/>
      <c r="N40" s="24"/>
      <c r="O40" s="24"/>
      <c r="P40" s="24"/>
      <c r="Q40" s="24"/>
      <c r="R40" s="24"/>
      <c r="S40" s="24"/>
    </row>
    <row r="41" spans="1:19" s="28" customFormat="1" ht="14" x14ac:dyDescent="0.35">
      <c r="A41" s="27">
        <v>94</v>
      </c>
      <c r="B41" s="28" t="s">
        <v>49</v>
      </c>
      <c r="C41" s="55">
        <v>3</v>
      </c>
      <c r="D41" s="55">
        <v>3</v>
      </c>
      <c r="E41" s="55">
        <v>6</v>
      </c>
      <c r="F41" s="55">
        <v>14</v>
      </c>
      <c r="G41" s="55">
        <v>37</v>
      </c>
      <c r="H41" s="55">
        <v>57</v>
      </c>
      <c r="I41" s="55">
        <v>126</v>
      </c>
      <c r="J41" s="55">
        <v>246</v>
      </c>
      <c r="L41" s="24"/>
      <c r="M41" s="24"/>
      <c r="N41" s="24"/>
      <c r="O41" s="24"/>
      <c r="P41" s="24"/>
      <c r="Q41" s="24"/>
      <c r="R41" s="24"/>
      <c r="S41" s="24"/>
    </row>
    <row r="42" spans="1:19" s="28" customFormat="1" ht="14" x14ac:dyDescent="0.35">
      <c r="A42" s="27">
        <v>96</v>
      </c>
      <c r="B42" s="28" t="s">
        <v>51</v>
      </c>
      <c r="C42" s="55">
        <v>4</v>
      </c>
      <c r="D42" s="55">
        <v>2</v>
      </c>
      <c r="E42" s="55">
        <v>8</v>
      </c>
      <c r="F42" s="55">
        <v>24</v>
      </c>
      <c r="G42" s="55">
        <v>61</v>
      </c>
      <c r="H42" s="55">
        <v>54</v>
      </c>
      <c r="I42" s="55">
        <v>160.5</v>
      </c>
      <c r="J42" s="55">
        <v>313.5</v>
      </c>
      <c r="L42" s="24"/>
      <c r="M42" s="24"/>
      <c r="N42" s="24"/>
      <c r="O42" s="24"/>
      <c r="P42" s="24"/>
      <c r="Q42" s="24"/>
      <c r="R42" s="24"/>
      <c r="S42" s="24"/>
    </row>
    <row r="43" spans="1:19" s="28" customFormat="1" ht="14" x14ac:dyDescent="0.35">
      <c r="A43" s="27">
        <v>72</v>
      </c>
      <c r="B43" s="28" t="s">
        <v>30</v>
      </c>
      <c r="C43" s="55">
        <v>0</v>
      </c>
      <c r="D43" s="55">
        <v>0</v>
      </c>
      <c r="E43" s="55">
        <v>0</v>
      </c>
      <c r="F43" s="55">
        <v>0</v>
      </c>
      <c r="G43" s="55">
        <v>0</v>
      </c>
      <c r="H43" s="55">
        <v>0</v>
      </c>
      <c r="I43" s="55">
        <v>0</v>
      </c>
      <c r="J43" s="55">
        <v>0</v>
      </c>
      <c r="L43" s="24"/>
      <c r="M43" s="24"/>
      <c r="N43" s="24"/>
      <c r="O43" s="24"/>
      <c r="P43" s="24"/>
      <c r="Q43" s="24"/>
      <c r="R43" s="24"/>
      <c r="S43" s="24"/>
    </row>
    <row r="44" spans="1:19" s="23" customFormat="1" ht="26.25" customHeight="1" x14ac:dyDescent="0.35">
      <c r="A44" s="25"/>
      <c r="B44" s="23" t="s">
        <v>59</v>
      </c>
      <c r="C44" s="56">
        <f>SUM(C45:C51)</f>
        <v>29</v>
      </c>
      <c r="D44" s="56">
        <f t="shared" ref="D44:J44" si="2">SUM(D45:D51)</f>
        <v>42</v>
      </c>
      <c r="E44" s="56">
        <f t="shared" si="2"/>
        <v>138</v>
      </c>
      <c r="F44" s="56">
        <f t="shared" si="2"/>
        <v>369</v>
      </c>
      <c r="G44" s="56">
        <f t="shared" si="2"/>
        <v>1580.73</v>
      </c>
      <c r="H44" s="56">
        <f t="shared" si="2"/>
        <v>1416</v>
      </c>
      <c r="I44" s="56">
        <f t="shared" si="2"/>
        <v>7111.6849999999995</v>
      </c>
      <c r="J44" s="56">
        <f t="shared" si="2"/>
        <v>10686.415000000001</v>
      </c>
      <c r="L44" s="24"/>
      <c r="M44" s="24"/>
      <c r="N44" s="24"/>
      <c r="O44" s="24"/>
      <c r="P44" s="24"/>
      <c r="Q44" s="24"/>
      <c r="R44" s="24"/>
      <c r="S44" s="24"/>
    </row>
    <row r="45" spans="1:19" s="28" customFormat="1" ht="14" x14ac:dyDescent="0.35">
      <c r="A45" s="27">
        <v>66</v>
      </c>
      <c r="B45" s="28" t="s">
        <v>24</v>
      </c>
      <c r="C45" s="55">
        <v>4</v>
      </c>
      <c r="D45" s="55">
        <v>7</v>
      </c>
      <c r="E45" s="55">
        <v>16</v>
      </c>
      <c r="F45" s="55">
        <v>56</v>
      </c>
      <c r="G45" s="55">
        <v>202</v>
      </c>
      <c r="H45" s="55">
        <v>180</v>
      </c>
      <c r="I45" s="55">
        <v>902</v>
      </c>
      <c r="J45" s="55">
        <v>1367</v>
      </c>
      <c r="L45" s="24"/>
      <c r="M45" s="24"/>
      <c r="N45" s="24"/>
      <c r="O45" s="24"/>
      <c r="P45" s="24"/>
      <c r="Q45" s="24"/>
      <c r="R45" s="24"/>
      <c r="S45" s="24"/>
    </row>
    <row r="46" spans="1:19" s="28" customFormat="1" ht="14" x14ac:dyDescent="0.35">
      <c r="A46" s="27">
        <v>78</v>
      </c>
      <c r="B46" s="28" t="s">
        <v>35</v>
      </c>
      <c r="C46" s="55">
        <v>2</v>
      </c>
      <c r="D46" s="55">
        <v>4</v>
      </c>
      <c r="E46" s="55">
        <v>8</v>
      </c>
      <c r="F46" s="55">
        <v>23</v>
      </c>
      <c r="G46" s="55">
        <v>151.72999999999999</v>
      </c>
      <c r="H46" s="55">
        <v>14</v>
      </c>
      <c r="I46" s="55">
        <v>482.31</v>
      </c>
      <c r="J46" s="55">
        <v>685.04</v>
      </c>
      <c r="L46" s="24"/>
      <c r="M46" s="24"/>
      <c r="N46" s="24"/>
      <c r="O46" s="24"/>
      <c r="P46" s="24"/>
      <c r="Q46" s="24"/>
      <c r="R46" s="24"/>
      <c r="S46" s="24"/>
    </row>
    <row r="47" spans="1:19" s="28" customFormat="1" ht="14" x14ac:dyDescent="0.35">
      <c r="A47" s="27">
        <v>89</v>
      </c>
      <c r="B47" s="28" t="s">
        <v>44</v>
      </c>
      <c r="C47" s="55">
        <v>3</v>
      </c>
      <c r="D47" s="55">
        <v>4</v>
      </c>
      <c r="E47" s="55">
        <v>9</v>
      </c>
      <c r="F47" s="55">
        <v>23</v>
      </c>
      <c r="G47" s="55">
        <v>89</v>
      </c>
      <c r="H47" s="55">
        <v>80</v>
      </c>
      <c r="I47" s="55">
        <v>379</v>
      </c>
      <c r="J47" s="55">
        <v>587</v>
      </c>
      <c r="L47" s="24"/>
      <c r="M47" s="24"/>
      <c r="N47" s="24"/>
      <c r="O47" s="24"/>
      <c r="P47" s="24"/>
      <c r="Q47" s="24"/>
      <c r="R47" s="24"/>
      <c r="S47" s="24"/>
    </row>
    <row r="48" spans="1:19" s="28" customFormat="1" ht="14" x14ac:dyDescent="0.35">
      <c r="A48" s="27">
        <v>93</v>
      </c>
      <c r="B48" s="28" t="s">
        <v>60</v>
      </c>
      <c r="C48" s="55">
        <v>4</v>
      </c>
      <c r="D48" s="55">
        <v>3</v>
      </c>
      <c r="E48" s="55">
        <v>22</v>
      </c>
      <c r="F48" s="55">
        <v>22</v>
      </c>
      <c r="G48" s="55">
        <v>122</v>
      </c>
      <c r="H48" s="55">
        <v>109</v>
      </c>
      <c r="I48" s="55">
        <v>390.375</v>
      </c>
      <c r="J48" s="55">
        <v>672.375</v>
      </c>
      <c r="L48" s="24"/>
      <c r="M48" s="24"/>
      <c r="N48" s="24"/>
      <c r="O48" s="24"/>
      <c r="P48" s="24"/>
      <c r="Q48" s="24"/>
      <c r="R48" s="24"/>
      <c r="S48" s="24"/>
    </row>
    <row r="49" spans="1:19" s="28" customFormat="1" ht="14" x14ac:dyDescent="0.35">
      <c r="A49" s="27">
        <v>95</v>
      </c>
      <c r="B49" s="28" t="s">
        <v>50</v>
      </c>
      <c r="C49" s="55">
        <v>3</v>
      </c>
      <c r="D49" s="55">
        <v>7</v>
      </c>
      <c r="E49" s="55">
        <v>10</v>
      </c>
      <c r="F49" s="55">
        <v>44</v>
      </c>
      <c r="G49" s="55">
        <v>239</v>
      </c>
      <c r="H49" s="55">
        <v>246</v>
      </c>
      <c r="I49" s="55">
        <v>953</v>
      </c>
      <c r="J49" s="55">
        <v>1502</v>
      </c>
      <c r="L49" s="24"/>
      <c r="M49" s="24"/>
      <c r="N49" s="24"/>
      <c r="O49" s="24"/>
      <c r="P49" s="24"/>
      <c r="Q49" s="24"/>
      <c r="R49" s="24"/>
      <c r="S49" s="24"/>
    </row>
    <row r="50" spans="1:19" s="28" customFormat="1" ht="14" x14ac:dyDescent="0.35">
      <c r="A50" s="27">
        <v>97</v>
      </c>
      <c r="B50" s="28" t="s">
        <v>52</v>
      </c>
      <c r="C50" s="55">
        <v>3</v>
      </c>
      <c r="D50" s="55">
        <v>5</v>
      </c>
      <c r="E50" s="55">
        <v>12</v>
      </c>
      <c r="F50" s="55">
        <v>48</v>
      </c>
      <c r="G50" s="55">
        <v>173</v>
      </c>
      <c r="H50" s="55">
        <v>176</v>
      </c>
      <c r="I50" s="55">
        <v>635</v>
      </c>
      <c r="J50" s="55">
        <v>1052</v>
      </c>
      <c r="L50" s="24"/>
      <c r="M50" s="24"/>
      <c r="N50" s="24"/>
      <c r="O50" s="24"/>
      <c r="P50" s="24"/>
      <c r="Q50" s="24"/>
      <c r="R50" s="24"/>
      <c r="S50" s="24"/>
    </row>
    <row r="51" spans="1:19" s="28" customFormat="1" ht="14" x14ac:dyDescent="0.35">
      <c r="A51" s="28">
        <v>77</v>
      </c>
      <c r="B51" s="42" t="s">
        <v>23</v>
      </c>
      <c r="C51" s="55">
        <v>10</v>
      </c>
      <c r="D51" s="55">
        <v>12</v>
      </c>
      <c r="E51" s="55">
        <v>61</v>
      </c>
      <c r="F51" s="55">
        <v>153</v>
      </c>
      <c r="G51" s="55">
        <v>604</v>
      </c>
      <c r="H51" s="55">
        <v>611</v>
      </c>
      <c r="I51" s="55">
        <v>3370</v>
      </c>
      <c r="J51" s="55">
        <v>4821</v>
      </c>
      <c r="L51" s="24"/>
      <c r="M51" s="24"/>
      <c r="N51" s="24"/>
      <c r="O51" s="24"/>
      <c r="P51" s="24"/>
      <c r="Q51" s="24"/>
      <c r="R51" s="24"/>
      <c r="S51" s="24"/>
    </row>
    <row r="52" spans="1:19" s="62" customFormat="1" x14ac:dyDescent="0.35">
      <c r="A52" s="27"/>
      <c r="B52" s="51"/>
      <c r="C52" s="59"/>
      <c r="D52" s="59"/>
      <c r="E52" s="60"/>
      <c r="F52" s="60"/>
      <c r="G52" s="61"/>
      <c r="H52" s="61"/>
      <c r="I52" s="61"/>
      <c r="J52" s="61"/>
    </row>
    <row r="53" spans="1:19" s="28" customFormat="1" ht="12.5" x14ac:dyDescent="0.35">
      <c r="A53" s="27"/>
      <c r="H53" s="43"/>
    </row>
    <row r="54" spans="1:19" s="28" customFormat="1" ht="12.5" x14ac:dyDescent="0.35">
      <c r="A54" s="27"/>
      <c r="B54" s="63" t="s">
        <v>71</v>
      </c>
      <c r="D54" s="43"/>
      <c r="E54" s="43"/>
    </row>
    <row r="55" spans="1:19" x14ac:dyDescent="0.35">
      <c r="I55" s="59"/>
      <c r="J55" s="59"/>
    </row>
    <row r="56" spans="1:19" x14ac:dyDescent="0.35">
      <c r="H56" s="59"/>
    </row>
  </sheetData>
  <mergeCells count="1">
    <mergeCell ref="B1:J1"/>
  </mergeCells>
  <printOptions horizontalCentered="1" verticalCentered="1"/>
  <pageMargins left="0.43" right="0.46" top="0.33" bottom="0.25" header="0.31" footer="0.51181102362204722"/>
  <pageSetup paperSize="9" scale="7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theme="4"/>
    <pageSetUpPr fitToPage="1"/>
  </sheetPr>
  <dimension ref="A1:R56"/>
  <sheetViews>
    <sheetView showGridLines="0" zoomScale="85" zoomScaleNormal="85" workbookViewId="0">
      <pane xSplit="2" ySplit="2" topLeftCell="C3" activePane="bottomRight" state="frozen"/>
      <selection activeCell="A4" sqref="A4:H4"/>
      <selection pane="topRight" activeCell="A4" sqref="A4:H4"/>
      <selection pane="bottomLeft" activeCell="A4" sqref="A4:H4"/>
      <selection pane="bottomRight" activeCell="A4" sqref="A4:H4"/>
    </sheetView>
  </sheetViews>
  <sheetFormatPr defaultColWidth="9.1796875" defaultRowHeight="15.5" x14ac:dyDescent="0.35"/>
  <cols>
    <col min="1" max="1" width="3.453125" style="27" hidden="1" customWidth="1"/>
    <col min="2" max="2" width="22.7265625" style="51" customWidth="1"/>
    <col min="3" max="6" width="13" style="51" customWidth="1"/>
    <col min="7" max="8" width="13.54296875" style="51" customWidth="1"/>
    <col min="9" max="16384" width="9.1796875" style="51"/>
  </cols>
  <sheetData>
    <row r="1" spans="1:18" ht="39.75" customHeight="1" x14ac:dyDescent="0.35">
      <c r="B1" s="152" t="s">
        <v>79</v>
      </c>
      <c r="C1" s="153"/>
      <c r="D1" s="153"/>
      <c r="E1" s="153"/>
      <c r="F1" s="153"/>
      <c r="G1" s="153"/>
      <c r="H1" s="154"/>
    </row>
    <row r="2" spans="1:18" ht="30" customHeight="1" x14ac:dyDescent="0.35">
      <c r="B2" s="52"/>
      <c r="C2" s="21" t="s">
        <v>74</v>
      </c>
      <c r="D2" s="21" t="s">
        <v>75</v>
      </c>
      <c r="E2" s="21" t="s">
        <v>76</v>
      </c>
      <c r="F2" s="21" t="s">
        <v>77</v>
      </c>
      <c r="G2" s="21" t="s">
        <v>78</v>
      </c>
      <c r="H2" s="22" t="s">
        <v>1</v>
      </c>
    </row>
    <row r="3" spans="1:18" s="20" customFormat="1" ht="26.25" customHeight="1" x14ac:dyDescent="0.35">
      <c r="A3" s="25"/>
      <c r="B3" s="23" t="s">
        <v>80</v>
      </c>
      <c r="C3" s="53">
        <f t="shared" ref="C3:H3" si="0">C4+C44</f>
        <v>1</v>
      </c>
      <c r="D3" s="53">
        <f t="shared" si="0"/>
        <v>34.700000000000003</v>
      </c>
      <c r="E3" s="53">
        <f t="shared" si="0"/>
        <v>868.17000000000007</v>
      </c>
      <c r="F3" s="53">
        <f t="shared" si="0"/>
        <v>1859.3</v>
      </c>
      <c r="G3" s="53">
        <f t="shared" si="0"/>
        <v>7705.4100000000008</v>
      </c>
      <c r="H3" s="53">
        <f t="shared" si="0"/>
        <v>10468.58</v>
      </c>
      <c r="I3" s="24"/>
      <c r="J3" s="24"/>
      <c r="K3" s="24"/>
      <c r="L3" s="24"/>
      <c r="M3" s="24"/>
      <c r="N3" s="24"/>
      <c r="O3" s="24"/>
      <c r="P3" s="24"/>
      <c r="Q3" s="24"/>
      <c r="R3" s="24"/>
    </row>
    <row r="4" spans="1:18" s="23" customFormat="1" ht="26.25" customHeight="1" x14ac:dyDescent="0.35">
      <c r="A4" s="25"/>
      <c r="B4" s="23" t="s">
        <v>55</v>
      </c>
      <c r="C4" s="54">
        <f t="shared" ref="C4:H4" si="1">SUM(C5:C43)</f>
        <v>1</v>
      </c>
      <c r="D4" s="54">
        <f t="shared" si="1"/>
        <v>34.700000000000003</v>
      </c>
      <c r="E4" s="54">
        <f t="shared" si="1"/>
        <v>835.32</v>
      </c>
      <c r="F4" s="54">
        <f t="shared" si="1"/>
        <v>1829.95</v>
      </c>
      <c r="G4" s="54">
        <f t="shared" si="1"/>
        <v>7537.7300000000005</v>
      </c>
      <c r="H4" s="54">
        <f t="shared" si="1"/>
        <v>10238.700000000001</v>
      </c>
      <c r="J4" s="24"/>
      <c r="K4" s="24"/>
      <c r="L4" s="24"/>
      <c r="M4" s="24"/>
      <c r="N4" s="24"/>
      <c r="O4" s="24"/>
      <c r="P4" s="24"/>
      <c r="Q4" s="24"/>
    </row>
    <row r="5" spans="1:18" s="28" customFormat="1" ht="14" x14ac:dyDescent="0.35">
      <c r="A5" s="27">
        <v>51</v>
      </c>
      <c r="B5" s="28" t="s">
        <v>7</v>
      </c>
      <c r="C5" s="55">
        <v>0</v>
      </c>
      <c r="D5" s="55">
        <v>0</v>
      </c>
      <c r="E5" s="55">
        <v>11.3</v>
      </c>
      <c r="F5" s="55">
        <v>31.65</v>
      </c>
      <c r="G5" s="55">
        <v>128.55000000000001</v>
      </c>
      <c r="H5" s="55">
        <v>171.5</v>
      </c>
      <c r="J5" s="24"/>
      <c r="K5" s="24"/>
      <c r="L5" s="24"/>
      <c r="M5" s="24"/>
      <c r="N5" s="24"/>
      <c r="O5" s="24"/>
      <c r="P5" s="24"/>
      <c r="Q5" s="24"/>
    </row>
    <row r="6" spans="1:18" s="28" customFormat="1" ht="14" x14ac:dyDescent="0.35">
      <c r="A6" s="27">
        <v>52</v>
      </c>
      <c r="B6" s="28" t="s">
        <v>8</v>
      </c>
      <c r="C6" s="55">
        <v>0</v>
      </c>
      <c r="D6" s="55">
        <v>0</v>
      </c>
      <c r="E6" s="55">
        <v>9.5</v>
      </c>
      <c r="F6" s="55">
        <v>17</v>
      </c>
      <c r="G6" s="55">
        <v>88.75</v>
      </c>
      <c r="H6" s="55">
        <v>115.25</v>
      </c>
      <c r="J6" s="24"/>
      <c r="K6" s="24"/>
      <c r="L6" s="24"/>
      <c r="M6" s="24"/>
      <c r="N6" s="24"/>
      <c r="O6" s="24"/>
      <c r="P6" s="24"/>
      <c r="Q6" s="24"/>
    </row>
    <row r="7" spans="1:18" s="28" customFormat="1" ht="14" x14ac:dyDescent="0.35">
      <c r="A7" s="27">
        <v>86</v>
      </c>
      <c r="B7" s="28" t="s">
        <v>9</v>
      </c>
      <c r="C7" s="55">
        <v>0</v>
      </c>
      <c r="D7" s="55">
        <v>0</v>
      </c>
      <c r="E7" s="55">
        <v>5.08</v>
      </c>
      <c r="F7" s="55">
        <v>11.65</v>
      </c>
      <c r="G7" s="55">
        <v>30.13</v>
      </c>
      <c r="H7" s="55">
        <v>46.86</v>
      </c>
      <c r="J7" s="24"/>
      <c r="K7" s="24"/>
      <c r="L7" s="24"/>
      <c r="M7" s="24"/>
      <c r="N7" s="24"/>
      <c r="O7" s="24"/>
      <c r="P7" s="24"/>
      <c r="Q7" s="24"/>
    </row>
    <row r="8" spans="1:18" s="28" customFormat="1" ht="14" x14ac:dyDescent="0.35">
      <c r="A8" s="27">
        <v>53</v>
      </c>
      <c r="B8" s="28" t="s">
        <v>10</v>
      </c>
      <c r="C8" s="55">
        <v>0</v>
      </c>
      <c r="D8" s="55">
        <v>0</v>
      </c>
      <c r="E8" s="55">
        <v>6.75</v>
      </c>
      <c r="F8" s="55">
        <v>27</v>
      </c>
      <c r="G8" s="55">
        <v>88</v>
      </c>
      <c r="H8" s="55">
        <v>121.75</v>
      </c>
      <c r="J8" s="24"/>
      <c r="K8" s="24"/>
      <c r="L8" s="24"/>
      <c r="M8" s="24"/>
      <c r="N8" s="24"/>
      <c r="O8" s="24"/>
      <c r="P8" s="24"/>
      <c r="Q8" s="24"/>
    </row>
    <row r="9" spans="1:18" s="28" customFormat="1" ht="14" x14ac:dyDescent="0.35">
      <c r="A9" s="27">
        <v>54</v>
      </c>
      <c r="B9" s="28" t="s">
        <v>11</v>
      </c>
      <c r="C9" s="55">
        <v>0</v>
      </c>
      <c r="D9" s="55">
        <v>0</v>
      </c>
      <c r="E9" s="55">
        <v>15.8</v>
      </c>
      <c r="F9" s="55">
        <v>33.6</v>
      </c>
      <c r="G9" s="55">
        <v>95.4</v>
      </c>
      <c r="H9" s="55">
        <v>144.80000000000001</v>
      </c>
      <c r="J9" s="24"/>
      <c r="K9" s="24"/>
      <c r="L9" s="24"/>
      <c r="M9" s="24"/>
      <c r="N9" s="24"/>
      <c r="O9" s="24"/>
      <c r="P9" s="24"/>
      <c r="Q9" s="24"/>
    </row>
    <row r="10" spans="1:18" s="28" customFormat="1" ht="14" x14ac:dyDescent="0.35">
      <c r="A10" s="27">
        <v>55</v>
      </c>
      <c r="B10" s="28" t="s">
        <v>12</v>
      </c>
      <c r="C10" s="55">
        <v>0</v>
      </c>
      <c r="D10" s="55">
        <v>0</v>
      </c>
      <c r="E10" s="55">
        <v>10.96</v>
      </c>
      <c r="F10" s="55">
        <v>26.69</v>
      </c>
      <c r="G10" s="55">
        <v>115.17</v>
      </c>
      <c r="H10" s="55">
        <v>152.82</v>
      </c>
      <c r="J10" s="24"/>
      <c r="K10" s="24"/>
      <c r="L10" s="24"/>
      <c r="M10" s="24"/>
      <c r="N10" s="24"/>
      <c r="O10" s="24"/>
      <c r="P10" s="24"/>
      <c r="Q10" s="24"/>
    </row>
    <row r="11" spans="1:18" s="28" customFormat="1" ht="14" x14ac:dyDescent="0.35">
      <c r="A11" s="27">
        <v>56</v>
      </c>
      <c r="B11" s="28" t="s">
        <v>13</v>
      </c>
      <c r="C11" s="55">
        <v>0</v>
      </c>
      <c r="D11" s="55">
        <v>0</v>
      </c>
      <c r="E11" s="55">
        <v>2</v>
      </c>
      <c r="F11" s="55">
        <v>3</v>
      </c>
      <c r="G11" s="55">
        <v>56.25</v>
      </c>
      <c r="H11" s="55">
        <v>61.25</v>
      </c>
      <c r="J11" s="24"/>
      <c r="K11" s="24"/>
      <c r="L11" s="24"/>
      <c r="M11" s="24"/>
      <c r="N11" s="24"/>
      <c r="O11" s="24"/>
      <c r="P11" s="24"/>
      <c r="Q11" s="24"/>
    </row>
    <row r="12" spans="1:18" s="28" customFormat="1" ht="14" x14ac:dyDescent="0.35">
      <c r="A12" s="27">
        <v>57</v>
      </c>
      <c r="B12" s="28" t="s">
        <v>14</v>
      </c>
      <c r="C12" s="55">
        <v>0</v>
      </c>
      <c r="D12" s="55">
        <v>23</v>
      </c>
      <c r="E12" s="55">
        <v>34</v>
      </c>
      <c r="F12" s="55">
        <v>51</v>
      </c>
      <c r="G12" s="55">
        <v>310</v>
      </c>
      <c r="H12" s="55">
        <v>418</v>
      </c>
      <c r="J12" s="24"/>
      <c r="K12" s="24"/>
      <c r="L12" s="24"/>
      <c r="M12" s="24"/>
      <c r="N12" s="24"/>
      <c r="O12" s="24"/>
      <c r="P12" s="24"/>
      <c r="Q12" s="24"/>
    </row>
    <row r="13" spans="1:18" s="28" customFormat="1" ht="14" x14ac:dyDescent="0.35">
      <c r="A13" s="27">
        <v>59</v>
      </c>
      <c r="B13" s="28" t="s">
        <v>15</v>
      </c>
      <c r="C13" s="55">
        <v>0</v>
      </c>
      <c r="D13" s="55">
        <v>0</v>
      </c>
      <c r="E13" s="55">
        <v>11.83</v>
      </c>
      <c r="F13" s="55">
        <v>77</v>
      </c>
      <c r="G13" s="55">
        <v>263.7</v>
      </c>
      <c r="H13" s="55">
        <v>352.53</v>
      </c>
      <c r="J13" s="24"/>
      <c r="K13" s="24"/>
      <c r="L13" s="24"/>
      <c r="M13" s="24"/>
      <c r="N13" s="24"/>
      <c r="O13" s="24"/>
      <c r="P13" s="24"/>
      <c r="Q13" s="24"/>
    </row>
    <row r="14" spans="1:18" s="28" customFormat="1" ht="14" x14ac:dyDescent="0.35">
      <c r="A14" s="27">
        <v>60</v>
      </c>
      <c r="B14" s="28" t="s">
        <v>16</v>
      </c>
      <c r="C14" s="55">
        <v>0</v>
      </c>
      <c r="D14" s="55">
        <v>0</v>
      </c>
      <c r="E14" s="55">
        <v>22</v>
      </c>
      <c r="F14" s="55">
        <v>41</v>
      </c>
      <c r="G14" s="55">
        <v>163</v>
      </c>
      <c r="H14" s="55">
        <v>226</v>
      </c>
      <c r="J14" s="24"/>
      <c r="K14" s="24"/>
      <c r="L14" s="24"/>
      <c r="M14" s="24"/>
      <c r="N14" s="24"/>
      <c r="O14" s="24"/>
      <c r="P14" s="24"/>
      <c r="Q14" s="24"/>
    </row>
    <row r="15" spans="1:18" s="28" customFormat="1" ht="14" x14ac:dyDescent="0.35">
      <c r="A15" s="27">
        <v>61</v>
      </c>
      <c r="B15" s="29" t="s">
        <v>56</v>
      </c>
      <c r="C15" s="55">
        <v>0</v>
      </c>
      <c r="D15" s="55">
        <v>0</v>
      </c>
      <c r="E15" s="55">
        <v>87.57</v>
      </c>
      <c r="F15" s="55">
        <v>181.43</v>
      </c>
      <c r="G15" s="55">
        <v>737.26</v>
      </c>
      <c r="H15" s="55">
        <v>1006.26</v>
      </c>
      <c r="J15" s="24"/>
      <c r="K15" s="24"/>
      <c r="L15" s="24"/>
      <c r="M15" s="24"/>
      <c r="N15" s="24"/>
      <c r="O15" s="24"/>
      <c r="P15" s="24"/>
      <c r="Q15" s="24"/>
    </row>
    <row r="16" spans="1:18" s="28" customFormat="1" ht="14" x14ac:dyDescent="0.35">
      <c r="A16" s="27">
        <v>62</v>
      </c>
      <c r="B16" s="28" t="s">
        <v>18</v>
      </c>
      <c r="C16" s="55">
        <v>0</v>
      </c>
      <c r="D16" s="55">
        <v>1</v>
      </c>
      <c r="E16" s="55">
        <v>54.75</v>
      </c>
      <c r="F16" s="55">
        <v>111.75</v>
      </c>
      <c r="G16" s="55">
        <v>362</v>
      </c>
      <c r="H16" s="55">
        <v>529.5</v>
      </c>
      <c r="J16" s="24"/>
      <c r="K16" s="24"/>
      <c r="L16" s="24"/>
      <c r="M16" s="24"/>
      <c r="N16" s="24"/>
      <c r="O16" s="24"/>
      <c r="P16" s="24"/>
      <c r="Q16" s="24"/>
    </row>
    <row r="17" spans="1:17" s="28" customFormat="1" ht="14" x14ac:dyDescent="0.35">
      <c r="A17" s="27">
        <v>58</v>
      </c>
      <c r="B17" s="28" t="s">
        <v>19</v>
      </c>
      <c r="C17" s="55">
        <v>0</v>
      </c>
      <c r="D17" s="55">
        <v>0</v>
      </c>
      <c r="E17" s="55">
        <v>14</v>
      </c>
      <c r="F17" s="55">
        <v>29</v>
      </c>
      <c r="G17" s="55">
        <v>145</v>
      </c>
      <c r="H17" s="55">
        <v>188</v>
      </c>
      <c r="J17" s="24"/>
      <c r="K17" s="24"/>
      <c r="L17" s="24"/>
      <c r="M17" s="24"/>
      <c r="N17" s="24"/>
      <c r="O17" s="24"/>
      <c r="P17" s="24"/>
      <c r="Q17" s="24"/>
    </row>
    <row r="18" spans="1:17" s="28" customFormat="1" ht="14" x14ac:dyDescent="0.35">
      <c r="A18" s="27">
        <v>63</v>
      </c>
      <c r="B18" s="28" t="s">
        <v>20</v>
      </c>
      <c r="C18" s="55">
        <v>0</v>
      </c>
      <c r="D18" s="55">
        <v>0</v>
      </c>
      <c r="E18" s="55">
        <v>19</v>
      </c>
      <c r="F18" s="55">
        <v>39</v>
      </c>
      <c r="G18" s="55">
        <v>157.5</v>
      </c>
      <c r="H18" s="55">
        <v>215.5</v>
      </c>
      <c r="J18" s="24"/>
      <c r="K18" s="24"/>
      <c r="L18" s="24"/>
      <c r="M18" s="24"/>
      <c r="N18" s="24"/>
      <c r="O18" s="24"/>
      <c r="P18" s="24"/>
      <c r="Q18" s="24"/>
    </row>
    <row r="19" spans="1:17" s="28" customFormat="1" ht="14" x14ac:dyDescent="0.35">
      <c r="A19" s="27">
        <v>64</v>
      </c>
      <c r="B19" s="28" t="s">
        <v>21</v>
      </c>
      <c r="C19" s="55">
        <v>0</v>
      </c>
      <c r="D19" s="55">
        <v>6</v>
      </c>
      <c r="E19" s="55">
        <v>28</v>
      </c>
      <c r="F19" s="55">
        <v>49.75</v>
      </c>
      <c r="G19" s="55">
        <v>295.75</v>
      </c>
      <c r="H19" s="55">
        <v>379.5</v>
      </c>
      <c r="J19" s="24"/>
      <c r="K19" s="24"/>
      <c r="L19" s="24"/>
      <c r="M19" s="24"/>
      <c r="N19" s="24"/>
      <c r="O19" s="24"/>
      <c r="P19" s="24"/>
      <c r="Q19" s="24"/>
    </row>
    <row r="20" spans="1:17" s="28" customFormat="1" ht="14" x14ac:dyDescent="0.35">
      <c r="A20" s="27">
        <v>65</v>
      </c>
      <c r="B20" s="28" t="s">
        <v>22</v>
      </c>
      <c r="C20" s="55">
        <v>0</v>
      </c>
      <c r="D20" s="55">
        <v>1.45</v>
      </c>
      <c r="E20" s="55">
        <v>17.5</v>
      </c>
      <c r="F20" s="55">
        <v>21.2</v>
      </c>
      <c r="G20" s="55">
        <v>154.6</v>
      </c>
      <c r="H20" s="55">
        <v>194.75</v>
      </c>
      <c r="J20" s="24"/>
      <c r="K20" s="24"/>
      <c r="L20" s="24"/>
      <c r="M20" s="24"/>
      <c r="N20" s="24"/>
      <c r="O20" s="24"/>
      <c r="P20" s="24"/>
      <c r="Q20" s="24"/>
    </row>
    <row r="21" spans="1:17" s="28" customFormat="1" ht="14" x14ac:dyDescent="0.35">
      <c r="A21" s="27">
        <v>67</v>
      </c>
      <c r="B21" s="28" t="s">
        <v>25</v>
      </c>
      <c r="C21" s="55">
        <v>0</v>
      </c>
      <c r="D21" s="55">
        <v>2.25</v>
      </c>
      <c r="E21" s="55">
        <v>43.25</v>
      </c>
      <c r="F21" s="55">
        <v>92</v>
      </c>
      <c r="G21" s="55">
        <v>401.96</v>
      </c>
      <c r="H21" s="55">
        <v>539.46</v>
      </c>
      <c r="J21" s="24"/>
      <c r="K21" s="24"/>
      <c r="L21" s="24"/>
      <c r="M21" s="24"/>
      <c r="N21" s="24"/>
      <c r="O21" s="24"/>
      <c r="P21" s="24"/>
      <c r="Q21" s="24"/>
    </row>
    <row r="22" spans="1:17" s="28" customFormat="1" ht="14" x14ac:dyDescent="0.35">
      <c r="A22" s="27">
        <v>68</v>
      </c>
      <c r="B22" s="28" t="s">
        <v>57</v>
      </c>
      <c r="C22" s="55">
        <v>0</v>
      </c>
      <c r="D22" s="55">
        <v>0</v>
      </c>
      <c r="E22" s="55">
        <v>18.3</v>
      </c>
      <c r="F22" s="55">
        <v>54</v>
      </c>
      <c r="G22" s="55">
        <v>176.91</v>
      </c>
      <c r="H22" s="55">
        <v>249.20999999999998</v>
      </c>
      <c r="J22" s="24"/>
      <c r="K22" s="24"/>
      <c r="L22" s="24"/>
      <c r="M22" s="24"/>
      <c r="N22" s="24"/>
      <c r="O22" s="24"/>
      <c r="P22" s="24"/>
      <c r="Q22" s="24"/>
    </row>
    <row r="23" spans="1:17" s="28" customFormat="1" ht="14" x14ac:dyDescent="0.35">
      <c r="A23" s="27">
        <v>69</v>
      </c>
      <c r="B23" s="28" t="s">
        <v>27</v>
      </c>
      <c r="C23" s="55">
        <v>0</v>
      </c>
      <c r="D23" s="55">
        <v>0</v>
      </c>
      <c r="E23" s="55">
        <v>23.3</v>
      </c>
      <c r="F23" s="55">
        <v>36.9</v>
      </c>
      <c r="G23" s="55">
        <v>139</v>
      </c>
      <c r="H23" s="55">
        <v>199.2</v>
      </c>
      <c r="J23" s="24"/>
      <c r="K23" s="24"/>
      <c r="L23" s="24"/>
      <c r="M23" s="24"/>
      <c r="N23" s="24"/>
      <c r="O23" s="24"/>
      <c r="P23" s="24"/>
      <c r="Q23" s="24"/>
    </row>
    <row r="24" spans="1:17" s="28" customFormat="1" ht="14" x14ac:dyDescent="0.35">
      <c r="A24" s="27">
        <v>70</v>
      </c>
      <c r="B24" s="28" t="s">
        <v>28</v>
      </c>
      <c r="C24" s="55">
        <v>0</v>
      </c>
      <c r="D24" s="55">
        <v>0</v>
      </c>
      <c r="E24" s="55">
        <v>18</v>
      </c>
      <c r="F24" s="55">
        <v>35</v>
      </c>
      <c r="G24" s="55">
        <v>246</v>
      </c>
      <c r="H24" s="55">
        <v>299</v>
      </c>
      <c r="J24" s="24"/>
      <c r="K24" s="24"/>
      <c r="L24" s="24"/>
      <c r="M24" s="24"/>
      <c r="N24" s="24"/>
      <c r="O24" s="24"/>
      <c r="P24" s="24"/>
      <c r="Q24" s="24"/>
    </row>
    <row r="25" spans="1:17" s="28" customFormat="1" ht="14" x14ac:dyDescent="0.35">
      <c r="A25" s="27">
        <v>71</v>
      </c>
      <c r="B25" s="28" t="s">
        <v>58</v>
      </c>
      <c r="C25" s="55">
        <v>0</v>
      </c>
      <c r="D25" s="55">
        <v>0</v>
      </c>
      <c r="E25" s="55">
        <v>6.68</v>
      </c>
      <c r="F25" s="55">
        <v>11.86</v>
      </c>
      <c r="G25" s="55">
        <v>78.680000000000007</v>
      </c>
      <c r="H25" s="55">
        <v>97.22</v>
      </c>
      <c r="J25" s="24"/>
      <c r="K25" s="24"/>
      <c r="L25" s="24"/>
      <c r="M25" s="24"/>
      <c r="N25" s="24"/>
      <c r="O25" s="24"/>
      <c r="P25" s="24"/>
      <c r="Q25" s="24"/>
    </row>
    <row r="26" spans="1:17" s="28" customFormat="1" ht="14" x14ac:dyDescent="0.35">
      <c r="A26" s="27">
        <v>73</v>
      </c>
      <c r="B26" s="28" t="s">
        <v>31</v>
      </c>
      <c r="C26" s="55">
        <v>0</v>
      </c>
      <c r="D26" s="55">
        <v>0</v>
      </c>
      <c r="E26" s="55">
        <v>28</v>
      </c>
      <c r="F26" s="55">
        <v>75</v>
      </c>
      <c r="G26" s="55">
        <v>379</v>
      </c>
      <c r="H26" s="55">
        <v>482</v>
      </c>
      <c r="J26" s="24"/>
      <c r="K26" s="24"/>
      <c r="L26" s="24"/>
      <c r="M26" s="24"/>
      <c r="N26" s="24"/>
      <c r="O26" s="24"/>
      <c r="P26" s="24"/>
      <c r="Q26" s="24"/>
    </row>
    <row r="27" spans="1:17" s="28" customFormat="1" ht="14" x14ac:dyDescent="0.35">
      <c r="A27" s="27">
        <v>74</v>
      </c>
      <c r="B27" s="28" t="s">
        <v>32</v>
      </c>
      <c r="C27" s="55">
        <v>0</v>
      </c>
      <c r="D27" s="55">
        <v>0</v>
      </c>
      <c r="E27" s="55">
        <v>24</v>
      </c>
      <c r="F27" s="55">
        <v>74</v>
      </c>
      <c r="G27" s="55">
        <v>176</v>
      </c>
      <c r="H27" s="55">
        <v>274</v>
      </c>
      <c r="J27" s="24"/>
      <c r="K27" s="24"/>
      <c r="L27" s="24"/>
      <c r="M27" s="24"/>
      <c r="N27" s="24"/>
      <c r="O27" s="24"/>
      <c r="P27" s="24"/>
      <c r="Q27" s="24"/>
    </row>
    <row r="28" spans="1:17" s="28" customFormat="1" ht="14" x14ac:dyDescent="0.35">
      <c r="A28" s="27">
        <v>75</v>
      </c>
      <c r="B28" s="28" t="s">
        <v>33</v>
      </c>
      <c r="C28" s="55">
        <v>0</v>
      </c>
      <c r="D28" s="55">
        <v>0</v>
      </c>
      <c r="E28" s="55">
        <v>12.75</v>
      </c>
      <c r="F28" s="55">
        <v>25.3</v>
      </c>
      <c r="G28" s="55">
        <v>114.7</v>
      </c>
      <c r="H28" s="55">
        <v>152.75</v>
      </c>
      <c r="J28" s="24"/>
      <c r="K28" s="24"/>
      <c r="L28" s="24"/>
      <c r="M28" s="24"/>
      <c r="N28" s="24"/>
      <c r="O28" s="24"/>
      <c r="P28" s="24"/>
      <c r="Q28" s="24"/>
    </row>
    <row r="29" spans="1:17" s="28" customFormat="1" ht="14" x14ac:dyDescent="0.35">
      <c r="A29" s="27">
        <v>76</v>
      </c>
      <c r="B29" s="28" t="s">
        <v>34</v>
      </c>
      <c r="C29" s="55">
        <v>0</v>
      </c>
      <c r="D29" s="55">
        <v>0</v>
      </c>
      <c r="E29" s="55">
        <v>39</v>
      </c>
      <c r="F29" s="55">
        <v>74</v>
      </c>
      <c r="G29" s="55">
        <v>325</v>
      </c>
      <c r="H29" s="55">
        <v>438</v>
      </c>
      <c r="J29" s="24"/>
      <c r="K29" s="24"/>
      <c r="L29" s="24"/>
      <c r="M29" s="24"/>
      <c r="N29" s="24"/>
      <c r="O29" s="24"/>
      <c r="P29" s="24"/>
      <c r="Q29" s="24"/>
    </row>
    <row r="30" spans="1:17" s="28" customFormat="1" ht="14" x14ac:dyDescent="0.35">
      <c r="A30" s="27">
        <v>79</v>
      </c>
      <c r="B30" s="28" t="s">
        <v>36</v>
      </c>
      <c r="C30" s="55">
        <v>1</v>
      </c>
      <c r="D30" s="55">
        <v>0</v>
      </c>
      <c r="E30" s="55">
        <v>40</v>
      </c>
      <c r="F30" s="55">
        <v>88</v>
      </c>
      <c r="G30" s="55">
        <v>341</v>
      </c>
      <c r="H30" s="55">
        <v>470</v>
      </c>
      <c r="J30" s="24"/>
      <c r="K30" s="24"/>
      <c r="L30" s="24"/>
      <c r="M30" s="24"/>
      <c r="N30" s="24"/>
      <c r="O30" s="24"/>
      <c r="P30" s="24"/>
      <c r="Q30" s="24"/>
    </row>
    <row r="31" spans="1:17" s="28" customFormat="1" ht="14" x14ac:dyDescent="0.35">
      <c r="A31" s="27"/>
      <c r="B31" s="67" t="s">
        <v>81</v>
      </c>
      <c r="C31" s="55">
        <v>0</v>
      </c>
      <c r="D31" s="55">
        <v>0</v>
      </c>
      <c r="E31" s="55">
        <v>0</v>
      </c>
      <c r="F31" s="55">
        <v>0</v>
      </c>
      <c r="G31" s="55">
        <v>0</v>
      </c>
      <c r="H31" s="55">
        <v>0</v>
      </c>
      <c r="J31" s="24"/>
      <c r="K31" s="24"/>
      <c r="L31" s="24"/>
      <c r="M31" s="24"/>
      <c r="N31" s="24"/>
      <c r="O31" s="24"/>
      <c r="P31" s="24"/>
      <c r="Q31" s="24"/>
    </row>
    <row r="32" spans="1:17" s="28" customFormat="1" ht="14" x14ac:dyDescent="0.35">
      <c r="A32" s="27">
        <v>80</v>
      </c>
      <c r="B32" s="28" t="s">
        <v>38</v>
      </c>
      <c r="C32" s="55">
        <v>0</v>
      </c>
      <c r="D32" s="55">
        <v>0</v>
      </c>
      <c r="E32" s="55">
        <v>28</v>
      </c>
      <c r="F32" s="55">
        <v>65</v>
      </c>
      <c r="G32" s="55">
        <v>207</v>
      </c>
      <c r="H32" s="55">
        <v>300</v>
      </c>
      <c r="J32" s="24"/>
      <c r="K32" s="24"/>
      <c r="L32" s="24"/>
      <c r="M32" s="24"/>
      <c r="N32" s="24"/>
      <c r="O32" s="24"/>
      <c r="P32" s="24"/>
      <c r="Q32" s="24"/>
    </row>
    <row r="33" spans="1:17" s="28" customFormat="1" ht="14" x14ac:dyDescent="0.35">
      <c r="A33" s="27">
        <v>81</v>
      </c>
      <c r="B33" s="28" t="s">
        <v>39</v>
      </c>
      <c r="C33" s="55">
        <v>0</v>
      </c>
      <c r="D33" s="55">
        <v>0</v>
      </c>
      <c r="E33" s="55">
        <v>20</v>
      </c>
      <c r="F33" s="55">
        <v>38</v>
      </c>
      <c r="G33" s="55">
        <v>183</v>
      </c>
      <c r="H33" s="55">
        <v>241</v>
      </c>
      <c r="J33" s="24"/>
      <c r="K33" s="24"/>
      <c r="L33" s="24"/>
      <c r="M33" s="24"/>
      <c r="N33" s="24"/>
      <c r="O33" s="24"/>
      <c r="P33" s="24"/>
      <c r="Q33" s="24"/>
    </row>
    <row r="34" spans="1:17" s="28" customFormat="1" ht="14" x14ac:dyDescent="0.35">
      <c r="A34" s="27">
        <v>83</v>
      </c>
      <c r="B34" s="28" t="s">
        <v>40</v>
      </c>
      <c r="C34" s="55">
        <v>0</v>
      </c>
      <c r="D34" s="55">
        <v>0</v>
      </c>
      <c r="E34" s="55">
        <v>16</v>
      </c>
      <c r="F34" s="55">
        <v>38</v>
      </c>
      <c r="G34" s="55">
        <v>131</v>
      </c>
      <c r="H34" s="55">
        <v>185</v>
      </c>
      <c r="J34" s="24"/>
      <c r="K34" s="24"/>
      <c r="L34" s="24"/>
      <c r="M34" s="24"/>
      <c r="N34" s="24"/>
      <c r="O34" s="24"/>
      <c r="P34" s="24"/>
      <c r="Q34" s="24"/>
    </row>
    <row r="35" spans="1:17" s="28" customFormat="1" ht="14" x14ac:dyDescent="0.35">
      <c r="A35" s="27">
        <v>84</v>
      </c>
      <c r="B35" s="28" t="s">
        <v>41</v>
      </c>
      <c r="C35" s="55">
        <v>0</v>
      </c>
      <c r="D35" s="55">
        <v>0</v>
      </c>
      <c r="E35" s="55">
        <v>16</v>
      </c>
      <c r="F35" s="55">
        <v>22</v>
      </c>
      <c r="G35" s="55">
        <v>102</v>
      </c>
      <c r="H35" s="55">
        <v>140</v>
      </c>
      <c r="J35" s="24"/>
      <c r="K35" s="24"/>
      <c r="L35" s="24"/>
      <c r="M35" s="24"/>
      <c r="N35" s="24"/>
      <c r="O35" s="24"/>
      <c r="P35" s="24"/>
      <c r="Q35" s="24"/>
    </row>
    <row r="36" spans="1:17" s="28" customFormat="1" ht="14" x14ac:dyDescent="0.35">
      <c r="A36" s="27">
        <v>85</v>
      </c>
      <c r="B36" s="28" t="s">
        <v>42</v>
      </c>
      <c r="C36" s="55">
        <v>0</v>
      </c>
      <c r="D36" s="55">
        <v>0</v>
      </c>
      <c r="E36" s="55">
        <v>22</v>
      </c>
      <c r="F36" s="55">
        <v>43</v>
      </c>
      <c r="G36" s="55">
        <v>188</v>
      </c>
      <c r="H36" s="55">
        <v>253</v>
      </c>
      <c r="J36" s="24"/>
      <c r="K36" s="24"/>
      <c r="L36" s="24"/>
      <c r="M36" s="24"/>
      <c r="N36" s="24"/>
      <c r="O36" s="24"/>
      <c r="P36" s="24"/>
      <c r="Q36" s="24"/>
    </row>
    <row r="37" spans="1:17" s="28" customFormat="1" ht="14" x14ac:dyDescent="0.35">
      <c r="A37" s="27">
        <v>87</v>
      </c>
      <c r="B37" s="28" t="s">
        <v>43</v>
      </c>
      <c r="C37" s="55">
        <v>0</v>
      </c>
      <c r="D37" s="55">
        <v>0</v>
      </c>
      <c r="E37" s="55">
        <v>22</v>
      </c>
      <c r="F37" s="55">
        <v>54</v>
      </c>
      <c r="G37" s="55">
        <v>240</v>
      </c>
      <c r="H37" s="55">
        <v>316</v>
      </c>
      <c r="J37" s="24"/>
      <c r="K37" s="24"/>
      <c r="L37" s="24"/>
      <c r="M37" s="24"/>
      <c r="N37" s="24"/>
      <c r="O37" s="24"/>
      <c r="P37" s="24"/>
      <c r="Q37" s="24"/>
    </row>
    <row r="38" spans="1:17" s="28" customFormat="1" ht="14" x14ac:dyDescent="0.35">
      <c r="A38" s="27">
        <v>90</v>
      </c>
      <c r="B38" s="28" t="s">
        <v>45</v>
      </c>
      <c r="C38" s="55">
        <v>0</v>
      </c>
      <c r="D38" s="55">
        <v>0</v>
      </c>
      <c r="E38" s="55">
        <v>29</v>
      </c>
      <c r="F38" s="55">
        <v>71</v>
      </c>
      <c r="G38" s="55">
        <v>303</v>
      </c>
      <c r="H38" s="55">
        <v>403</v>
      </c>
      <c r="J38" s="24"/>
      <c r="K38" s="24"/>
      <c r="L38" s="24"/>
      <c r="M38" s="24"/>
      <c r="N38" s="24"/>
      <c r="O38" s="24"/>
      <c r="P38" s="24"/>
      <c r="Q38" s="24"/>
    </row>
    <row r="39" spans="1:17" s="28" customFormat="1" ht="14" x14ac:dyDescent="0.35">
      <c r="A39" s="27">
        <v>91</v>
      </c>
      <c r="B39" s="28" t="s">
        <v>46</v>
      </c>
      <c r="C39" s="55">
        <v>0</v>
      </c>
      <c r="D39" s="55">
        <v>0</v>
      </c>
      <c r="E39" s="55">
        <v>35.75</v>
      </c>
      <c r="F39" s="55">
        <v>92</v>
      </c>
      <c r="G39" s="55">
        <v>320</v>
      </c>
      <c r="H39" s="55">
        <v>447.75</v>
      </c>
      <c r="J39" s="24"/>
      <c r="K39" s="24"/>
      <c r="L39" s="24"/>
      <c r="M39" s="24"/>
      <c r="N39" s="24"/>
      <c r="O39" s="24"/>
      <c r="P39" s="24"/>
      <c r="Q39" s="24"/>
    </row>
    <row r="40" spans="1:17" s="28" customFormat="1" ht="14" x14ac:dyDescent="0.35">
      <c r="A40" s="27">
        <v>92</v>
      </c>
      <c r="B40" s="28" t="s">
        <v>47</v>
      </c>
      <c r="C40" s="55">
        <v>0</v>
      </c>
      <c r="D40" s="55">
        <v>0</v>
      </c>
      <c r="E40" s="55">
        <v>12.75</v>
      </c>
      <c r="F40" s="55">
        <v>15</v>
      </c>
      <c r="G40" s="55">
        <v>66</v>
      </c>
      <c r="H40" s="55">
        <v>93.75</v>
      </c>
      <c r="J40" s="24"/>
      <c r="K40" s="24"/>
      <c r="L40" s="24"/>
      <c r="M40" s="24"/>
      <c r="N40" s="24"/>
      <c r="O40" s="24"/>
      <c r="P40" s="24"/>
      <c r="Q40" s="24"/>
    </row>
    <row r="41" spans="1:17" s="28" customFormat="1" ht="14" x14ac:dyDescent="0.35">
      <c r="A41" s="27">
        <v>94</v>
      </c>
      <c r="B41" s="28" t="s">
        <v>49</v>
      </c>
      <c r="C41" s="55">
        <v>0</v>
      </c>
      <c r="D41" s="55">
        <v>0</v>
      </c>
      <c r="E41" s="55">
        <v>10</v>
      </c>
      <c r="F41" s="55">
        <v>15.42</v>
      </c>
      <c r="G41" s="55">
        <v>56.17</v>
      </c>
      <c r="H41" s="55">
        <v>81.59</v>
      </c>
      <c r="J41" s="24"/>
      <c r="K41" s="24"/>
      <c r="L41" s="24"/>
      <c r="M41" s="24"/>
      <c r="N41" s="24"/>
      <c r="O41" s="24"/>
      <c r="P41" s="24"/>
      <c r="Q41" s="24"/>
    </row>
    <row r="42" spans="1:17" s="28" customFormat="1" ht="14" x14ac:dyDescent="0.35">
      <c r="A42" s="27">
        <v>96</v>
      </c>
      <c r="B42" s="28" t="s">
        <v>51</v>
      </c>
      <c r="C42" s="55">
        <v>0</v>
      </c>
      <c r="D42" s="55">
        <v>0</v>
      </c>
      <c r="E42" s="55">
        <v>14.5</v>
      </c>
      <c r="F42" s="55">
        <v>52.75</v>
      </c>
      <c r="G42" s="55">
        <v>146.25</v>
      </c>
      <c r="H42" s="55">
        <v>213.5</v>
      </c>
      <c r="J42" s="24"/>
      <c r="K42" s="24"/>
      <c r="L42" s="24"/>
      <c r="M42" s="24"/>
      <c r="N42" s="24"/>
      <c r="O42" s="24"/>
      <c r="P42" s="24"/>
      <c r="Q42" s="24"/>
    </row>
    <row r="43" spans="1:17" s="28" customFormat="1" ht="14" x14ac:dyDescent="0.35">
      <c r="A43" s="27">
        <v>72</v>
      </c>
      <c r="B43" s="28" t="s">
        <v>30</v>
      </c>
      <c r="C43" s="55">
        <v>0</v>
      </c>
      <c r="D43" s="55">
        <v>1</v>
      </c>
      <c r="E43" s="55">
        <v>6</v>
      </c>
      <c r="F43" s="55">
        <v>6</v>
      </c>
      <c r="G43" s="55">
        <v>26</v>
      </c>
      <c r="H43" s="55">
        <v>39</v>
      </c>
      <c r="J43" s="24"/>
      <c r="K43" s="24"/>
      <c r="L43" s="24"/>
      <c r="M43" s="24"/>
      <c r="N43" s="24"/>
      <c r="O43" s="24"/>
      <c r="P43" s="24"/>
      <c r="Q43" s="24"/>
    </row>
    <row r="44" spans="1:17" s="23" customFormat="1" ht="26.25" customHeight="1" x14ac:dyDescent="0.35">
      <c r="A44" s="25"/>
      <c r="B44" s="23" t="s">
        <v>59</v>
      </c>
      <c r="C44" s="56">
        <f t="shared" ref="C44:H44" si="2">SUM(C45:C51)</f>
        <v>0</v>
      </c>
      <c r="D44" s="56">
        <f t="shared" si="2"/>
        <v>0</v>
      </c>
      <c r="E44" s="56">
        <f t="shared" si="2"/>
        <v>32.85</v>
      </c>
      <c r="F44" s="56">
        <f t="shared" si="2"/>
        <v>29.35</v>
      </c>
      <c r="G44" s="56">
        <f t="shared" si="2"/>
        <v>167.68</v>
      </c>
      <c r="H44" s="56">
        <f t="shared" si="2"/>
        <v>229.88</v>
      </c>
      <c r="J44" s="24"/>
      <c r="K44" s="24"/>
      <c r="L44" s="24"/>
      <c r="M44" s="24"/>
      <c r="N44" s="24"/>
      <c r="O44" s="24"/>
      <c r="P44" s="24"/>
      <c r="Q44" s="24"/>
    </row>
    <row r="45" spans="1:17" s="28" customFormat="1" ht="14" x14ac:dyDescent="0.35">
      <c r="A45" s="27">
        <v>66</v>
      </c>
      <c r="B45" s="28" t="s">
        <v>24</v>
      </c>
      <c r="C45" s="55">
        <v>0</v>
      </c>
      <c r="D45" s="55">
        <v>0</v>
      </c>
      <c r="E45" s="55">
        <v>2</v>
      </c>
      <c r="F45" s="55">
        <v>1</v>
      </c>
      <c r="G45" s="55">
        <v>15</v>
      </c>
      <c r="H45" s="55">
        <v>18</v>
      </c>
      <c r="J45" s="24"/>
      <c r="K45" s="24"/>
      <c r="L45" s="24"/>
      <c r="M45" s="24"/>
      <c r="N45" s="24"/>
      <c r="O45" s="24"/>
      <c r="P45" s="24"/>
      <c r="Q45" s="24"/>
    </row>
    <row r="46" spans="1:17" s="28" customFormat="1" ht="14" x14ac:dyDescent="0.35">
      <c r="A46" s="27">
        <v>78</v>
      </c>
      <c r="B46" s="28" t="s">
        <v>35</v>
      </c>
      <c r="C46" s="55">
        <v>0</v>
      </c>
      <c r="D46" s="55">
        <v>0</v>
      </c>
      <c r="E46" s="55">
        <v>11.85</v>
      </c>
      <c r="F46" s="55">
        <v>0.35</v>
      </c>
      <c r="G46" s="55">
        <v>36.93</v>
      </c>
      <c r="H46" s="55">
        <v>49.129999999999995</v>
      </c>
      <c r="J46" s="24"/>
      <c r="K46" s="24"/>
      <c r="L46" s="24"/>
      <c r="M46" s="24"/>
      <c r="N46" s="24"/>
      <c r="O46" s="24"/>
      <c r="P46" s="24"/>
      <c r="Q46" s="24"/>
    </row>
    <row r="47" spans="1:17" s="28" customFormat="1" ht="14" x14ac:dyDescent="0.35">
      <c r="A47" s="27">
        <v>89</v>
      </c>
      <c r="B47" s="28" t="s">
        <v>44</v>
      </c>
      <c r="C47" s="55">
        <v>0</v>
      </c>
      <c r="D47" s="55">
        <v>0</v>
      </c>
      <c r="E47" s="55">
        <v>6</v>
      </c>
      <c r="F47" s="55">
        <v>14</v>
      </c>
      <c r="G47" s="55">
        <v>47.75</v>
      </c>
      <c r="H47" s="55">
        <v>67.75</v>
      </c>
      <c r="J47" s="24"/>
      <c r="K47" s="24"/>
      <c r="L47" s="24"/>
      <c r="M47" s="24"/>
      <c r="N47" s="24"/>
      <c r="O47" s="24"/>
      <c r="P47" s="24"/>
      <c r="Q47" s="24"/>
    </row>
    <row r="48" spans="1:17" s="28" customFormat="1" ht="14" x14ac:dyDescent="0.35">
      <c r="A48" s="27">
        <v>93</v>
      </c>
      <c r="B48" s="28" t="s">
        <v>60</v>
      </c>
      <c r="C48" s="55">
        <v>0</v>
      </c>
      <c r="D48" s="55">
        <v>0</v>
      </c>
      <c r="E48" s="55">
        <v>0</v>
      </c>
      <c r="F48" s="55">
        <v>2</v>
      </c>
      <c r="G48" s="55">
        <v>9</v>
      </c>
      <c r="H48" s="55">
        <v>11</v>
      </c>
      <c r="J48" s="24"/>
      <c r="K48" s="24"/>
      <c r="L48" s="24"/>
      <c r="M48" s="24"/>
      <c r="N48" s="24"/>
      <c r="O48" s="24"/>
      <c r="P48" s="24"/>
      <c r="Q48" s="24"/>
    </row>
    <row r="49" spans="1:17" s="28" customFormat="1" ht="14" x14ac:dyDescent="0.35">
      <c r="A49" s="27">
        <v>95</v>
      </c>
      <c r="B49" s="28" t="s">
        <v>50</v>
      </c>
      <c r="C49" s="55">
        <v>0</v>
      </c>
      <c r="D49" s="55">
        <v>0</v>
      </c>
      <c r="E49" s="55">
        <v>5</v>
      </c>
      <c r="F49" s="55">
        <v>0</v>
      </c>
      <c r="G49" s="55">
        <v>0</v>
      </c>
      <c r="H49" s="55">
        <v>5</v>
      </c>
      <c r="J49" s="24"/>
      <c r="K49" s="24"/>
      <c r="L49" s="24"/>
      <c r="M49" s="24"/>
      <c r="N49" s="24"/>
      <c r="O49" s="24"/>
      <c r="P49" s="24"/>
      <c r="Q49" s="24"/>
    </row>
    <row r="50" spans="1:17" s="28" customFormat="1" ht="14" x14ac:dyDescent="0.35">
      <c r="A50" s="27">
        <v>97</v>
      </c>
      <c r="B50" s="28" t="s">
        <v>52</v>
      </c>
      <c r="C50" s="55">
        <v>0</v>
      </c>
      <c r="D50" s="55">
        <v>0</v>
      </c>
      <c r="E50" s="55">
        <v>8</v>
      </c>
      <c r="F50" s="55">
        <v>12</v>
      </c>
      <c r="G50" s="55">
        <v>59</v>
      </c>
      <c r="H50" s="55">
        <v>79</v>
      </c>
      <c r="J50" s="24"/>
      <c r="K50" s="24"/>
      <c r="L50" s="24"/>
      <c r="M50" s="24"/>
      <c r="N50" s="24"/>
      <c r="O50" s="24"/>
      <c r="P50" s="24"/>
      <c r="Q50" s="24"/>
    </row>
    <row r="51" spans="1:17" s="28" customFormat="1" ht="14" x14ac:dyDescent="0.35">
      <c r="A51" s="28">
        <v>77</v>
      </c>
      <c r="B51" s="42" t="s">
        <v>23</v>
      </c>
      <c r="C51" s="55">
        <v>0</v>
      </c>
      <c r="D51" s="55">
        <v>0</v>
      </c>
      <c r="E51" s="55">
        <v>0</v>
      </c>
      <c r="F51" s="55">
        <v>0</v>
      </c>
      <c r="G51" s="55">
        <v>0</v>
      </c>
      <c r="H51" s="55">
        <v>0</v>
      </c>
      <c r="J51" s="24"/>
      <c r="K51" s="24"/>
      <c r="L51" s="24"/>
      <c r="M51" s="24"/>
      <c r="N51" s="24"/>
      <c r="O51" s="24"/>
      <c r="P51" s="24"/>
      <c r="Q51" s="24"/>
    </row>
    <row r="52" spans="1:17" s="62" customFormat="1" x14ac:dyDescent="0.35">
      <c r="A52" s="27"/>
      <c r="B52" s="51"/>
      <c r="C52" s="60"/>
      <c r="D52" s="60"/>
      <c r="E52" s="61"/>
      <c r="F52" s="61"/>
      <c r="G52" s="61"/>
      <c r="H52" s="61"/>
    </row>
    <row r="53" spans="1:17" s="28" customFormat="1" ht="12.5" x14ac:dyDescent="0.35">
      <c r="A53" s="27"/>
      <c r="F53" s="43"/>
    </row>
    <row r="54" spans="1:17" s="28" customFormat="1" ht="12.5" x14ac:dyDescent="0.35">
      <c r="A54" s="27"/>
      <c r="B54" s="63" t="s">
        <v>71</v>
      </c>
      <c r="C54" s="43"/>
    </row>
    <row r="55" spans="1:17" x14ac:dyDescent="0.35">
      <c r="G55" s="59"/>
      <c r="H55" s="59"/>
    </row>
    <row r="56" spans="1:17" x14ac:dyDescent="0.35">
      <c r="F56" s="59"/>
    </row>
  </sheetData>
  <mergeCells count="1">
    <mergeCell ref="B1:H1"/>
  </mergeCells>
  <printOptions horizontalCentered="1" verticalCentered="1"/>
  <pageMargins left="0.43" right="0.46" top="0.33" bottom="0.25" header="0.31" footer="0.51181102362204722"/>
  <pageSetup paperSize="9" scale="7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theme="4"/>
    <pageSetUpPr fitToPage="1"/>
  </sheetPr>
  <dimension ref="A1:R56"/>
  <sheetViews>
    <sheetView showGridLines="0" zoomScale="85" zoomScaleNormal="85" workbookViewId="0">
      <pane xSplit="2" ySplit="2" topLeftCell="C12" activePane="bottomRight" state="frozen"/>
      <selection activeCell="A4" sqref="A4:H4"/>
      <selection pane="topRight" activeCell="A4" sqref="A4:H4"/>
      <selection pane="bottomLeft" activeCell="A4" sqref="A4:H4"/>
      <selection pane="bottomRight" activeCell="A4" sqref="A4:H4"/>
    </sheetView>
  </sheetViews>
  <sheetFormatPr defaultColWidth="9.1796875" defaultRowHeight="15.5" x14ac:dyDescent="0.35"/>
  <cols>
    <col min="1" max="1" width="3.453125" style="27" hidden="1" customWidth="1"/>
    <col min="2" max="2" width="22.7265625" style="51" customWidth="1"/>
    <col min="3" max="6" width="13" style="51" customWidth="1"/>
    <col min="7" max="8" width="13.54296875" style="51" customWidth="1"/>
    <col min="9" max="16384" width="9.1796875" style="51"/>
  </cols>
  <sheetData>
    <row r="1" spans="1:18" ht="39.75" customHeight="1" x14ac:dyDescent="0.35">
      <c r="B1" s="152" t="s">
        <v>79</v>
      </c>
      <c r="C1" s="153"/>
      <c r="D1" s="153"/>
      <c r="E1" s="153"/>
      <c r="F1" s="153"/>
      <c r="G1" s="153"/>
      <c r="H1" s="154"/>
    </row>
    <row r="2" spans="1:18" ht="30" customHeight="1" x14ac:dyDescent="0.35">
      <c r="B2" s="52"/>
      <c r="C2" s="21" t="s">
        <v>74</v>
      </c>
      <c r="D2" s="21" t="s">
        <v>75</v>
      </c>
      <c r="E2" s="21" t="s">
        <v>76</v>
      </c>
      <c r="F2" s="21" t="s">
        <v>77</v>
      </c>
      <c r="G2" s="21" t="s">
        <v>78</v>
      </c>
      <c r="H2" s="22" t="s">
        <v>1</v>
      </c>
    </row>
    <row r="3" spans="1:18" s="20" customFormat="1" ht="26.25" customHeight="1" x14ac:dyDescent="0.35">
      <c r="A3" s="25"/>
      <c r="B3" s="23" t="s">
        <v>80</v>
      </c>
      <c r="C3" s="53">
        <f t="shared" ref="C3:H3" si="0">C4+C44</f>
        <v>16</v>
      </c>
      <c r="D3" s="53">
        <f t="shared" si="0"/>
        <v>53.583300000000001</v>
      </c>
      <c r="E3" s="53">
        <f t="shared" si="0"/>
        <v>200.66999999999996</v>
      </c>
      <c r="F3" s="53">
        <f t="shared" si="0"/>
        <v>235.505</v>
      </c>
      <c r="G3" s="53">
        <f t="shared" si="0"/>
        <v>548.84950000000003</v>
      </c>
      <c r="H3" s="53">
        <f t="shared" si="0"/>
        <v>1054.6078</v>
      </c>
      <c r="I3" s="24"/>
      <c r="J3" s="24"/>
      <c r="K3" s="24"/>
      <c r="L3" s="24"/>
      <c r="M3" s="24"/>
      <c r="N3" s="24"/>
      <c r="O3" s="24"/>
      <c r="P3" s="24"/>
      <c r="Q3" s="24"/>
      <c r="R3" s="24"/>
    </row>
    <row r="4" spans="1:18" s="23" customFormat="1" ht="26.25" customHeight="1" x14ac:dyDescent="0.35">
      <c r="A4" s="25"/>
      <c r="B4" s="23" t="s">
        <v>55</v>
      </c>
      <c r="C4" s="54">
        <f t="shared" ref="C4:H4" si="1">SUM(C5:C43)</f>
        <v>13</v>
      </c>
      <c r="D4" s="54">
        <f t="shared" si="1"/>
        <v>46.583300000000001</v>
      </c>
      <c r="E4" s="54">
        <f t="shared" si="1"/>
        <v>149.89999999999998</v>
      </c>
      <c r="F4" s="54">
        <f t="shared" si="1"/>
        <v>176.38</v>
      </c>
      <c r="G4" s="54">
        <f t="shared" si="1"/>
        <v>391.97950000000003</v>
      </c>
      <c r="H4" s="54">
        <f t="shared" si="1"/>
        <v>777.84280000000001</v>
      </c>
      <c r="J4" s="24"/>
      <c r="K4" s="24"/>
      <c r="L4" s="24"/>
      <c r="M4" s="24"/>
      <c r="N4" s="24"/>
      <c r="O4" s="24"/>
      <c r="P4" s="24"/>
      <c r="Q4" s="24"/>
    </row>
    <row r="5" spans="1:18" s="28" customFormat="1" ht="14" x14ac:dyDescent="0.35">
      <c r="A5" s="27">
        <v>51</v>
      </c>
      <c r="B5" s="28" t="s">
        <v>7</v>
      </c>
      <c r="C5" s="55">
        <v>1</v>
      </c>
      <c r="D5" s="55">
        <v>1</v>
      </c>
      <c r="E5" s="55">
        <v>6</v>
      </c>
      <c r="F5" s="55">
        <v>10.81</v>
      </c>
      <c r="G5" s="55">
        <v>13</v>
      </c>
      <c r="H5" s="55">
        <v>31.810000000000002</v>
      </c>
      <c r="J5" s="24"/>
      <c r="K5" s="24"/>
      <c r="L5" s="24"/>
      <c r="M5" s="24"/>
      <c r="N5" s="24"/>
      <c r="O5" s="24"/>
      <c r="P5" s="24"/>
      <c r="Q5" s="24"/>
    </row>
    <row r="6" spans="1:18" s="28" customFormat="1" ht="14" x14ac:dyDescent="0.35">
      <c r="A6" s="27">
        <v>52</v>
      </c>
      <c r="B6" s="28" t="s">
        <v>8</v>
      </c>
      <c r="C6" s="55">
        <v>0</v>
      </c>
      <c r="D6" s="55">
        <v>3</v>
      </c>
      <c r="E6" s="55">
        <v>4</v>
      </c>
      <c r="F6" s="55">
        <v>4</v>
      </c>
      <c r="G6" s="55">
        <v>12</v>
      </c>
      <c r="H6" s="55">
        <v>23</v>
      </c>
      <c r="J6" s="24"/>
      <c r="K6" s="24"/>
      <c r="L6" s="24"/>
      <c r="M6" s="24"/>
      <c r="N6" s="24"/>
      <c r="O6" s="24"/>
      <c r="P6" s="24"/>
      <c r="Q6" s="24"/>
    </row>
    <row r="7" spans="1:18" s="28" customFormat="1" ht="14" x14ac:dyDescent="0.35">
      <c r="A7" s="27">
        <v>86</v>
      </c>
      <c r="B7" s="28" t="s">
        <v>9</v>
      </c>
      <c r="C7" s="55">
        <v>0</v>
      </c>
      <c r="D7" s="55">
        <v>1</v>
      </c>
      <c r="E7" s="55">
        <v>5</v>
      </c>
      <c r="F7" s="55">
        <v>12.87</v>
      </c>
      <c r="G7" s="55">
        <v>18.5</v>
      </c>
      <c r="H7" s="55">
        <v>37.369999999999997</v>
      </c>
      <c r="J7" s="24"/>
      <c r="K7" s="24"/>
      <c r="L7" s="24"/>
      <c r="M7" s="24"/>
      <c r="N7" s="24"/>
      <c r="O7" s="24"/>
      <c r="P7" s="24"/>
      <c r="Q7" s="24"/>
    </row>
    <row r="8" spans="1:18" s="28" customFormat="1" ht="14" x14ac:dyDescent="0.35">
      <c r="A8" s="27">
        <v>53</v>
      </c>
      <c r="B8" s="28" t="s">
        <v>10</v>
      </c>
      <c r="C8" s="55">
        <v>0</v>
      </c>
      <c r="D8" s="55">
        <v>0</v>
      </c>
      <c r="E8" s="55">
        <v>0</v>
      </c>
      <c r="F8" s="55">
        <v>0</v>
      </c>
      <c r="G8" s="55">
        <v>0</v>
      </c>
      <c r="H8" s="55">
        <v>0</v>
      </c>
      <c r="J8" s="24"/>
      <c r="K8" s="24"/>
      <c r="L8" s="24"/>
      <c r="M8" s="24"/>
      <c r="N8" s="24"/>
      <c r="O8" s="24"/>
      <c r="P8" s="24"/>
      <c r="Q8" s="24"/>
    </row>
    <row r="9" spans="1:18" s="28" customFormat="1" ht="14" x14ac:dyDescent="0.35">
      <c r="A9" s="27">
        <v>54</v>
      </c>
      <c r="B9" s="28" t="s">
        <v>11</v>
      </c>
      <c r="C9" s="55">
        <v>1</v>
      </c>
      <c r="D9" s="55">
        <v>2</v>
      </c>
      <c r="E9" s="55">
        <v>5.8</v>
      </c>
      <c r="F9" s="55">
        <v>11.2</v>
      </c>
      <c r="G9" s="55">
        <v>19.8</v>
      </c>
      <c r="H9" s="55">
        <v>39.799999999999997</v>
      </c>
      <c r="J9" s="24"/>
      <c r="K9" s="24"/>
      <c r="L9" s="24"/>
      <c r="M9" s="24"/>
      <c r="N9" s="24"/>
      <c r="O9" s="24"/>
      <c r="P9" s="24"/>
      <c r="Q9" s="24"/>
    </row>
    <row r="10" spans="1:18" s="28" customFormat="1" ht="14" x14ac:dyDescent="0.35">
      <c r="A10" s="27">
        <v>55</v>
      </c>
      <c r="B10" s="28" t="s">
        <v>12</v>
      </c>
      <c r="C10" s="55">
        <v>0</v>
      </c>
      <c r="D10" s="55">
        <v>0</v>
      </c>
      <c r="E10" s="55">
        <v>0</v>
      </c>
      <c r="F10" s="55">
        <v>0</v>
      </c>
      <c r="G10" s="55">
        <v>0</v>
      </c>
      <c r="H10" s="55">
        <v>0</v>
      </c>
      <c r="J10" s="24"/>
      <c r="K10" s="24"/>
      <c r="L10" s="24"/>
      <c r="M10" s="24"/>
      <c r="N10" s="24"/>
      <c r="O10" s="24"/>
      <c r="P10" s="24"/>
      <c r="Q10" s="24"/>
    </row>
    <row r="11" spans="1:18" s="28" customFormat="1" ht="14" x14ac:dyDescent="0.35">
      <c r="A11" s="27">
        <v>56</v>
      </c>
      <c r="B11" s="28" t="s">
        <v>13</v>
      </c>
      <c r="C11" s="55">
        <v>0</v>
      </c>
      <c r="D11" s="55">
        <v>0</v>
      </c>
      <c r="E11" s="55">
        <v>3.5</v>
      </c>
      <c r="F11" s="55">
        <v>9.5</v>
      </c>
      <c r="G11" s="55">
        <v>7</v>
      </c>
      <c r="H11" s="55">
        <v>20</v>
      </c>
      <c r="J11" s="24"/>
      <c r="K11" s="24"/>
      <c r="L11" s="24"/>
      <c r="M11" s="24"/>
      <c r="N11" s="24"/>
      <c r="O11" s="24"/>
      <c r="P11" s="24"/>
      <c r="Q11" s="24"/>
    </row>
    <row r="12" spans="1:18" s="28" customFormat="1" ht="14" x14ac:dyDescent="0.35">
      <c r="A12" s="27">
        <v>57</v>
      </c>
      <c r="B12" s="28" t="s">
        <v>14</v>
      </c>
      <c r="C12" s="55">
        <v>0</v>
      </c>
      <c r="D12" s="55">
        <v>0</v>
      </c>
      <c r="E12" s="55">
        <v>5</v>
      </c>
      <c r="F12" s="55">
        <v>4</v>
      </c>
      <c r="G12" s="55">
        <v>5.64</v>
      </c>
      <c r="H12" s="55">
        <v>14.64</v>
      </c>
      <c r="J12" s="24"/>
      <c r="K12" s="24"/>
      <c r="L12" s="24"/>
      <c r="M12" s="24"/>
      <c r="N12" s="24"/>
      <c r="O12" s="24"/>
      <c r="P12" s="24"/>
      <c r="Q12" s="24"/>
    </row>
    <row r="13" spans="1:18" s="28" customFormat="1" ht="14" x14ac:dyDescent="0.35">
      <c r="A13" s="27">
        <v>59</v>
      </c>
      <c r="B13" s="28" t="s">
        <v>15</v>
      </c>
      <c r="C13" s="55">
        <v>0</v>
      </c>
      <c r="D13" s="55">
        <v>0</v>
      </c>
      <c r="E13" s="55">
        <v>0</v>
      </c>
      <c r="F13" s="55">
        <v>0</v>
      </c>
      <c r="G13" s="55">
        <v>0</v>
      </c>
      <c r="H13" s="55">
        <v>0</v>
      </c>
      <c r="J13" s="24"/>
      <c r="K13" s="24"/>
      <c r="L13" s="24"/>
      <c r="M13" s="24"/>
      <c r="N13" s="24"/>
      <c r="O13" s="24"/>
      <c r="P13" s="24"/>
      <c r="Q13" s="24"/>
    </row>
    <row r="14" spans="1:18" s="28" customFormat="1" ht="14" x14ac:dyDescent="0.35">
      <c r="A14" s="27">
        <v>60</v>
      </c>
      <c r="B14" s="28" t="s">
        <v>16</v>
      </c>
      <c r="C14" s="55">
        <v>0</v>
      </c>
      <c r="D14" s="55">
        <v>1</v>
      </c>
      <c r="E14" s="55">
        <v>6</v>
      </c>
      <c r="F14" s="55">
        <v>5</v>
      </c>
      <c r="G14" s="55">
        <v>12</v>
      </c>
      <c r="H14" s="55">
        <v>24</v>
      </c>
      <c r="J14" s="24"/>
      <c r="K14" s="24"/>
      <c r="L14" s="24"/>
      <c r="M14" s="24"/>
      <c r="N14" s="24"/>
      <c r="O14" s="24"/>
      <c r="P14" s="24"/>
      <c r="Q14" s="24"/>
    </row>
    <row r="15" spans="1:18" s="28" customFormat="1" ht="14" x14ac:dyDescent="0.35">
      <c r="A15" s="27">
        <v>61</v>
      </c>
      <c r="B15" s="29" t="s">
        <v>56</v>
      </c>
      <c r="C15" s="55">
        <v>2</v>
      </c>
      <c r="D15" s="55">
        <v>0</v>
      </c>
      <c r="E15" s="55">
        <v>8</v>
      </c>
      <c r="F15" s="55">
        <v>12</v>
      </c>
      <c r="G15" s="55">
        <v>16.88</v>
      </c>
      <c r="H15" s="55">
        <v>38.879999999999995</v>
      </c>
      <c r="J15" s="24"/>
      <c r="K15" s="24"/>
      <c r="L15" s="24"/>
      <c r="M15" s="24"/>
      <c r="N15" s="24"/>
      <c r="O15" s="24"/>
      <c r="P15" s="24"/>
      <c r="Q15" s="24"/>
    </row>
    <row r="16" spans="1:18" s="28" customFormat="1" ht="14" x14ac:dyDescent="0.35">
      <c r="A16" s="27">
        <v>62</v>
      </c>
      <c r="B16" s="28" t="s">
        <v>143</v>
      </c>
      <c r="C16" s="55">
        <v>0</v>
      </c>
      <c r="D16" s="55">
        <v>3</v>
      </c>
      <c r="E16" s="55">
        <v>8</v>
      </c>
      <c r="F16" s="55">
        <v>8</v>
      </c>
      <c r="G16" s="55">
        <v>15.67</v>
      </c>
      <c r="H16" s="55">
        <v>34.67</v>
      </c>
      <c r="J16" s="24"/>
      <c r="K16" s="24"/>
      <c r="L16" s="24"/>
      <c r="M16" s="24"/>
      <c r="N16" s="24"/>
      <c r="O16" s="24"/>
      <c r="P16" s="24"/>
      <c r="Q16" s="24"/>
    </row>
    <row r="17" spans="1:17" s="28" customFormat="1" ht="14" x14ac:dyDescent="0.35">
      <c r="A17" s="27">
        <v>58</v>
      </c>
      <c r="B17" s="28" t="s">
        <v>19</v>
      </c>
      <c r="C17" s="55">
        <v>0</v>
      </c>
      <c r="D17" s="55">
        <v>2</v>
      </c>
      <c r="E17" s="55">
        <v>4</v>
      </c>
      <c r="F17" s="55">
        <v>4</v>
      </c>
      <c r="G17" s="55">
        <v>18</v>
      </c>
      <c r="H17" s="55">
        <v>28</v>
      </c>
      <c r="J17" s="24"/>
      <c r="K17" s="24"/>
      <c r="L17" s="24"/>
      <c r="M17" s="24"/>
      <c r="N17" s="24"/>
      <c r="O17" s="24"/>
      <c r="P17" s="24"/>
      <c r="Q17" s="24"/>
    </row>
    <row r="18" spans="1:17" s="28" customFormat="1" ht="14" x14ac:dyDescent="0.35">
      <c r="A18" s="27">
        <v>63</v>
      </c>
      <c r="B18" s="28" t="s">
        <v>20</v>
      </c>
      <c r="C18" s="55">
        <v>1</v>
      </c>
      <c r="D18" s="55">
        <v>2</v>
      </c>
      <c r="E18" s="55">
        <v>5</v>
      </c>
      <c r="F18" s="55">
        <v>8</v>
      </c>
      <c r="G18" s="55">
        <v>22.4</v>
      </c>
      <c r="H18" s="55">
        <v>38.4</v>
      </c>
      <c r="J18" s="24"/>
      <c r="K18" s="24"/>
      <c r="L18" s="24"/>
      <c r="M18" s="24"/>
      <c r="N18" s="24"/>
      <c r="O18" s="24"/>
      <c r="P18" s="24"/>
      <c r="Q18" s="24"/>
    </row>
    <row r="19" spans="1:17" s="28" customFormat="1" ht="14" x14ac:dyDescent="0.35">
      <c r="A19" s="27">
        <v>64</v>
      </c>
      <c r="B19" s="28" t="s">
        <v>21</v>
      </c>
      <c r="C19" s="55">
        <v>1</v>
      </c>
      <c r="D19" s="55">
        <v>0</v>
      </c>
      <c r="E19" s="55">
        <v>7</v>
      </c>
      <c r="F19" s="55">
        <v>3</v>
      </c>
      <c r="G19" s="55">
        <v>20</v>
      </c>
      <c r="H19" s="55">
        <v>31</v>
      </c>
      <c r="J19" s="24"/>
      <c r="K19" s="24"/>
      <c r="L19" s="24"/>
      <c r="M19" s="24"/>
      <c r="N19" s="24"/>
      <c r="O19" s="24"/>
      <c r="P19" s="24"/>
      <c r="Q19" s="24"/>
    </row>
    <row r="20" spans="1:17" s="28" customFormat="1" ht="14" x14ac:dyDescent="0.35">
      <c r="A20" s="27">
        <v>65</v>
      </c>
      <c r="B20" s="28" t="s">
        <v>22</v>
      </c>
      <c r="C20" s="55">
        <v>0</v>
      </c>
      <c r="D20" s="55">
        <v>0</v>
      </c>
      <c r="E20" s="55">
        <v>4</v>
      </c>
      <c r="F20" s="55">
        <v>5</v>
      </c>
      <c r="G20" s="55">
        <v>7.21</v>
      </c>
      <c r="H20" s="55">
        <v>16.21</v>
      </c>
      <c r="J20" s="24"/>
      <c r="K20" s="24"/>
      <c r="L20" s="24"/>
      <c r="M20" s="24"/>
      <c r="N20" s="24"/>
      <c r="O20" s="24"/>
      <c r="P20" s="24"/>
      <c r="Q20" s="24"/>
    </row>
    <row r="21" spans="1:17" s="28" customFormat="1" ht="14" x14ac:dyDescent="0.35">
      <c r="A21" s="27">
        <v>67</v>
      </c>
      <c r="B21" s="28" t="s">
        <v>25</v>
      </c>
      <c r="C21" s="55">
        <v>2</v>
      </c>
      <c r="D21" s="55">
        <v>3</v>
      </c>
      <c r="E21" s="55">
        <v>4</v>
      </c>
      <c r="F21" s="55">
        <v>9</v>
      </c>
      <c r="G21" s="55">
        <v>15.57</v>
      </c>
      <c r="H21" s="55">
        <v>33.57</v>
      </c>
      <c r="J21" s="24"/>
      <c r="K21" s="24"/>
      <c r="L21" s="24"/>
      <c r="M21" s="24"/>
      <c r="N21" s="24"/>
      <c r="O21" s="24"/>
      <c r="P21" s="24"/>
      <c r="Q21" s="24"/>
    </row>
    <row r="22" spans="1:17" s="28" customFormat="1" ht="14" x14ac:dyDescent="0.35">
      <c r="A22" s="27">
        <v>68</v>
      </c>
      <c r="B22" s="28" t="s">
        <v>57</v>
      </c>
      <c r="C22" s="55">
        <v>0</v>
      </c>
      <c r="D22" s="55">
        <v>1</v>
      </c>
      <c r="E22" s="55">
        <v>2</v>
      </c>
      <c r="F22" s="55">
        <v>5</v>
      </c>
      <c r="G22" s="55">
        <v>10</v>
      </c>
      <c r="H22" s="55">
        <v>18</v>
      </c>
      <c r="J22" s="24"/>
      <c r="K22" s="24"/>
      <c r="L22" s="24"/>
      <c r="M22" s="24"/>
      <c r="N22" s="24"/>
      <c r="O22" s="24"/>
      <c r="P22" s="24"/>
      <c r="Q22" s="24"/>
    </row>
    <row r="23" spans="1:17" s="28" customFormat="1" ht="14" x14ac:dyDescent="0.35">
      <c r="A23" s="27">
        <v>69</v>
      </c>
      <c r="B23" s="28" t="s">
        <v>27</v>
      </c>
      <c r="C23" s="55">
        <v>0</v>
      </c>
      <c r="D23" s="55">
        <v>1</v>
      </c>
      <c r="E23" s="55">
        <v>7.6</v>
      </c>
      <c r="F23" s="55">
        <v>3</v>
      </c>
      <c r="G23" s="55">
        <v>11</v>
      </c>
      <c r="H23" s="55">
        <v>22.6</v>
      </c>
      <c r="J23" s="24"/>
      <c r="K23" s="24"/>
      <c r="L23" s="24"/>
      <c r="M23" s="24"/>
      <c r="N23" s="24"/>
      <c r="O23" s="24"/>
      <c r="P23" s="24"/>
      <c r="Q23" s="24"/>
    </row>
    <row r="24" spans="1:17" s="28" customFormat="1" ht="14" x14ac:dyDescent="0.35">
      <c r="A24" s="27">
        <v>70</v>
      </c>
      <c r="B24" s="28" t="s">
        <v>28</v>
      </c>
      <c r="C24" s="55">
        <v>2</v>
      </c>
      <c r="D24" s="55">
        <v>1</v>
      </c>
      <c r="E24" s="55">
        <v>7</v>
      </c>
      <c r="F24" s="55">
        <v>9</v>
      </c>
      <c r="G24" s="55">
        <v>12</v>
      </c>
      <c r="H24" s="55">
        <v>31</v>
      </c>
      <c r="J24" s="24"/>
      <c r="K24" s="24"/>
      <c r="L24" s="24"/>
      <c r="M24" s="24"/>
      <c r="N24" s="24"/>
      <c r="O24" s="24"/>
      <c r="P24" s="24"/>
      <c r="Q24" s="24"/>
    </row>
    <row r="25" spans="1:17" s="28" customFormat="1" ht="14" x14ac:dyDescent="0.35">
      <c r="A25" s="27">
        <v>71</v>
      </c>
      <c r="B25" s="28" t="s">
        <v>58</v>
      </c>
      <c r="C25" s="55">
        <v>0</v>
      </c>
      <c r="D25" s="55">
        <v>0</v>
      </c>
      <c r="E25" s="55">
        <v>0</v>
      </c>
      <c r="F25" s="55">
        <v>0</v>
      </c>
      <c r="G25" s="55">
        <v>0</v>
      </c>
      <c r="H25" s="55">
        <v>0</v>
      </c>
      <c r="J25" s="24"/>
      <c r="K25" s="24"/>
      <c r="L25" s="24"/>
      <c r="M25" s="24"/>
      <c r="N25" s="24"/>
      <c r="O25" s="24"/>
      <c r="P25" s="24"/>
      <c r="Q25" s="24"/>
    </row>
    <row r="26" spans="1:17" s="28" customFormat="1" ht="14" x14ac:dyDescent="0.35">
      <c r="A26" s="27">
        <v>73</v>
      </c>
      <c r="B26" s="28" t="s">
        <v>31</v>
      </c>
      <c r="C26" s="55">
        <v>1</v>
      </c>
      <c r="D26" s="55">
        <v>3</v>
      </c>
      <c r="E26" s="55">
        <v>3</v>
      </c>
      <c r="F26" s="55">
        <v>10</v>
      </c>
      <c r="G26" s="55">
        <v>17</v>
      </c>
      <c r="H26" s="55">
        <v>34</v>
      </c>
      <c r="J26" s="24"/>
      <c r="K26" s="24"/>
      <c r="L26" s="24"/>
      <c r="M26" s="24"/>
      <c r="N26" s="24"/>
      <c r="O26" s="24"/>
      <c r="P26" s="24"/>
      <c r="Q26" s="24"/>
    </row>
    <row r="27" spans="1:17" s="28" customFormat="1" ht="14" x14ac:dyDescent="0.35">
      <c r="A27" s="27">
        <v>74</v>
      </c>
      <c r="B27" s="28" t="s">
        <v>32</v>
      </c>
      <c r="C27" s="55">
        <v>0</v>
      </c>
      <c r="D27" s="55">
        <v>0</v>
      </c>
      <c r="E27" s="55">
        <v>0</v>
      </c>
      <c r="F27" s="55">
        <v>0</v>
      </c>
      <c r="G27" s="55">
        <v>0</v>
      </c>
      <c r="H27" s="55">
        <v>0</v>
      </c>
      <c r="J27" s="24"/>
      <c r="K27" s="24"/>
      <c r="L27" s="24"/>
      <c r="M27" s="24"/>
      <c r="N27" s="24"/>
      <c r="O27" s="24"/>
      <c r="P27" s="24"/>
      <c r="Q27" s="24"/>
    </row>
    <row r="28" spans="1:17" s="28" customFormat="1" ht="14" x14ac:dyDescent="0.35">
      <c r="A28" s="27">
        <v>75</v>
      </c>
      <c r="B28" s="28" t="s">
        <v>33</v>
      </c>
      <c r="C28" s="55">
        <v>0</v>
      </c>
      <c r="D28" s="55">
        <v>1</v>
      </c>
      <c r="E28" s="55">
        <v>5</v>
      </c>
      <c r="F28" s="55">
        <v>8</v>
      </c>
      <c r="G28" s="55">
        <v>8</v>
      </c>
      <c r="H28" s="55">
        <v>22</v>
      </c>
      <c r="J28" s="24"/>
      <c r="K28" s="24"/>
      <c r="L28" s="24"/>
      <c r="M28" s="24"/>
      <c r="N28" s="24"/>
      <c r="O28" s="24"/>
      <c r="P28" s="24"/>
      <c r="Q28" s="24"/>
    </row>
    <row r="29" spans="1:17" s="28" customFormat="1" ht="14" x14ac:dyDescent="0.35">
      <c r="A29" s="27">
        <v>76</v>
      </c>
      <c r="B29" s="28" t="s">
        <v>34</v>
      </c>
      <c r="C29" s="55">
        <v>0</v>
      </c>
      <c r="D29" s="55">
        <v>2</v>
      </c>
      <c r="E29" s="55">
        <v>6</v>
      </c>
      <c r="F29" s="55">
        <v>0</v>
      </c>
      <c r="G29" s="55">
        <v>12</v>
      </c>
      <c r="H29" s="55">
        <v>20</v>
      </c>
      <c r="J29" s="24"/>
      <c r="K29" s="24"/>
      <c r="L29" s="24"/>
      <c r="M29" s="24"/>
      <c r="N29" s="24"/>
      <c r="O29" s="24"/>
      <c r="P29" s="24"/>
      <c r="Q29" s="24"/>
    </row>
    <row r="30" spans="1:17" s="28" customFormat="1" ht="14" x14ac:dyDescent="0.35">
      <c r="A30" s="27">
        <v>79</v>
      </c>
      <c r="B30" s="28" t="s">
        <v>36</v>
      </c>
      <c r="C30" s="55">
        <v>0</v>
      </c>
      <c r="D30" s="55">
        <v>0</v>
      </c>
      <c r="E30" s="55">
        <v>5</v>
      </c>
      <c r="F30" s="55">
        <v>5</v>
      </c>
      <c r="G30" s="55">
        <v>13</v>
      </c>
      <c r="H30" s="55">
        <v>23</v>
      </c>
      <c r="J30" s="24"/>
      <c r="K30" s="24"/>
      <c r="L30" s="24"/>
      <c r="M30" s="24"/>
      <c r="N30" s="24"/>
      <c r="O30" s="24"/>
      <c r="P30" s="24"/>
      <c r="Q30" s="24"/>
    </row>
    <row r="31" spans="1:17" s="28" customFormat="1" ht="14" x14ac:dyDescent="0.35">
      <c r="A31" s="27"/>
      <c r="B31" s="67" t="s">
        <v>81</v>
      </c>
      <c r="C31" s="55">
        <v>1</v>
      </c>
      <c r="D31" s="55">
        <v>6</v>
      </c>
      <c r="E31" s="55">
        <v>12</v>
      </c>
      <c r="F31" s="55">
        <v>0</v>
      </c>
      <c r="G31" s="55">
        <v>37</v>
      </c>
      <c r="H31" s="55">
        <v>56</v>
      </c>
      <c r="J31" s="24"/>
      <c r="K31" s="24"/>
      <c r="L31" s="24"/>
      <c r="M31" s="24"/>
      <c r="N31" s="24"/>
      <c r="O31" s="24"/>
      <c r="P31" s="24"/>
      <c r="Q31" s="24"/>
    </row>
    <row r="32" spans="1:17" s="28" customFormat="1" ht="14" x14ac:dyDescent="0.35">
      <c r="A32" s="27">
        <v>80</v>
      </c>
      <c r="B32" s="28" t="s">
        <v>38</v>
      </c>
      <c r="C32" s="55">
        <v>0</v>
      </c>
      <c r="D32" s="55">
        <v>3</v>
      </c>
      <c r="E32" s="55">
        <v>4</v>
      </c>
      <c r="F32" s="55">
        <v>4</v>
      </c>
      <c r="G32" s="55">
        <v>10</v>
      </c>
      <c r="H32" s="55">
        <v>21</v>
      </c>
      <c r="J32" s="24"/>
      <c r="K32" s="24"/>
      <c r="L32" s="24"/>
      <c r="M32" s="24"/>
      <c r="N32" s="24"/>
      <c r="O32" s="24"/>
      <c r="P32" s="24"/>
      <c r="Q32" s="24"/>
    </row>
    <row r="33" spans="1:17" s="28" customFormat="1" ht="14" x14ac:dyDescent="0.35">
      <c r="A33" s="27">
        <v>81</v>
      </c>
      <c r="B33" s="28" t="s">
        <v>39</v>
      </c>
      <c r="C33" s="55">
        <v>0</v>
      </c>
      <c r="D33" s="55">
        <v>0</v>
      </c>
      <c r="E33" s="55">
        <v>3</v>
      </c>
      <c r="F33" s="55">
        <v>3</v>
      </c>
      <c r="G33" s="55">
        <v>11</v>
      </c>
      <c r="H33" s="55">
        <v>17</v>
      </c>
      <c r="J33" s="24"/>
      <c r="K33" s="24"/>
      <c r="L33" s="24"/>
      <c r="M33" s="24"/>
      <c r="N33" s="24"/>
      <c r="O33" s="24"/>
      <c r="P33" s="24"/>
      <c r="Q33" s="24"/>
    </row>
    <row r="34" spans="1:17" s="28" customFormat="1" ht="14" x14ac:dyDescent="0.35">
      <c r="A34" s="27">
        <v>83</v>
      </c>
      <c r="B34" s="28" t="s">
        <v>40</v>
      </c>
      <c r="C34" s="55">
        <v>0</v>
      </c>
      <c r="D34" s="55">
        <v>0</v>
      </c>
      <c r="E34" s="55">
        <v>4</v>
      </c>
      <c r="F34" s="55">
        <v>4</v>
      </c>
      <c r="G34" s="55">
        <v>9</v>
      </c>
      <c r="H34" s="55">
        <v>17</v>
      </c>
      <c r="J34" s="24"/>
      <c r="K34" s="24"/>
      <c r="L34" s="24"/>
      <c r="M34" s="24"/>
      <c r="N34" s="24"/>
      <c r="O34" s="24"/>
      <c r="P34" s="24"/>
      <c r="Q34" s="24"/>
    </row>
    <row r="35" spans="1:17" s="28" customFormat="1" ht="14" x14ac:dyDescent="0.35">
      <c r="A35" s="27">
        <v>84</v>
      </c>
      <c r="B35" s="28" t="s">
        <v>41</v>
      </c>
      <c r="C35" s="55">
        <v>0</v>
      </c>
      <c r="D35" s="55">
        <v>2</v>
      </c>
      <c r="E35" s="55">
        <v>4</v>
      </c>
      <c r="F35" s="55">
        <v>7</v>
      </c>
      <c r="G35" s="55">
        <v>13</v>
      </c>
      <c r="H35" s="55">
        <v>26</v>
      </c>
      <c r="J35" s="24"/>
      <c r="K35" s="24"/>
      <c r="L35" s="24"/>
      <c r="M35" s="24"/>
      <c r="N35" s="24"/>
      <c r="O35" s="24"/>
      <c r="P35" s="24"/>
      <c r="Q35" s="24"/>
    </row>
    <row r="36" spans="1:17" s="28" customFormat="1" ht="14" x14ac:dyDescent="0.35">
      <c r="A36" s="27">
        <v>85</v>
      </c>
      <c r="B36" s="28" t="s">
        <v>42</v>
      </c>
      <c r="C36" s="55">
        <v>0</v>
      </c>
      <c r="D36" s="55">
        <v>0</v>
      </c>
      <c r="E36" s="55">
        <v>0</v>
      </c>
      <c r="F36" s="55">
        <v>0</v>
      </c>
      <c r="G36" s="55">
        <v>0</v>
      </c>
      <c r="H36" s="55">
        <v>0</v>
      </c>
      <c r="J36" s="24"/>
      <c r="K36" s="24"/>
      <c r="L36" s="24"/>
      <c r="M36" s="24"/>
      <c r="N36" s="24"/>
      <c r="O36" s="24"/>
      <c r="P36" s="24"/>
      <c r="Q36" s="24"/>
    </row>
    <row r="37" spans="1:17" s="28" customFormat="1" ht="14" x14ac:dyDescent="0.35">
      <c r="A37" s="27">
        <v>87</v>
      </c>
      <c r="B37" s="28" t="s">
        <v>43</v>
      </c>
      <c r="C37" s="55">
        <v>0</v>
      </c>
      <c r="D37" s="55">
        <v>1</v>
      </c>
      <c r="E37" s="55">
        <v>4</v>
      </c>
      <c r="F37" s="55">
        <v>4</v>
      </c>
      <c r="G37" s="55">
        <v>8</v>
      </c>
      <c r="H37" s="55">
        <v>17</v>
      </c>
      <c r="J37" s="24"/>
      <c r="K37" s="24"/>
      <c r="L37" s="24"/>
      <c r="M37" s="24"/>
      <c r="N37" s="24"/>
      <c r="O37" s="24"/>
      <c r="P37" s="24"/>
      <c r="Q37" s="24"/>
    </row>
    <row r="38" spans="1:17" s="28" customFormat="1" ht="14" x14ac:dyDescent="0.35">
      <c r="A38" s="27">
        <v>90</v>
      </c>
      <c r="B38" s="28" t="s">
        <v>45</v>
      </c>
      <c r="C38" s="55">
        <v>0</v>
      </c>
      <c r="D38" s="55">
        <v>0</v>
      </c>
      <c r="E38" s="55">
        <v>0</v>
      </c>
      <c r="F38" s="55">
        <v>0</v>
      </c>
      <c r="G38" s="55">
        <v>0</v>
      </c>
      <c r="H38" s="55">
        <v>0</v>
      </c>
      <c r="J38" s="24"/>
      <c r="K38" s="24"/>
      <c r="L38" s="24"/>
      <c r="M38" s="24"/>
      <c r="N38" s="24"/>
      <c r="O38" s="24"/>
      <c r="P38" s="24"/>
      <c r="Q38" s="24"/>
    </row>
    <row r="39" spans="1:17" s="28" customFormat="1" ht="14" x14ac:dyDescent="0.35">
      <c r="A39" s="27">
        <v>91</v>
      </c>
      <c r="B39" s="28" t="s">
        <v>46</v>
      </c>
      <c r="C39" s="55">
        <v>0</v>
      </c>
      <c r="D39" s="55">
        <v>0</v>
      </c>
      <c r="E39" s="55">
        <v>0</v>
      </c>
      <c r="F39" s="55">
        <v>0</v>
      </c>
      <c r="G39" s="55">
        <v>0</v>
      </c>
      <c r="H39" s="55">
        <v>0</v>
      </c>
      <c r="J39" s="24"/>
      <c r="K39" s="24"/>
      <c r="L39" s="24"/>
      <c r="M39" s="24"/>
      <c r="N39" s="24"/>
      <c r="O39" s="24"/>
      <c r="P39" s="24"/>
      <c r="Q39" s="24"/>
    </row>
    <row r="40" spans="1:17" s="28" customFormat="1" ht="14" x14ac:dyDescent="0.35">
      <c r="A40" s="27">
        <v>92</v>
      </c>
      <c r="B40" s="28" t="s">
        <v>47</v>
      </c>
      <c r="C40" s="55">
        <v>1</v>
      </c>
      <c r="D40" s="55">
        <v>4.5832999999999995</v>
      </c>
      <c r="E40" s="55">
        <v>4</v>
      </c>
      <c r="F40" s="55">
        <v>5</v>
      </c>
      <c r="G40" s="55">
        <v>10.8095</v>
      </c>
      <c r="H40" s="55">
        <v>25.392800000000001</v>
      </c>
      <c r="J40" s="24"/>
      <c r="K40" s="24"/>
      <c r="L40" s="24"/>
      <c r="M40" s="24"/>
      <c r="N40" s="24"/>
      <c r="O40" s="24"/>
      <c r="P40" s="24"/>
      <c r="Q40" s="24"/>
    </row>
    <row r="41" spans="1:17" s="28" customFormat="1" ht="14" x14ac:dyDescent="0.35">
      <c r="A41" s="27">
        <v>94</v>
      </c>
      <c r="B41" s="28" t="s">
        <v>49</v>
      </c>
      <c r="C41" s="55">
        <v>0</v>
      </c>
      <c r="D41" s="55">
        <v>3</v>
      </c>
      <c r="E41" s="55">
        <v>4</v>
      </c>
      <c r="F41" s="55">
        <v>3</v>
      </c>
      <c r="G41" s="55">
        <v>6.5</v>
      </c>
      <c r="H41" s="55">
        <v>16.5</v>
      </c>
      <c r="J41" s="24"/>
      <c r="K41" s="24"/>
      <c r="L41" s="24"/>
      <c r="M41" s="24"/>
      <c r="N41" s="24"/>
      <c r="O41" s="24"/>
      <c r="P41" s="24"/>
      <c r="Q41" s="24"/>
    </row>
    <row r="42" spans="1:17" s="28" customFormat="1" ht="14" x14ac:dyDescent="0.35">
      <c r="A42" s="27">
        <v>96</v>
      </c>
      <c r="B42" s="28" t="s">
        <v>51</v>
      </c>
      <c r="C42" s="55">
        <v>0</v>
      </c>
      <c r="D42" s="55">
        <v>0</v>
      </c>
      <c r="E42" s="55">
        <v>0</v>
      </c>
      <c r="F42" s="55">
        <v>0</v>
      </c>
      <c r="G42" s="55">
        <v>0</v>
      </c>
      <c r="H42" s="55">
        <v>0</v>
      </c>
      <c r="J42" s="24"/>
      <c r="K42" s="24"/>
      <c r="L42" s="24"/>
      <c r="M42" s="24"/>
      <c r="N42" s="24"/>
      <c r="O42" s="24"/>
      <c r="P42" s="24"/>
      <c r="Q42" s="24"/>
    </row>
    <row r="43" spans="1:17" s="28" customFormat="1" ht="14" x14ac:dyDescent="0.35">
      <c r="A43" s="27">
        <v>72</v>
      </c>
      <c r="B43" s="28" t="s">
        <v>30</v>
      </c>
      <c r="C43" s="55">
        <v>0</v>
      </c>
      <c r="D43" s="55">
        <v>0</v>
      </c>
      <c r="E43" s="55">
        <v>0</v>
      </c>
      <c r="F43" s="55">
        <v>0</v>
      </c>
      <c r="G43" s="55">
        <v>0</v>
      </c>
      <c r="H43" s="55">
        <v>0</v>
      </c>
      <c r="J43" s="24"/>
      <c r="K43" s="24"/>
      <c r="L43" s="24"/>
      <c r="M43" s="24"/>
      <c r="N43" s="24"/>
      <c r="O43" s="24"/>
      <c r="P43" s="24"/>
      <c r="Q43" s="24"/>
    </row>
    <row r="44" spans="1:17" s="23" customFormat="1" ht="26.25" customHeight="1" x14ac:dyDescent="0.35">
      <c r="A44" s="25"/>
      <c r="B44" s="23" t="s">
        <v>59</v>
      </c>
      <c r="C44" s="56">
        <f t="shared" ref="C44:H44" si="2">SUM(C45:C51)</f>
        <v>3</v>
      </c>
      <c r="D44" s="56">
        <f t="shared" si="2"/>
        <v>7</v>
      </c>
      <c r="E44" s="56">
        <f t="shared" si="2"/>
        <v>50.769999999999996</v>
      </c>
      <c r="F44" s="56">
        <f t="shared" si="2"/>
        <v>59.125</v>
      </c>
      <c r="G44" s="56">
        <f t="shared" si="2"/>
        <v>156.87</v>
      </c>
      <c r="H44" s="56">
        <f t="shared" si="2"/>
        <v>276.76499999999999</v>
      </c>
      <c r="J44" s="24"/>
      <c r="K44" s="24"/>
      <c r="L44" s="24"/>
      <c r="M44" s="24"/>
      <c r="N44" s="24"/>
      <c r="O44" s="24"/>
      <c r="P44" s="24"/>
      <c r="Q44" s="24"/>
    </row>
    <row r="45" spans="1:17" s="28" customFormat="1" ht="14" x14ac:dyDescent="0.35">
      <c r="A45" s="27">
        <v>66</v>
      </c>
      <c r="B45" s="28" t="s">
        <v>24</v>
      </c>
      <c r="C45" s="55">
        <v>0</v>
      </c>
      <c r="D45" s="55">
        <v>0</v>
      </c>
      <c r="E45" s="55">
        <v>0</v>
      </c>
      <c r="F45" s="55">
        <v>0</v>
      </c>
      <c r="G45" s="55">
        <v>0</v>
      </c>
      <c r="H45" s="55">
        <v>0</v>
      </c>
      <c r="J45" s="24"/>
      <c r="K45" s="24"/>
      <c r="L45" s="24"/>
      <c r="M45" s="24"/>
      <c r="N45" s="24"/>
      <c r="O45" s="24"/>
      <c r="P45" s="24"/>
      <c r="Q45" s="24"/>
    </row>
    <row r="46" spans="1:17" s="28" customFormat="1" ht="14" x14ac:dyDescent="0.35">
      <c r="A46" s="27">
        <v>78</v>
      </c>
      <c r="B46" s="28" t="s">
        <v>35</v>
      </c>
      <c r="C46" s="55">
        <v>0</v>
      </c>
      <c r="D46" s="55">
        <v>0</v>
      </c>
      <c r="E46" s="55">
        <v>8.77</v>
      </c>
      <c r="F46" s="55">
        <v>4</v>
      </c>
      <c r="G46" s="55">
        <v>18.88</v>
      </c>
      <c r="H46" s="55">
        <v>31.65</v>
      </c>
      <c r="J46" s="24"/>
      <c r="K46" s="24"/>
      <c r="L46" s="24"/>
      <c r="M46" s="24"/>
      <c r="N46" s="24"/>
      <c r="O46" s="24"/>
      <c r="P46" s="24"/>
      <c r="Q46" s="24"/>
    </row>
    <row r="47" spans="1:17" s="28" customFormat="1" ht="14" x14ac:dyDescent="0.35">
      <c r="A47" s="27">
        <v>89</v>
      </c>
      <c r="B47" s="28" t="s">
        <v>44</v>
      </c>
      <c r="C47" s="55">
        <v>0</v>
      </c>
      <c r="D47" s="55">
        <v>2</v>
      </c>
      <c r="E47" s="55">
        <v>5</v>
      </c>
      <c r="F47" s="55">
        <v>8</v>
      </c>
      <c r="G47" s="55">
        <v>10.5</v>
      </c>
      <c r="H47" s="55">
        <v>25.5</v>
      </c>
      <c r="J47" s="24"/>
      <c r="K47" s="24"/>
      <c r="L47" s="24"/>
      <c r="M47" s="24"/>
      <c r="N47" s="24"/>
      <c r="O47" s="24"/>
      <c r="P47" s="24"/>
      <c r="Q47" s="24"/>
    </row>
    <row r="48" spans="1:17" s="28" customFormat="1" ht="14" x14ac:dyDescent="0.35">
      <c r="A48" s="27">
        <v>93</v>
      </c>
      <c r="B48" s="28" t="s">
        <v>60</v>
      </c>
      <c r="C48" s="55">
        <v>0</v>
      </c>
      <c r="D48" s="55">
        <v>1</v>
      </c>
      <c r="E48" s="55">
        <v>7</v>
      </c>
      <c r="F48" s="55">
        <v>5.625</v>
      </c>
      <c r="G48" s="55">
        <v>18</v>
      </c>
      <c r="H48" s="55">
        <v>31.625</v>
      </c>
      <c r="J48" s="24"/>
      <c r="K48" s="24"/>
      <c r="L48" s="24"/>
      <c r="M48" s="24"/>
      <c r="N48" s="24"/>
      <c r="O48" s="24"/>
      <c r="P48" s="24"/>
      <c r="Q48" s="24"/>
    </row>
    <row r="49" spans="1:17" s="28" customFormat="1" ht="14" x14ac:dyDescent="0.35">
      <c r="A49" s="27">
        <v>95</v>
      </c>
      <c r="B49" s="28" t="s">
        <v>50</v>
      </c>
      <c r="C49" s="55">
        <v>2</v>
      </c>
      <c r="D49" s="55">
        <v>2</v>
      </c>
      <c r="E49" s="55">
        <v>15</v>
      </c>
      <c r="F49" s="55">
        <v>14</v>
      </c>
      <c r="G49" s="55">
        <v>18</v>
      </c>
      <c r="H49" s="55">
        <v>51</v>
      </c>
      <c r="J49" s="24"/>
      <c r="K49" s="24"/>
      <c r="L49" s="24"/>
      <c r="M49" s="24"/>
      <c r="N49" s="24"/>
      <c r="O49" s="24"/>
      <c r="P49" s="24"/>
      <c r="Q49" s="24"/>
    </row>
    <row r="50" spans="1:17" s="28" customFormat="1" ht="14" x14ac:dyDescent="0.35">
      <c r="A50" s="27">
        <v>97</v>
      </c>
      <c r="B50" s="28" t="s">
        <v>52</v>
      </c>
      <c r="C50" s="55">
        <v>0</v>
      </c>
      <c r="D50" s="55">
        <v>0</v>
      </c>
      <c r="E50" s="55">
        <v>9</v>
      </c>
      <c r="F50" s="55">
        <v>10</v>
      </c>
      <c r="G50" s="55">
        <v>20</v>
      </c>
      <c r="H50" s="55">
        <v>39</v>
      </c>
      <c r="J50" s="24"/>
      <c r="K50" s="24"/>
      <c r="L50" s="24"/>
      <c r="M50" s="24"/>
      <c r="N50" s="24"/>
      <c r="O50" s="24"/>
      <c r="P50" s="24"/>
      <c r="Q50" s="24"/>
    </row>
    <row r="51" spans="1:17" s="28" customFormat="1" ht="14" x14ac:dyDescent="0.35">
      <c r="A51" s="28">
        <v>77</v>
      </c>
      <c r="B51" s="42" t="s">
        <v>23</v>
      </c>
      <c r="C51" s="55">
        <v>1</v>
      </c>
      <c r="D51" s="55">
        <v>2</v>
      </c>
      <c r="E51" s="55">
        <v>6</v>
      </c>
      <c r="F51" s="55">
        <v>17.5</v>
      </c>
      <c r="G51" s="55">
        <v>71.489999999999995</v>
      </c>
      <c r="H51" s="55">
        <v>97.99</v>
      </c>
      <c r="J51" s="24"/>
      <c r="K51" s="24"/>
      <c r="L51" s="24"/>
      <c r="M51" s="24"/>
      <c r="N51" s="24"/>
      <c r="O51" s="24"/>
      <c r="P51" s="24"/>
      <c r="Q51" s="24"/>
    </row>
    <row r="52" spans="1:17" s="62" customFormat="1" x14ac:dyDescent="0.35">
      <c r="A52" s="27"/>
      <c r="B52" s="51"/>
      <c r="C52" s="60"/>
      <c r="D52" s="60"/>
      <c r="E52" s="61"/>
      <c r="F52" s="61"/>
      <c r="G52" s="61"/>
      <c r="H52" s="61"/>
    </row>
    <row r="53" spans="1:17" s="28" customFormat="1" ht="12.5" x14ac:dyDescent="0.35">
      <c r="A53" s="27"/>
      <c r="F53" s="43"/>
    </row>
    <row r="54" spans="1:17" s="28" customFormat="1" ht="12.5" x14ac:dyDescent="0.35">
      <c r="A54" s="27"/>
      <c r="B54" s="63" t="s">
        <v>71</v>
      </c>
      <c r="C54" s="43"/>
    </row>
    <row r="55" spans="1:17" x14ac:dyDescent="0.35">
      <c r="G55" s="59"/>
      <c r="H55" s="59"/>
    </row>
    <row r="56" spans="1:17" x14ac:dyDescent="0.35">
      <c r="F56" s="59"/>
    </row>
  </sheetData>
  <mergeCells count="1">
    <mergeCell ref="B1:H1"/>
  </mergeCells>
  <printOptions horizontalCentered="1" verticalCentered="1"/>
  <pageMargins left="0.43" right="0.46" top="0.33" bottom="0.25" header="0.31" footer="0.51181102362204722"/>
  <pageSetup paperSize="9" scale="7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3">
    <tabColor theme="4"/>
    <pageSetUpPr fitToPage="1"/>
  </sheetPr>
  <dimension ref="A1:T56"/>
  <sheetViews>
    <sheetView showGridLines="0" zoomScale="85" zoomScaleNormal="85" workbookViewId="0">
      <pane xSplit="2" ySplit="2" topLeftCell="C12" activePane="bottomRight" state="frozen"/>
      <selection activeCell="A4" sqref="A4:H4"/>
      <selection pane="topRight" activeCell="A4" sqref="A4:H4"/>
      <selection pane="bottomLeft" activeCell="A4" sqref="A4:H4"/>
      <selection pane="bottomRight" activeCell="A4" sqref="A4:H4"/>
    </sheetView>
  </sheetViews>
  <sheetFormatPr defaultColWidth="9.1796875" defaultRowHeight="15.5" x14ac:dyDescent="0.35"/>
  <cols>
    <col min="1" max="1" width="3.453125" style="27" hidden="1" customWidth="1"/>
    <col min="2" max="2" width="22.7265625" style="51" customWidth="1"/>
    <col min="3" max="8" width="13" style="51" customWidth="1"/>
    <col min="9" max="10" width="13.54296875" style="51" customWidth="1"/>
    <col min="11" max="16384" width="9.1796875" style="51"/>
  </cols>
  <sheetData>
    <row r="1" spans="1:20" ht="39.75" customHeight="1" x14ac:dyDescent="0.35">
      <c r="B1" s="152" t="s">
        <v>79</v>
      </c>
      <c r="C1" s="153"/>
      <c r="D1" s="153"/>
      <c r="E1" s="153"/>
      <c r="F1" s="153"/>
      <c r="G1" s="153"/>
      <c r="H1" s="153"/>
      <c r="I1" s="153"/>
      <c r="J1" s="154"/>
    </row>
    <row r="2" spans="1:20" ht="50.15" customHeight="1" x14ac:dyDescent="0.35">
      <c r="B2" s="52"/>
      <c r="C2" s="21" t="s">
        <v>72</v>
      </c>
      <c r="D2" s="21" t="s">
        <v>73</v>
      </c>
      <c r="E2" s="21" t="s">
        <v>74</v>
      </c>
      <c r="F2" s="21" t="s">
        <v>75</v>
      </c>
      <c r="G2" s="21" t="s">
        <v>76</v>
      </c>
      <c r="H2" s="21" t="s">
        <v>77</v>
      </c>
      <c r="I2" s="21" t="s">
        <v>116</v>
      </c>
      <c r="J2" s="22" t="s">
        <v>1</v>
      </c>
    </row>
    <row r="3" spans="1:20" s="20" customFormat="1" ht="26.25" customHeight="1" x14ac:dyDescent="0.35">
      <c r="A3" s="25"/>
      <c r="B3" s="23" t="s">
        <v>80</v>
      </c>
      <c r="C3" s="53">
        <f t="shared" ref="C3:J3" si="0">C4+C44</f>
        <v>120.88</v>
      </c>
      <c r="D3" s="53">
        <f t="shared" si="0"/>
        <v>166.5</v>
      </c>
      <c r="E3" s="53">
        <f t="shared" si="0"/>
        <v>470.5</v>
      </c>
      <c r="F3" s="53">
        <f t="shared" si="0"/>
        <v>1247.9000000000001</v>
      </c>
      <c r="G3" s="53">
        <f t="shared" si="0"/>
        <v>3714.53</v>
      </c>
      <c r="H3" s="53">
        <f t="shared" si="0"/>
        <v>3305.94</v>
      </c>
      <c r="I3" s="53">
        <f t="shared" si="0"/>
        <v>13840.338609523809</v>
      </c>
      <c r="J3" s="53">
        <f t="shared" si="0"/>
        <v>22866.588609523809</v>
      </c>
      <c r="K3" s="24"/>
      <c r="L3" s="24"/>
      <c r="M3" s="24"/>
      <c r="N3" s="24"/>
      <c r="O3" s="24"/>
      <c r="P3" s="24"/>
      <c r="Q3" s="24"/>
      <c r="R3" s="24"/>
      <c r="S3" s="24"/>
      <c r="T3" s="24"/>
    </row>
    <row r="4" spans="1:20" s="23" customFormat="1" ht="26.25" customHeight="1" x14ac:dyDescent="0.35">
      <c r="A4" s="25"/>
      <c r="B4" s="23" t="s">
        <v>55</v>
      </c>
      <c r="C4" s="54">
        <f t="shared" ref="C4:J4" si="1">SUM(C5:C43)</f>
        <v>95.88</v>
      </c>
      <c r="D4" s="54">
        <f t="shared" si="1"/>
        <v>123.5</v>
      </c>
      <c r="E4" s="54">
        <f t="shared" si="1"/>
        <v>322.5</v>
      </c>
      <c r="F4" s="54">
        <f t="shared" si="1"/>
        <v>874.90000000000009</v>
      </c>
      <c r="G4" s="54">
        <f t="shared" si="1"/>
        <v>2123.84</v>
      </c>
      <c r="H4" s="54">
        <f t="shared" si="1"/>
        <v>1898.5</v>
      </c>
      <c r="I4" s="54">
        <f t="shared" si="1"/>
        <v>7230.34</v>
      </c>
      <c r="J4" s="54">
        <f t="shared" si="1"/>
        <v>12669.460000000001</v>
      </c>
      <c r="L4" s="24"/>
      <c r="M4" s="24"/>
      <c r="N4" s="24"/>
      <c r="O4" s="24"/>
      <c r="P4" s="24"/>
      <c r="Q4" s="24"/>
      <c r="R4" s="24"/>
      <c r="S4" s="24"/>
    </row>
    <row r="5" spans="1:20" s="28" customFormat="1" ht="14" x14ac:dyDescent="0.35">
      <c r="A5" s="27">
        <v>51</v>
      </c>
      <c r="B5" s="28" t="s">
        <v>7</v>
      </c>
      <c r="C5" s="55">
        <v>4</v>
      </c>
      <c r="D5" s="55">
        <v>3</v>
      </c>
      <c r="E5" s="55">
        <v>6.5</v>
      </c>
      <c r="F5" s="55">
        <v>19</v>
      </c>
      <c r="G5" s="55">
        <v>100.52</v>
      </c>
      <c r="H5" s="55">
        <v>43.5</v>
      </c>
      <c r="I5" s="55">
        <v>305.7</v>
      </c>
      <c r="J5" s="55">
        <v>482.21999999999997</v>
      </c>
      <c r="L5" s="24"/>
      <c r="M5" s="24"/>
      <c r="N5" s="24"/>
      <c r="O5" s="24"/>
      <c r="P5" s="24"/>
      <c r="Q5" s="24"/>
      <c r="R5" s="24"/>
      <c r="S5" s="24"/>
    </row>
    <row r="6" spans="1:20" s="28" customFormat="1" ht="14" x14ac:dyDescent="0.35">
      <c r="A6" s="27">
        <v>52</v>
      </c>
      <c r="B6" s="28" t="s">
        <v>8</v>
      </c>
      <c r="C6" s="55">
        <v>2</v>
      </c>
      <c r="D6" s="55">
        <v>5</v>
      </c>
      <c r="E6" s="55">
        <v>10</v>
      </c>
      <c r="F6" s="55">
        <v>12</v>
      </c>
      <c r="G6" s="55">
        <v>37</v>
      </c>
      <c r="H6" s="55">
        <v>44</v>
      </c>
      <c r="I6" s="55">
        <v>160</v>
      </c>
      <c r="J6" s="55">
        <v>270</v>
      </c>
      <c r="L6" s="24"/>
      <c r="M6" s="24"/>
      <c r="N6" s="24"/>
      <c r="O6" s="24"/>
      <c r="P6" s="24"/>
      <c r="Q6" s="24"/>
      <c r="R6" s="24"/>
      <c r="S6" s="24"/>
    </row>
    <row r="7" spans="1:20" s="28" customFormat="1" ht="14" x14ac:dyDescent="0.35">
      <c r="A7" s="27">
        <v>86</v>
      </c>
      <c r="B7" s="28" t="s">
        <v>9</v>
      </c>
      <c r="C7" s="55">
        <v>4</v>
      </c>
      <c r="D7" s="55">
        <v>4</v>
      </c>
      <c r="E7" s="55">
        <v>8</v>
      </c>
      <c r="F7" s="55">
        <v>23</v>
      </c>
      <c r="G7" s="55">
        <v>53</v>
      </c>
      <c r="H7" s="55">
        <v>71</v>
      </c>
      <c r="I7" s="55">
        <v>217</v>
      </c>
      <c r="J7" s="55">
        <v>380</v>
      </c>
      <c r="L7" s="24"/>
      <c r="M7" s="24"/>
      <c r="N7" s="24"/>
      <c r="O7" s="24"/>
      <c r="P7" s="24"/>
      <c r="Q7" s="24"/>
      <c r="R7" s="24"/>
      <c r="S7" s="24"/>
    </row>
    <row r="8" spans="1:20" s="28" customFormat="1" ht="14" x14ac:dyDescent="0.35">
      <c r="A8" s="27">
        <v>53</v>
      </c>
      <c r="B8" s="28" t="s">
        <v>10</v>
      </c>
      <c r="C8" s="55">
        <v>2</v>
      </c>
      <c r="D8" s="55">
        <v>4</v>
      </c>
      <c r="E8" s="55">
        <v>7</v>
      </c>
      <c r="F8" s="55">
        <v>20</v>
      </c>
      <c r="G8" s="55">
        <v>35</v>
      </c>
      <c r="H8" s="55">
        <v>43</v>
      </c>
      <c r="I8" s="55">
        <v>141</v>
      </c>
      <c r="J8" s="55">
        <v>252</v>
      </c>
      <c r="L8" s="24"/>
      <c r="M8" s="24"/>
      <c r="N8" s="24"/>
      <c r="O8" s="24"/>
      <c r="P8" s="24"/>
      <c r="Q8" s="24"/>
      <c r="R8" s="24"/>
      <c r="S8" s="24"/>
    </row>
    <row r="9" spans="1:20" s="28" customFormat="1" ht="14" x14ac:dyDescent="0.35">
      <c r="A9" s="27">
        <v>54</v>
      </c>
      <c r="B9" s="28" t="s">
        <v>11</v>
      </c>
      <c r="C9" s="55">
        <v>2</v>
      </c>
      <c r="D9" s="55">
        <v>3</v>
      </c>
      <c r="E9" s="55">
        <v>8</v>
      </c>
      <c r="F9" s="55">
        <v>26</v>
      </c>
      <c r="G9" s="55">
        <v>48</v>
      </c>
      <c r="H9" s="55">
        <v>24</v>
      </c>
      <c r="I9" s="55">
        <v>145</v>
      </c>
      <c r="J9" s="55">
        <v>256</v>
      </c>
      <c r="L9" s="24"/>
      <c r="M9" s="24"/>
      <c r="N9" s="24"/>
      <c r="O9" s="24"/>
      <c r="P9" s="24"/>
      <c r="Q9" s="24"/>
      <c r="R9" s="24"/>
      <c r="S9" s="24"/>
    </row>
    <row r="10" spans="1:20" s="28" customFormat="1" ht="14" x14ac:dyDescent="0.35">
      <c r="A10" s="27">
        <v>55</v>
      </c>
      <c r="B10" s="28" t="s">
        <v>12</v>
      </c>
      <c r="C10" s="55">
        <v>2</v>
      </c>
      <c r="D10" s="55">
        <v>3</v>
      </c>
      <c r="E10" s="55">
        <v>7</v>
      </c>
      <c r="F10" s="55">
        <v>30</v>
      </c>
      <c r="G10" s="55">
        <v>66</v>
      </c>
      <c r="H10" s="55">
        <v>54</v>
      </c>
      <c r="I10" s="55">
        <v>239</v>
      </c>
      <c r="J10" s="55">
        <v>401</v>
      </c>
      <c r="L10" s="24"/>
      <c r="M10" s="24"/>
      <c r="N10" s="24"/>
      <c r="O10" s="24"/>
      <c r="P10" s="24"/>
      <c r="Q10" s="24"/>
      <c r="R10" s="24"/>
      <c r="S10" s="24"/>
    </row>
    <row r="11" spans="1:20" s="28" customFormat="1" ht="14" x14ac:dyDescent="0.35">
      <c r="A11" s="27">
        <v>56</v>
      </c>
      <c r="B11" s="28" t="s">
        <v>13</v>
      </c>
      <c r="C11" s="55">
        <v>1</v>
      </c>
      <c r="D11" s="55">
        <v>2</v>
      </c>
      <c r="E11" s="55">
        <v>4</v>
      </c>
      <c r="F11" s="55">
        <v>12</v>
      </c>
      <c r="G11" s="55">
        <v>42</v>
      </c>
      <c r="H11" s="55">
        <v>50</v>
      </c>
      <c r="I11" s="55">
        <v>215</v>
      </c>
      <c r="J11" s="55">
        <v>326</v>
      </c>
      <c r="L11" s="24"/>
      <c r="M11" s="24"/>
      <c r="N11" s="24"/>
      <c r="O11" s="24"/>
      <c r="P11" s="24"/>
      <c r="Q11" s="24"/>
      <c r="R11" s="24"/>
      <c r="S11" s="24"/>
    </row>
    <row r="12" spans="1:20" s="28" customFormat="1" ht="14" x14ac:dyDescent="0.35">
      <c r="A12" s="27">
        <v>57</v>
      </c>
      <c r="B12" s="28" t="s">
        <v>14</v>
      </c>
      <c r="C12" s="55">
        <v>2</v>
      </c>
      <c r="D12" s="55">
        <v>3</v>
      </c>
      <c r="E12" s="55">
        <v>8</v>
      </c>
      <c r="F12" s="55">
        <v>16</v>
      </c>
      <c r="G12" s="55">
        <v>40.76</v>
      </c>
      <c r="H12" s="55">
        <v>22</v>
      </c>
      <c r="I12" s="55">
        <v>94</v>
      </c>
      <c r="J12" s="55">
        <v>185.76</v>
      </c>
      <c r="L12" s="24"/>
      <c r="M12" s="24"/>
      <c r="N12" s="24"/>
      <c r="O12" s="24"/>
      <c r="P12" s="24"/>
      <c r="Q12" s="24"/>
      <c r="R12" s="24"/>
      <c r="S12" s="24"/>
    </row>
    <row r="13" spans="1:20" s="28" customFormat="1" ht="14" x14ac:dyDescent="0.35">
      <c r="A13" s="27">
        <v>59</v>
      </c>
      <c r="B13" s="28" t="s">
        <v>15</v>
      </c>
      <c r="C13" s="55">
        <v>1</v>
      </c>
      <c r="D13" s="55">
        <v>2</v>
      </c>
      <c r="E13" s="55">
        <v>9</v>
      </c>
      <c r="F13" s="55">
        <v>17</v>
      </c>
      <c r="G13" s="55">
        <v>24</v>
      </c>
      <c r="H13" s="55">
        <v>30</v>
      </c>
      <c r="I13" s="55">
        <v>120.56</v>
      </c>
      <c r="J13" s="55">
        <v>203.56</v>
      </c>
      <c r="L13" s="24"/>
      <c r="M13" s="24"/>
      <c r="N13" s="24"/>
      <c r="O13" s="24"/>
      <c r="P13" s="24"/>
      <c r="Q13" s="24"/>
      <c r="R13" s="24"/>
      <c r="S13" s="24"/>
    </row>
    <row r="14" spans="1:20" s="28" customFormat="1" ht="14" x14ac:dyDescent="0.35">
      <c r="A14" s="27">
        <v>60</v>
      </c>
      <c r="B14" s="28" t="s">
        <v>16</v>
      </c>
      <c r="C14" s="55">
        <v>2</v>
      </c>
      <c r="D14" s="55">
        <v>4</v>
      </c>
      <c r="E14" s="55">
        <v>8</v>
      </c>
      <c r="F14" s="55">
        <v>20</v>
      </c>
      <c r="G14" s="55">
        <v>62</v>
      </c>
      <c r="H14" s="55">
        <v>58</v>
      </c>
      <c r="I14" s="55">
        <v>203</v>
      </c>
      <c r="J14" s="55">
        <v>357</v>
      </c>
      <c r="L14" s="24"/>
      <c r="M14" s="24"/>
      <c r="N14" s="24"/>
      <c r="O14" s="24"/>
      <c r="P14" s="24"/>
      <c r="Q14" s="24"/>
      <c r="R14" s="24"/>
      <c r="S14" s="24"/>
    </row>
    <row r="15" spans="1:20" s="28" customFormat="1" ht="14" x14ac:dyDescent="0.35">
      <c r="A15" s="27">
        <v>61</v>
      </c>
      <c r="B15" s="29" t="s">
        <v>56</v>
      </c>
      <c r="C15" s="55">
        <v>3</v>
      </c>
      <c r="D15" s="55">
        <v>6</v>
      </c>
      <c r="E15" s="55">
        <v>30</v>
      </c>
      <c r="F15" s="55">
        <v>57</v>
      </c>
      <c r="G15" s="55">
        <v>121</v>
      </c>
      <c r="H15" s="55">
        <v>81</v>
      </c>
      <c r="I15" s="55">
        <v>244</v>
      </c>
      <c r="J15" s="55">
        <v>542</v>
      </c>
      <c r="L15" s="24"/>
      <c r="M15" s="24"/>
      <c r="N15" s="24"/>
      <c r="O15" s="24"/>
      <c r="P15" s="24"/>
      <c r="Q15" s="24"/>
      <c r="R15" s="24"/>
      <c r="S15" s="24"/>
    </row>
    <row r="16" spans="1:20" s="28" customFormat="1" ht="14" x14ac:dyDescent="0.35">
      <c r="A16" s="27">
        <v>62</v>
      </c>
      <c r="B16" s="28" t="s">
        <v>115</v>
      </c>
      <c r="C16" s="55">
        <v>4</v>
      </c>
      <c r="D16" s="55">
        <v>5</v>
      </c>
      <c r="E16" s="55">
        <v>12</v>
      </c>
      <c r="F16" s="55">
        <v>38</v>
      </c>
      <c r="G16" s="55">
        <v>68</v>
      </c>
      <c r="H16" s="55">
        <v>64</v>
      </c>
      <c r="I16" s="55">
        <v>227</v>
      </c>
      <c r="J16" s="55">
        <v>418</v>
      </c>
      <c r="L16" s="24"/>
      <c r="M16" s="24"/>
      <c r="N16" s="24"/>
      <c r="O16" s="24"/>
      <c r="P16" s="24"/>
      <c r="Q16" s="24"/>
      <c r="R16" s="24"/>
      <c r="S16" s="24"/>
    </row>
    <row r="17" spans="1:19" s="28" customFormat="1" ht="14" x14ac:dyDescent="0.35">
      <c r="A17" s="27">
        <v>58</v>
      </c>
      <c r="B17" s="28" t="s">
        <v>19</v>
      </c>
      <c r="C17" s="55">
        <v>2</v>
      </c>
      <c r="D17" s="55">
        <v>4</v>
      </c>
      <c r="E17" s="55">
        <v>6</v>
      </c>
      <c r="F17" s="55">
        <v>25.6</v>
      </c>
      <c r="G17" s="55">
        <v>44</v>
      </c>
      <c r="H17" s="55">
        <v>49</v>
      </c>
      <c r="I17" s="55">
        <v>175</v>
      </c>
      <c r="J17" s="55">
        <v>305.60000000000002</v>
      </c>
      <c r="L17" s="24"/>
      <c r="M17" s="24"/>
      <c r="N17" s="24"/>
      <c r="O17" s="24"/>
      <c r="P17" s="24"/>
      <c r="Q17" s="24"/>
      <c r="R17" s="24"/>
      <c r="S17" s="24"/>
    </row>
    <row r="18" spans="1:19" s="28" customFormat="1" ht="14" x14ac:dyDescent="0.35">
      <c r="A18" s="27">
        <v>63</v>
      </c>
      <c r="B18" s="28" t="s">
        <v>20</v>
      </c>
      <c r="C18" s="55">
        <v>3</v>
      </c>
      <c r="D18" s="55">
        <v>2</v>
      </c>
      <c r="E18" s="55">
        <v>9</v>
      </c>
      <c r="F18" s="55">
        <v>22</v>
      </c>
      <c r="G18" s="55">
        <v>44</v>
      </c>
      <c r="H18" s="55">
        <v>67.5</v>
      </c>
      <c r="I18" s="55">
        <v>203.5</v>
      </c>
      <c r="J18" s="55">
        <v>351</v>
      </c>
      <c r="L18" s="24"/>
      <c r="M18" s="24"/>
      <c r="N18" s="24"/>
      <c r="O18" s="24"/>
      <c r="P18" s="24"/>
      <c r="Q18" s="24"/>
      <c r="R18" s="24"/>
      <c r="S18" s="24"/>
    </row>
    <row r="19" spans="1:19" s="28" customFormat="1" ht="14" x14ac:dyDescent="0.35">
      <c r="A19" s="27">
        <v>64</v>
      </c>
      <c r="B19" s="28" t="s">
        <v>21</v>
      </c>
      <c r="C19" s="55">
        <v>3</v>
      </c>
      <c r="D19" s="55">
        <v>3</v>
      </c>
      <c r="E19" s="55">
        <v>11</v>
      </c>
      <c r="F19" s="55">
        <v>40</v>
      </c>
      <c r="G19" s="55">
        <v>137.5</v>
      </c>
      <c r="H19" s="55">
        <v>68</v>
      </c>
      <c r="I19" s="55">
        <v>358</v>
      </c>
      <c r="J19" s="55">
        <v>620.5</v>
      </c>
      <c r="L19" s="24"/>
      <c r="M19" s="24"/>
      <c r="N19" s="24"/>
      <c r="O19" s="24"/>
      <c r="P19" s="24"/>
      <c r="Q19" s="24"/>
      <c r="R19" s="24"/>
      <c r="S19" s="24"/>
    </row>
    <row r="20" spans="1:19" s="28" customFormat="1" ht="14" x14ac:dyDescent="0.35">
      <c r="A20" s="27">
        <v>65</v>
      </c>
      <c r="B20" s="28" t="s">
        <v>22</v>
      </c>
      <c r="C20" s="55">
        <v>3</v>
      </c>
      <c r="D20" s="55">
        <v>4</v>
      </c>
      <c r="E20" s="55">
        <v>7</v>
      </c>
      <c r="F20" s="55">
        <v>13</v>
      </c>
      <c r="G20" s="55">
        <v>21</v>
      </c>
      <c r="H20" s="55">
        <v>24</v>
      </c>
      <c r="I20" s="55">
        <v>98.08</v>
      </c>
      <c r="J20" s="55">
        <v>170.07999999999998</v>
      </c>
      <c r="L20" s="24"/>
      <c r="M20" s="24"/>
      <c r="N20" s="24"/>
      <c r="O20" s="24"/>
      <c r="P20" s="24"/>
      <c r="Q20" s="24"/>
      <c r="R20" s="24"/>
      <c r="S20" s="24"/>
    </row>
    <row r="21" spans="1:19" s="28" customFormat="1" ht="14" x14ac:dyDescent="0.35">
      <c r="A21" s="27">
        <v>67</v>
      </c>
      <c r="B21" s="28" t="s">
        <v>25</v>
      </c>
      <c r="C21" s="55">
        <v>4.88</v>
      </c>
      <c r="D21" s="55">
        <v>6</v>
      </c>
      <c r="E21" s="55">
        <v>20.5</v>
      </c>
      <c r="F21" s="55">
        <v>42.5</v>
      </c>
      <c r="G21" s="55">
        <v>94</v>
      </c>
      <c r="H21" s="55">
        <v>85</v>
      </c>
      <c r="I21" s="55">
        <v>461</v>
      </c>
      <c r="J21" s="55">
        <v>713.88</v>
      </c>
      <c r="L21" s="24"/>
      <c r="M21" s="24"/>
      <c r="N21" s="24"/>
      <c r="O21" s="24"/>
      <c r="P21" s="24"/>
      <c r="Q21" s="24"/>
      <c r="R21" s="24"/>
      <c r="S21" s="24"/>
    </row>
    <row r="22" spans="1:19" s="28" customFormat="1" ht="14" x14ac:dyDescent="0.35">
      <c r="A22" s="27">
        <v>68</v>
      </c>
      <c r="B22" s="28" t="s">
        <v>57</v>
      </c>
      <c r="C22" s="55">
        <v>3</v>
      </c>
      <c r="D22" s="55">
        <v>4</v>
      </c>
      <c r="E22" s="55">
        <v>10</v>
      </c>
      <c r="F22" s="55">
        <v>18</v>
      </c>
      <c r="G22" s="55">
        <v>56</v>
      </c>
      <c r="H22" s="55">
        <v>33</v>
      </c>
      <c r="I22" s="55">
        <v>113</v>
      </c>
      <c r="J22" s="55">
        <v>237</v>
      </c>
      <c r="L22" s="24"/>
      <c r="M22" s="24"/>
      <c r="N22" s="24"/>
      <c r="O22" s="24"/>
      <c r="P22" s="24"/>
      <c r="Q22" s="24"/>
      <c r="R22" s="24"/>
      <c r="S22" s="24"/>
    </row>
    <row r="23" spans="1:19" s="28" customFormat="1" ht="14" x14ac:dyDescent="0.35">
      <c r="A23" s="27">
        <v>69</v>
      </c>
      <c r="B23" s="28" t="s">
        <v>27</v>
      </c>
      <c r="C23" s="55">
        <v>4</v>
      </c>
      <c r="D23" s="55">
        <v>4</v>
      </c>
      <c r="E23" s="55">
        <v>10</v>
      </c>
      <c r="F23" s="55">
        <v>23.6</v>
      </c>
      <c r="G23" s="55">
        <v>65</v>
      </c>
      <c r="H23" s="55">
        <v>80</v>
      </c>
      <c r="I23" s="55">
        <v>278</v>
      </c>
      <c r="J23" s="55">
        <v>464.6</v>
      </c>
      <c r="L23" s="24"/>
      <c r="M23" s="24"/>
      <c r="N23" s="24"/>
      <c r="O23" s="24"/>
      <c r="P23" s="24"/>
      <c r="Q23" s="24"/>
      <c r="R23" s="24"/>
      <c r="S23" s="24"/>
    </row>
    <row r="24" spans="1:19" s="28" customFormat="1" ht="14" x14ac:dyDescent="0.35">
      <c r="A24" s="27">
        <v>70</v>
      </c>
      <c r="B24" s="28" t="s">
        <v>28</v>
      </c>
      <c r="C24" s="55">
        <v>2</v>
      </c>
      <c r="D24" s="55">
        <v>3</v>
      </c>
      <c r="E24" s="55">
        <v>11</v>
      </c>
      <c r="F24" s="55">
        <v>31</v>
      </c>
      <c r="G24" s="55">
        <v>80</v>
      </c>
      <c r="H24" s="55">
        <v>60</v>
      </c>
      <c r="I24" s="55">
        <v>295</v>
      </c>
      <c r="J24" s="55">
        <v>482</v>
      </c>
      <c r="L24" s="24"/>
      <c r="M24" s="24"/>
      <c r="N24" s="24"/>
      <c r="O24" s="24"/>
      <c r="P24" s="24"/>
      <c r="Q24" s="24"/>
      <c r="R24" s="24"/>
      <c r="S24" s="24"/>
    </row>
    <row r="25" spans="1:19" s="28" customFormat="1" ht="14" x14ac:dyDescent="0.35">
      <c r="A25" s="27">
        <v>71</v>
      </c>
      <c r="B25" s="28" t="s">
        <v>58</v>
      </c>
      <c r="C25" s="55">
        <v>0</v>
      </c>
      <c r="D25" s="55">
        <v>0.5</v>
      </c>
      <c r="E25" s="55">
        <v>1.5</v>
      </c>
      <c r="F25" s="55">
        <v>6</v>
      </c>
      <c r="G25" s="55">
        <v>14</v>
      </c>
      <c r="H25" s="55">
        <v>8</v>
      </c>
      <c r="I25" s="55">
        <v>44</v>
      </c>
      <c r="J25" s="55">
        <v>74</v>
      </c>
      <c r="L25" s="24"/>
      <c r="M25" s="24"/>
      <c r="N25" s="24"/>
      <c r="O25" s="24"/>
      <c r="P25" s="24"/>
      <c r="Q25" s="24"/>
      <c r="R25" s="24"/>
      <c r="S25" s="24"/>
    </row>
    <row r="26" spans="1:19" s="28" customFormat="1" ht="14" x14ac:dyDescent="0.35">
      <c r="A26" s="27">
        <v>73</v>
      </c>
      <c r="B26" s="28" t="s">
        <v>31</v>
      </c>
      <c r="C26" s="55">
        <v>4</v>
      </c>
      <c r="D26" s="55">
        <v>5</v>
      </c>
      <c r="E26" s="55">
        <v>16</v>
      </c>
      <c r="F26" s="55">
        <v>58</v>
      </c>
      <c r="G26" s="55">
        <v>88</v>
      </c>
      <c r="H26" s="55">
        <v>113</v>
      </c>
      <c r="I26" s="55">
        <v>406</v>
      </c>
      <c r="J26" s="55">
        <v>690</v>
      </c>
      <c r="L26" s="24"/>
      <c r="M26" s="24"/>
      <c r="N26" s="24"/>
      <c r="O26" s="24"/>
      <c r="P26" s="24"/>
      <c r="Q26" s="24"/>
      <c r="R26" s="24"/>
      <c r="S26" s="24"/>
    </row>
    <row r="27" spans="1:19" s="28" customFormat="1" ht="14" x14ac:dyDescent="0.35">
      <c r="A27" s="27">
        <v>74</v>
      </c>
      <c r="B27" s="28" t="s">
        <v>32</v>
      </c>
      <c r="C27" s="55">
        <v>3</v>
      </c>
      <c r="D27" s="55">
        <v>4</v>
      </c>
      <c r="E27" s="55">
        <v>9</v>
      </c>
      <c r="F27" s="55">
        <v>26</v>
      </c>
      <c r="G27" s="55">
        <v>95</v>
      </c>
      <c r="H27" s="55">
        <v>103</v>
      </c>
      <c r="I27" s="55">
        <v>369</v>
      </c>
      <c r="J27" s="55">
        <v>609</v>
      </c>
      <c r="L27" s="24"/>
      <c r="M27" s="24"/>
      <c r="N27" s="24"/>
      <c r="O27" s="24"/>
      <c r="P27" s="24"/>
      <c r="Q27" s="24"/>
      <c r="R27" s="24"/>
      <c r="S27" s="24"/>
    </row>
    <row r="28" spans="1:19" s="28" customFormat="1" ht="14" x14ac:dyDescent="0.35">
      <c r="A28" s="27">
        <v>75</v>
      </c>
      <c r="B28" s="28" t="s">
        <v>33</v>
      </c>
      <c r="C28" s="55">
        <v>3</v>
      </c>
      <c r="D28" s="55">
        <v>2</v>
      </c>
      <c r="E28" s="55">
        <v>6</v>
      </c>
      <c r="F28" s="55">
        <v>21</v>
      </c>
      <c r="G28" s="55">
        <v>51</v>
      </c>
      <c r="H28" s="55">
        <v>65</v>
      </c>
      <c r="I28" s="55">
        <v>193</v>
      </c>
      <c r="J28" s="55">
        <v>341</v>
      </c>
      <c r="L28" s="24"/>
      <c r="M28" s="24"/>
      <c r="N28" s="24"/>
      <c r="O28" s="24"/>
      <c r="P28" s="24"/>
      <c r="Q28" s="24"/>
      <c r="R28" s="24"/>
      <c r="S28" s="24"/>
    </row>
    <row r="29" spans="1:19" s="28" customFormat="1" ht="14" x14ac:dyDescent="0.35">
      <c r="A29" s="27">
        <v>76</v>
      </c>
      <c r="B29" s="28" t="s">
        <v>34</v>
      </c>
      <c r="C29" s="55">
        <v>3</v>
      </c>
      <c r="D29" s="55">
        <v>4</v>
      </c>
      <c r="E29" s="55">
        <v>9</v>
      </c>
      <c r="F29" s="55">
        <v>20</v>
      </c>
      <c r="G29" s="55">
        <v>39</v>
      </c>
      <c r="H29" s="55">
        <v>25.5</v>
      </c>
      <c r="I29" s="55">
        <v>77</v>
      </c>
      <c r="J29" s="55">
        <v>177.5</v>
      </c>
      <c r="L29" s="24"/>
      <c r="M29" s="24"/>
      <c r="N29" s="24"/>
      <c r="O29" s="24"/>
      <c r="P29" s="24"/>
      <c r="Q29" s="24"/>
      <c r="R29" s="24"/>
      <c r="S29" s="24"/>
    </row>
    <row r="30" spans="1:19" s="28" customFormat="1" ht="14" x14ac:dyDescent="0.35">
      <c r="A30" s="27">
        <v>79</v>
      </c>
      <c r="B30" s="28" t="s">
        <v>36</v>
      </c>
      <c r="C30" s="55">
        <v>2</v>
      </c>
      <c r="D30" s="55">
        <v>3</v>
      </c>
      <c r="E30" s="55">
        <v>7</v>
      </c>
      <c r="F30" s="55">
        <v>24</v>
      </c>
      <c r="G30" s="55">
        <v>44</v>
      </c>
      <c r="H30" s="55">
        <v>34.5</v>
      </c>
      <c r="I30" s="55">
        <v>148</v>
      </c>
      <c r="J30" s="55">
        <v>262.5</v>
      </c>
      <c r="L30" s="24"/>
      <c r="M30" s="24"/>
      <c r="N30" s="24"/>
      <c r="O30" s="24"/>
      <c r="P30" s="24"/>
      <c r="Q30" s="24"/>
      <c r="R30" s="24"/>
      <c r="S30" s="24"/>
    </row>
    <row r="31" spans="1:19" s="28" customFormat="1" ht="14" x14ac:dyDescent="0.35">
      <c r="A31" s="27"/>
      <c r="B31" s="67" t="s">
        <v>81</v>
      </c>
      <c r="C31" s="55">
        <v>0</v>
      </c>
      <c r="D31" s="55">
        <v>0</v>
      </c>
      <c r="E31" s="55">
        <v>0</v>
      </c>
      <c r="F31" s="55">
        <v>0</v>
      </c>
      <c r="G31" s="55">
        <v>0</v>
      </c>
      <c r="H31" s="55">
        <v>0</v>
      </c>
      <c r="I31" s="55">
        <v>0</v>
      </c>
      <c r="J31" s="55">
        <v>0</v>
      </c>
      <c r="L31" s="24"/>
      <c r="M31" s="24"/>
      <c r="N31" s="24"/>
      <c r="O31" s="24"/>
      <c r="P31" s="24"/>
      <c r="Q31" s="24"/>
      <c r="R31" s="24"/>
      <c r="S31" s="24"/>
    </row>
    <row r="32" spans="1:19" s="28" customFormat="1" ht="14" x14ac:dyDescent="0.35">
      <c r="A32" s="27">
        <v>80</v>
      </c>
      <c r="B32" s="28" t="s">
        <v>38</v>
      </c>
      <c r="C32" s="55">
        <v>3</v>
      </c>
      <c r="D32" s="55">
        <v>2</v>
      </c>
      <c r="E32" s="55">
        <v>8</v>
      </c>
      <c r="F32" s="55">
        <v>17</v>
      </c>
      <c r="G32" s="55">
        <v>56</v>
      </c>
      <c r="H32" s="55">
        <v>48</v>
      </c>
      <c r="I32" s="55">
        <v>164</v>
      </c>
      <c r="J32" s="55">
        <v>298</v>
      </c>
      <c r="L32" s="24"/>
      <c r="M32" s="24"/>
      <c r="N32" s="24"/>
      <c r="O32" s="24"/>
      <c r="P32" s="24"/>
      <c r="Q32" s="24"/>
      <c r="R32" s="24"/>
      <c r="S32" s="24"/>
    </row>
    <row r="33" spans="1:19" s="28" customFormat="1" ht="14" x14ac:dyDescent="0.35">
      <c r="A33" s="27">
        <v>81</v>
      </c>
      <c r="B33" s="28" t="s">
        <v>39</v>
      </c>
      <c r="C33" s="55">
        <v>2</v>
      </c>
      <c r="D33" s="55">
        <v>4</v>
      </c>
      <c r="E33" s="55">
        <v>8</v>
      </c>
      <c r="F33" s="55">
        <v>18</v>
      </c>
      <c r="G33" s="55">
        <v>50</v>
      </c>
      <c r="H33" s="55">
        <v>31</v>
      </c>
      <c r="I33" s="55">
        <v>136</v>
      </c>
      <c r="J33" s="55">
        <v>249</v>
      </c>
      <c r="L33" s="24"/>
      <c r="M33" s="24"/>
      <c r="N33" s="24"/>
      <c r="O33" s="24"/>
      <c r="P33" s="24"/>
      <c r="Q33" s="24"/>
      <c r="R33" s="24"/>
      <c r="S33" s="24"/>
    </row>
    <row r="34" spans="1:19" s="28" customFormat="1" ht="14" x14ac:dyDescent="0.35">
      <c r="A34" s="27">
        <v>83</v>
      </c>
      <c r="B34" s="28" t="s">
        <v>40</v>
      </c>
      <c r="C34" s="55">
        <v>2</v>
      </c>
      <c r="D34" s="55">
        <v>1</v>
      </c>
      <c r="E34" s="55">
        <v>3</v>
      </c>
      <c r="F34" s="55">
        <v>12</v>
      </c>
      <c r="G34" s="55">
        <v>19</v>
      </c>
      <c r="H34" s="55">
        <v>22</v>
      </c>
      <c r="I34" s="55">
        <v>77</v>
      </c>
      <c r="J34" s="55">
        <v>136</v>
      </c>
      <c r="L34" s="24"/>
      <c r="M34" s="24"/>
      <c r="N34" s="24"/>
      <c r="O34" s="24"/>
      <c r="P34" s="24"/>
      <c r="Q34" s="24"/>
      <c r="R34" s="24"/>
      <c r="S34" s="24"/>
    </row>
    <row r="35" spans="1:19" s="28" customFormat="1" ht="14" x14ac:dyDescent="0.35">
      <c r="A35" s="27">
        <v>84</v>
      </c>
      <c r="B35" s="28" t="s">
        <v>41</v>
      </c>
      <c r="C35" s="55">
        <v>3</v>
      </c>
      <c r="D35" s="55">
        <v>3</v>
      </c>
      <c r="E35" s="55">
        <v>7</v>
      </c>
      <c r="F35" s="55">
        <v>22</v>
      </c>
      <c r="G35" s="55">
        <v>75</v>
      </c>
      <c r="H35" s="55">
        <v>64</v>
      </c>
      <c r="I35" s="55">
        <v>261</v>
      </c>
      <c r="J35" s="55">
        <v>435</v>
      </c>
      <c r="L35" s="24"/>
      <c r="M35" s="24"/>
      <c r="N35" s="24"/>
      <c r="O35" s="24"/>
      <c r="P35" s="24"/>
      <c r="Q35" s="24"/>
      <c r="R35" s="24"/>
      <c r="S35" s="24"/>
    </row>
    <row r="36" spans="1:19" s="28" customFormat="1" ht="14" x14ac:dyDescent="0.35">
      <c r="A36" s="27">
        <v>85</v>
      </c>
      <c r="B36" s="28" t="s">
        <v>42</v>
      </c>
      <c r="C36" s="55">
        <v>3</v>
      </c>
      <c r="D36" s="55">
        <v>3</v>
      </c>
      <c r="E36" s="55">
        <v>7</v>
      </c>
      <c r="F36" s="55">
        <v>27</v>
      </c>
      <c r="G36" s="55">
        <v>43</v>
      </c>
      <c r="H36" s="55">
        <v>36</v>
      </c>
      <c r="I36" s="55">
        <v>114</v>
      </c>
      <c r="J36" s="55">
        <v>233</v>
      </c>
      <c r="L36" s="24"/>
      <c r="M36" s="24"/>
      <c r="N36" s="24"/>
      <c r="O36" s="24"/>
      <c r="P36" s="24"/>
      <c r="Q36" s="24"/>
      <c r="R36" s="24"/>
      <c r="S36" s="24"/>
    </row>
    <row r="37" spans="1:19" s="28" customFormat="1" ht="14" x14ac:dyDescent="0.35">
      <c r="A37" s="27">
        <v>87</v>
      </c>
      <c r="B37" s="28" t="s">
        <v>43</v>
      </c>
      <c r="C37" s="55">
        <v>3</v>
      </c>
      <c r="D37" s="55">
        <v>4</v>
      </c>
      <c r="E37" s="55">
        <v>5</v>
      </c>
      <c r="F37" s="55">
        <v>14</v>
      </c>
      <c r="G37" s="55">
        <v>28</v>
      </c>
      <c r="H37" s="55">
        <v>22</v>
      </c>
      <c r="I37" s="55">
        <v>102</v>
      </c>
      <c r="J37" s="55">
        <v>178</v>
      </c>
      <c r="L37" s="24"/>
      <c r="M37" s="24"/>
      <c r="N37" s="24"/>
      <c r="O37" s="24"/>
      <c r="P37" s="24"/>
      <c r="Q37" s="24"/>
      <c r="R37" s="24"/>
      <c r="S37" s="24"/>
    </row>
    <row r="38" spans="1:19" s="28" customFormat="1" ht="14" x14ac:dyDescent="0.35">
      <c r="A38" s="27">
        <v>90</v>
      </c>
      <c r="B38" s="28" t="s">
        <v>45</v>
      </c>
      <c r="C38" s="55">
        <v>2</v>
      </c>
      <c r="D38" s="55">
        <v>2</v>
      </c>
      <c r="E38" s="55">
        <v>7</v>
      </c>
      <c r="F38" s="55">
        <v>28</v>
      </c>
      <c r="G38" s="55">
        <v>57</v>
      </c>
      <c r="H38" s="55">
        <v>44</v>
      </c>
      <c r="I38" s="55">
        <v>186</v>
      </c>
      <c r="J38" s="55">
        <v>326</v>
      </c>
      <c r="L38" s="24"/>
      <c r="M38" s="24"/>
      <c r="N38" s="24"/>
      <c r="O38" s="24"/>
      <c r="P38" s="24"/>
      <c r="Q38" s="24"/>
      <c r="R38" s="24"/>
      <c r="S38" s="24"/>
    </row>
    <row r="39" spans="1:19" s="28" customFormat="1" ht="14" x14ac:dyDescent="0.35">
      <c r="A39" s="27">
        <v>91</v>
      </c>
      <c r="B39" s="28" t="s">
        <v>46</v>
      </c>
      <c r="C39" s="55">
        <v>2</v>
      </c>
      <c r="D39" s="55">
        <v>3</v>
      </c>
      <c r="E39" s="55">
        <v>7</v>
      </c>
      <c r="F39" s="55">
        <v>19</v>
      </c>
      <c r="G39" s="55">
        <v>37.56</v>
      </c>
      <c r="H39" s="55">
        <v>28</v>
      </c>
      <c r="I39" s="55">
        <v>104</v>
      </c>
      <c r="J39" s="55">
        <v>200.56</v>
      </c>
      <c r="L39" s="24"/>
      <c r="M39" s="24"/>
      <c r="N39" s="24"/>
      <c r="O39" s="24"/>
      <c r="P39" s="24"/>
      <c r="Q39" s="24"/>
      <c r="R39" s="24"/>
      <c r="S39" s="24"/>
    </row>
    <row r="40" spans="1:19" s="28" customFormat="1" ht="14" x14ac:dyDescent="0.35">
      <c r="A40" s="27">
        <v>92</v>
      </c>
      <c r="B40" s="28" t="s">
        <v>47</v>
      </c>
      <c r="C40" s="55">
        <v>3</v>
      </c>
      <c r="D40" s="55">
        <v>3</v>
      </c>
      <c r="E40" s="55">
        <v>8</v>
      </c>
      <c r="F40" s="55">
        <v>21.2</v>
      </c>
      <c r="G40" s="55">
        <v>105.5</v>
      </c>
      <c r="H40" s="55">
        <v>97.5</v>
      </c>
      <c r="I40" s="55">
        <v>248.5</v>
      </c>
      <c r="J40" s="55">
        <v>486.7</v>
      </c>
      <c r="L40" s="24"/>
      <c r="M40" s="24"/>
      <c r="N40" s="24"/>
      <c r="O40" s="24"/>
      <c r="P40" s="24"/>
      <c r="Q40" s="24"/>
      <c r="R40" s="24"/>
      <c r="S40" s="24"/>
    </row>
    <row r="41" spans="1:19" s="28" customFormat="1" ht="14" x14ac:dyDescent="0.35">
      <c r="A41" s="27">
        <v>94</v>
      </c>
      <c r="B41" s="28" t="s">
        <v>49</v>
      </c>
      <c r="C41" s="55">
        <v>2</v>
      </c>
      <c r="D41" s="55">
        <v>3</v>
      </c>
      <c r="E41" s="55">
        <v>6</v>
      </c>
      <c r="F41" s="55">
        <v>14</v>
      </c>
      <c r="G41" s="55">
        <v>31</v>
      </c>
      <c r="H41" s="55">
        <v>51</v>
      </c>
      <c r="I41" s="55">
        <v>123</v>
      </c>
      <c r="J41" s="55">
        <v>230</v>
      </c>
      <c r="L41" s="24"/>
      <c r="M41" s="24"/>
      <c r="N41" s="24"/>
      <c r="O41" s="24"/>
      <c r="P41" s="24"/>
      <c r="Q41" s="24"/>
      <c r="R41" s="24"/>
      <c r="S41" s="24"/>
    </row>
    <row r="42" spans="1:19" s="28" customFormat="1" ht="14" x14ac:dyDescent="0.35">
      <c r="A42" s="27">
        <v>96</v>
      </c>
      <c r="B42" s="28" t="s">
        <v>51</v>
      </c>
      <c r="C42" s="55">
        <v>2</v>
      </c>
      <c r="D42" s="55">
        <v>3</v>
      </c>
      <c r="E42" s="55">
        <v>6</v>
      </c>
      <c r="F42" s="55">
        <v>22</v>
      </c>
      <c r="G42" s="55">
        <v>52</v>
      </c>
      <c r="H42" s="55">
        <v>55</v>
      </c>
      <c r="I42" s="55">
        <v>185</v>
      </c>
      <c r="J42" s="55">
        <v>325</v>
      </c>
      <c r="L42" s="24"/>
      <c r="M42" s="24"/>
      <c r="N42" s="24"/>
      <c r="O42" s="24"/>
      <c r="P42" s="24"/>
      <c r="Q42" s="24"/>
      <c r="R42" s="24"/>
      <c r="S42" s="24"/>
    </row>
    <row r="43" spans="1:19" s="28" customFormat="1" ht="14" x14ac:dyDescent="0.35">
      <c r="A43" s="27">
        <v>72</v>
      </c>
      <c r="B43" s="28" t="s">
        <v>30</v>
      </c>
      <c r="C43" s="55">
        <v>0</v>
      </c>
      <c r="D43" s="55">
        <v>0</v>
      </c>
      <c r="E43" s="55">
        <v>0</v>
      </c>
      <c r="F43" s="55">
        <v>0</v>
      </c>
      <c r="G43" s="55">
        <v>0</v>
      </c>
      <c r="H43" s="55">
        <v>0</v>
      </c>
      <c r="I43" s="55">
        <v>0</v>
      </c>
      <c r="J43" s="55">
        <v>0</v>
      </c>
      <c r="L43" s="24"/>
      <c r="M43" s="24"/>
      <c r="N43" s="24"/>
      <c r="O43" s="24"/>
      <c r="P43" s="24"/>
      <c r="Q43" s="24"/>
      <c r="R43" s="24"/>
      <c r="S43" s="24"/>
    </row>
    <row r="44" spans="1:19" s="23" customFormat="1" ht="26.25" customHeight="1" x14ac:dyDescent="0.35">
      <c r="A44" s="25"/>
      <c r="B44" s="23" t="s">
        <v>59</v>
      </c>
      <c r="C44" s="56">
        <f>SUM(C45:C51)</f>
        <v>25</v>
      </c>
      <c r="D44" s="56">
        <f t="shared" ref="D44:J44" si="2">SUM(D45:D51)</f>
        <v>43</v>
      </c>
      <c r="E44" s="56">
        <f t="shared" si="2"/>
        <v>148</v>
      </c>
      <c r="F44" s="56">
        <f t="shared" si="2"/>
        <v>373</v>
      </c>
      <c r="G44" s="56">
        <f t="shared" si="2"/>
        <v>1590.69</v>
      </c>
      <c r="H44" s="56">
        <f t="shared" si="2"/>
        <v>1407.44</v>
      </c>
      <c r="I44" s="56">
        <f t="shared" si="2"/>
        <v>6609.9986095238091</v>
      </c>
      <c r="J44" s="56">
        <f t="shared" si="2"/>
        <v>10197.12860952381</v>
      </c>
      <c r="L44" s="24"/>
      <c r="M44" s="24"/>
      <c r="N44" s="24"/>
      <c r="O44" s="24"/>
      <c r="P44" s="24"/>
      <c r="Q44" s="24"/>
      <c r="R44" s="24"/>
      <c r="S44" s="24"/>
    </row>
    <row r="45" spans="1:19" s="28" customFormat="1" ht="14" x14ac:dyDescent="0.35">
      <c r="A45" s="27">
        <v>66</v>
      </c>
      <c r="B45" s="28" t="s">
        <v>24</v>
      </c>
      <c r="C45" s="55">
        <v>4</v>
      </c>
      <c r="D45" s="55">
        <v>6</v>
      </c>
      <c r="E45" s="55">
        <v>14</v>
      </c>
      <c r="F45" s="55">
        <v>58</v>
      </c>
      <c r="G45" s="55">
        <v>203</v>
      </c>
      <c r="H45" s="55">
        <v>165</v>
      </c>
      <c r="I45" s="55">
        <v>832.46880952380957</v>
      </c>
      <c r="J45" s="55">
        <v>1282.4688095238096</v>
      </c>
      <c r="L45" s="24"/>
      <c r="M45" s="24"/>
      <c r="N45" s="24"/>
      <c r="O45" s="24"/>
      <c r="P45" s="24"/>
      <c r="Q45" s="24"/>
      <c r="R45" s="24"/>
      <c r="S45" s="24"/>
    </row>
    <row r="46" spans="1:19" s="28" customFormat="1" ht="14" x14ac:dyDescent="0.35">
      <c r="A46" s="27">
        <v>78</v>
      </c>
      <c r="B46" s="28" t="s">
        <v>35</v>
      </c>
      <c r="C46" s="55">
        <v>2</v>
      </c>
      <c r="D46" s="55">
        <v>6</v>
      </c>
      <c r="E46" s="55">
        <v>11</v>
      </c>
      <c r="F46" s="55">
        <v>28</v>
      </c>
      <c r="G46" s="55">
        <v>130</v>
      </c>
      <c r="H46" s="55">
        <v>14</v>
      </c>
      <c r="I46" s="55">
        <v>457</v>
      </c>
      <c r="J46" s="55">
        <v>648</v>
      </c>
      <c r="L46" s="24"/>
      <c r="M46" s="24"/>
      <c r="N46" s="24"/>
      <c r="O46" s="24"/>
      <c r="P46" s="24"/>
      <c r="Q46" s="24"/>
      <c r="R46" s="24"/>
      <c r="S46" s="24"/>
    </row>
    <row r="47" spans="1:19" s="28" customFormat="1" ht="14" x14ac:dyDescent="0.35">
      <c r="A47" s="27">
        <v>89</v>
      </c>
      <c r="B47" s="28" t="s">
        <v>44</v>
      </c>
      <c r="C47" s="55">
        <v>3</v>
      </c>
      <c r="D47" s="55">
        <v>4</v>
      </c>
      <c r="E47" s="55">
        <v>10</v>
      </c>
      <c r="F47" s="55">
        <v>25</v>
      </c>
      <c r="G47" s="55">
        <v>87</v>
      </c>
      <c r="H47" s="55">
        <v>82</v>
      </c>
      <c r="I47" s="55">
        <v>356</v>
      </c>
      <c r="J47" s="55">
        <v>567</v>
      </c>
      <c r="L47" s="24"/>
      <c r="M47" s="24"/>
      <c r="N47" s="24"/>
      <c r="O47" s="24"/>
      <c r="P47" s="24"/>
      <c r="Q47" s="24"/>
      <c r="R47" s="24"/>
      <c r="S47" s="24"/>
    </row>
    <row r="48" spans="1:19" s="28" customFormat="1" ht="14" x14ac:dyDescent="0.35">
      <c r="A48" s="27">
        <v>93</v>
      </c>
      <c r="B48" s="28" t="s">
        <v>60</v>
      </c>
      <c r="C48" s="55">
        <v>3</v>
      </c>
      <c r="D48" s="55">
        <v>4</v>
      </c>
      <c r="E48" s="55">
        <v>25</v>
      </c>
      <c r="F48" s="55">
        <v>21</v>
      </c>
      <c r="G48" s="55">
        <v>114</v>
      </c>
      <c r="H48" s="55">
        <v>99</v>
      </c>
      <c r="I48" s="55">
        <v>371.60980000000001</v>
      </c>
      <c r="J48" s="55">
        <v>637.60979999999995</v>
      </c>
      <c r="L48" s="24"/>
      <c r="M48" s="24"/>
      <c r="N48" s="24"/>
      <c r="O48" s="24"/>
      <c r="P48" s="24"/>
      <c r="Q48" s="24"/>
      <c r="R48" s="24"/>
      <c r="S48" s="24"/>
    </row>
    <row r="49" spans="1:19" s="28" customFormat="1" ht="14" x14ac:dyDescent="0.35">
      <c r="A49" s="27">
        <v>95</v>
      </c>
      <c r="B49" s="28" t="s">
        <v>50</v>
      </c>
      <c r="C49" s="55">
        <v>3</v>
      </c>
      <c r="D49" s="55">
        <v>6</v>
      </c>
      <c r="E49" s="55">
        <v>11</v>
      </c>
      <c r="F49" s="55">
        <v>44</v>
      </c>
      <c r="G49" s="55">
        <v>240</v>
      </c>
      <c r="H49" s="55">
        <v>252</v>
      </c>
      <c r="I49" s="55">
        <v>845.59</v>
      </c>
      <c r="J49" s="55">
        <v>1401.5900000000001</v>
      </c>
      <c r="L49" s="24"/>
      <c r="M49" s="24"/>
      <c r="N49" s="24"/>
      <c r="O49" s="24"/>
      <c r="P49" s="24"/>
      <c r="Q49" s="24"/>
      <c r="R49" s="24"/>
      <c r="S49" s="24"/>
    </row>
    <row r="50" spans="1:19" s="28" customFormat="1" ht="14" x14ac:dyDescent="0.35">
      <c r="A50" s="27">
        <v>97</v>
      </c>
      <c r="B50" s="28" t="s">
        <v>52</v>
      </c>
      <c r="C50" s="55">
        <v>3</v>
      </c>
      <c r="D50" s="55">
        <v>4</v>
      </c>
      <c r="E50" s="55">
        <v>13</v>
      </c>
      <c r="F50" s="55">
        <v>49</v>
      </c>
      <c r="G50" s="55">
        <v>175</v>
      </c>
      <c r="H50" s="55">
        <v>156</v>
      </c>
      <c r="I50" s="55">
        <v>577</v>
      </c>
      <c r="J50" s="55">
        <v>977</v>
      </c>
      <c r="L50" s="24"/>
      <c r="M50" s="24"/>
      <c r="N50" s="24"/>
      <c r="O50" s="24"/>
      <c r="P50" s="24"/>
      <c r="Q50" s="24"/>
      <c r="R50" s="24"/>
      <c r="S50" s="24"/>
    </row>
    <row r="51" spans="1:19" s="28" customFormat="1" ht="14" x14ac:dyDescent="0.35">
      <c r="A51" s="28">
        <v>77</v>
      </c>
      <c r="B51" s="42" t="s">
        <v>23</v>
      </c>
      <c r="C51" s="55">
        <v>7</v>
      </c>
      <c r="D51" s="55">
        <v>13</v>
      </c>
      <c r="E51" s="55">
        <v>64</v>
      </c>
      <c r="F51" s="55">
        <v>148</v>
      </c>
      <c r="G51" s="55">
        <v>641.69000000000005</v>
      </c>
      <c r="H51" s="55">
        <v>639.44000000000005</v>
      </c>
      <c r="I51" s="55">
        <v>3170.33</v>
      </c>
      <c r="J51" s="55">
        <v>4683.46</v>
      </c>
      <c r="L51" s="24"/>
      <c r="M51" s="24"/>
      <c r="N51" s="24"/>
      <c r="O51" s="24"/>
      <c r="P51" s="24"/>
      <c r="Q51" s="24"/>
      <c r="R51" s="24"/>
      <c r="S51" s="24"/>
    </row>
    <row r="52" spans="1:19" s="62" customFormat="1" x14ac:dyDescent="0.35">
      <c r="A52" s="27"/>
      <c r="B52" s="51"/>
      <c r="C52" s="59"/>
      <c r="D52" s="59"/>
      <c r="E52" s="60"/>
      <c r="F52" s="60"/>
      <c r="G52" s="61"/>
      <c r="H52" s="61"/>
      <c r="I52" s="61"/>
      <c r="J52" s="61"/>
    </row>
    <row r="53" spans="1:19" s="28" customFormat="1" ht="12.5" x14ac:dyDescent="0.35">
      <c r="A53" s="27"/>
      <c r="H53" s="43"/>
    </row>
    <row r="54" spans="1:19" s="28" customFormat="1" ht="12.5" x14ac:dyDescent="0.35">
      <c r="A54" s="27"/>
      <c r="B54" s="63" t="s">
        <v>71</v>
      </c>
      <c r="D54" s="43"/>
      <c r="E54" s="43"/>
    </row>
    <row r="55" spans="1:19" x14ac:dyDescent="0.35">
      <c r="I55" s="59"/>
      <c r="J55" s="59"/>
    </row>
    <row r="56" spans="1:19" x14ac:dyDescent="0.35">
      <c r="H56" s="59"/>
    </row>
  </sheetData>
  <mergeCells count="1">
    <mergeCell ref="B1:J1"/>
  </mergeCells>
  <printOptions horizontalCentered="1" verticalCentered="1"/>
  <pageMargins left="0.43" right="0.46" top="0.33" bottom="0.25" header="0.31"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6">
    <tabColor indexed="22"/>
    <pageSetUpPr fitToPage="1"/>
  </sheetPr>
  <dimension ref="A1:H62"/>
  <sheetViews>
    <sheetView showGridLines="0" zoomScale="85" workbookViewId="0">
      <pane xSplit="2" ySplit="2" topLeftCell="C18" activePane="bottomRight" state="frozen"/>
      <selection activeCell="A4" sqref="A4:H4"/>
      <selection pane="topRight" activeCell="A4" sqref="A4:H4"/>
      <selection pane="bottomLeft" activeCell="A4" sqref="A4:H4"/>
      <selection pane="bottomRight" activeCell="A4" sqref="A4:H4"/>
    </sheetView>
  </sheetViews>
  <sheetFormatPr defaultRowHeight="15.5" x14ac:dyDescent="0.35"/>
  <cols>
    <col min="1" max="1" width="4.7265625" style="40" hidden="1" customWidth="1"/>
    <col min="2" max="2" width="25.26953125" style="69" customWidth="1"/>
    <col min="3" max="8" width="13" style="69" customWidth="1"/>
    <col min="9" max="253" width="9.1796875" style="69"/>
    <col min="254" max="254" width="0" style="69" hidden="1" customWidth="1"/>
    <col min="255" max="255" width="25.26953125" style="69" customWidth="1"/>
    <col min="256" max="261" width="13" style="69" customWidth="1"/>
    <col min="262" max="509" width="9.1796875" style="69"/>
    <col min="510" max="510" width="0" style="69" hidden="1" customWidth="1"/>
    <col min="511" max="511" width="25.26953125" style="69" customWidth="1"/>
    <col min="512" max="517" width="13" style="69" customWidth="1"/>
    <col min="518" max="765" width="9.1796875" style="69"/>
    <col min="766" max="766" width="0" style="69" hidden="1" customWidth="1"/>
    <col min="767" max="767" width="25.26953125" style="69" customWidth="1"/>
    <col min="768" max="773" width="13" style="69" customWidth="1"/>
    <col min="774" max="1021" width="9.1796875" style="69"/>
    <col min="1022" max="1022" width="0" style="69" hidden="1" customWidth="1"/>
    <col min="1023" max="1023" width="25.26953125" style="69" customWidth="1"/>
    <col min="1024" max="1029" width="13" style="69" customWidth="1"/>
    <col min="1030" max="1277" width="9.1796875" style="69"/>
    <col min="1278" max="1278" width="0" style="69" hidden="1" customWidth="1"/>
    <col min="1279" max="1279" width="25.26953125" style="69" customWidth="1"/>
    <col min="1280" max="1285" width="13" style="69" customWidth="1"/>
    <col min="1286" max="1533" width="9.1796875" style="69"/>
    <col min="1534" max="1534" width="0" style="69" hidden="1" customWidth="1"/>
    <col min="1535" max="1535" width="25.26953125" style="69" customWidth="1"/>
    <col min="1536" max="1541" width="13" style="69" customWidth="1"/>
    <col min="1542" max="1789" width="9.1796875" style="69"/>
    <col min="1790" max="1790" width="0" style="69" hidden="1" customWidth="1"/>
    <col min="1791" max="1791" width="25.26953125" style="69" customWidth="1"/>
    <col min="1792" max="1797" width="13" style="69" customWidth="1"/>
    <col min="1798" max="2045" width="9.1796875" style="69"/>
    <col min="2046" max="2046" width="0" style="69" hidden="1" customWidth="1"/>
    <col min="2047" max="2047" width="25.26953125" style="69" customWidth="1"/>
    <col min="2048" max="2053" width="13" style="69" customWidth="1"/>
    <col min="2054" max="2301" width="9.1796875" style="69"/>
    <col min="2302" max="2302" width="0" style="69" hidden="1" customWidth="1"/>
    <col min="2303" max="2303" width="25.26953125" style="69" customWidth="1"/>
    <col min="2304" max="2309" width="13" style="69" customWidth="1"/>
    <col min="2310" max="2557" width="9.1796875" style="69"/>
    <col min="2558" max="2558" width="0" style="69" hidden="1" customWidth="1"/>
    <col min="2559" max="2559" width="25.26953125" style="69" customWidth="1"/>
    <col min="2560" max="2565" width="13" style="69" customWidth="1"/>
    <col min="2566" max="2813" width="9.1796875" style="69"/>
    <col min="2814" max="2814" width="0" style="69" hidden="1" customWidth="1"/>
    <col min="2815" max="2815" width="25.26953125" style="69" customWidth="1"/>
    <col min="2816" max="2821" width="13" style="69" customWidth="1"/>
    <col min="2822" max="3069" width="9.1796875" style="69"/>
    <col min="3070" max="3070" width="0" style="69" hidden="1" customWidth="1"/>
    <col min="3071" max="3071" width="25.26953125" style="69" customWidth="1"/>
    <col min="3072" max="3077" width="13" style="69" customWidth="1"/>
    <col min="3078" max="3325" width="9.1796875" style="69"/>
    <col min="3326" max="3326" width="0" style="69" hidden="1" customWidth="1"/>
    <col min="3327" max="3327" width="25.26953125" style="69" customWidth="1"/>
    <col min="3328" max="3333" width="13" style="69" customWidth="1"/>
    <col min="3334" max="3581" width="9.1796875" style="69"/>
    <col min="3582" max="3582" width="0" style="69" hidden="1" customWidth="1"/>
    <col min="3583" max="3583" width="25.26953125" style="69" customWidth="1"/>
    <col min="3584" max="3589" width="13" style="69" customWidth="1"/>
    <col min="3590" max="3837" width="9.1796875" style="69"/>
    <col min="3838" max="3838" width="0" style="69" hidden="1" customWidth="1"/>
    <col min="3839" max="3839" width="25.26953125" style="69" customWidth="1"/>
    <col min="3840" max="3845" width="13" style="69" customWidth="1"/>
    <col min="3846" max="4093" width="9.1796875" style="69"/>
    <col min="4094" max="4094" width="0" style="69" hidden="1" customWidth="1"/>
    <col min="4095" max="4095" width="25.26953125" style="69" customWidth="1"/>
    <col min="4096" max="4101" width="13" style="69" customWidth="1"/>
    <col min="4102" max="4349" width="9.1796875" style="69"/>
    <col min="4350" max="4350" width="0" style="69" hidden="1" customWidth="1"/>
    <col min="4351" max="4351" width="25.26953125" style="69" customWidth="1"/>
    <col min="4352" max="4357" width="13" style="69" customWidth="1"/>
    <col min="4358" max="4605" width="9.1796875" style="69"/>
    <col min="4606" max="4606" width="0" style="69" hidden="1" customWidth="1"/>
    <col min="4607" max="4607" width="25.26953125" style="69" customWidth="1"/>
    <col min="4608" max="4613" width="13" style="69" customWidth="1"/>
    <col min="4614" max="4861" width="9.1796875" style="69"/>
    <col min="4862" max="4862" width="0" style="69" hidden="1" customWidth="1"/>
    <col min="4863" max="4863" width="25.26953125" style="69" customWidth="1"/>
    <col min="4864" max="4869" width="13" style="69" customWidth="1"/>
    <col min="4870" max="5117" width="9.1796875" style="69"/>
    <col min="5118" max="5118" width="0" style="69" hidden="1" customWidth="1"/>
    <col min="5119" max="5119" width="25.26953125" style="69" customWidth="1"/>
    <col min="5120" max="5125" width="13" style="69" customWidth="1"/>
    <col min="5126" max="5373" width="9.1796875" style="69"/>
    <col min="5374" max="5374" width="0" style="69" hidden="1" customWidth="1"/>
    <col min="5375" max="5375" width="25.26953125" style="69" customWidth="1"/>
    <col min="5376" max="5381" width="13" style="69" customWidth="1"/>
    <col min="5382" max="5629" width="9.1796875" style="69"/>
    <col min="5630" max="5630" width="0" style="69" hidden="1" customWidth="1"/>
    <col min="5631" max="5631" width="25.26953125" style="69" customWidth="1"/>
    <col min="5632" max="5637" width="13" style="69" customWidth="1"/>
    <col min="5638" max="5885" width="9.1796875" style="69"/>
    <col min="5886" max="5886" width="0" style="69" hidden="1" customWidth="1"/>
    <col min="5887" max="5887" width="25.26953125" style="69" customWidth="1"/>
    <col min="5888" max="5893" width="13" style="69" customWidth="1"/>
    <col min="5894" max="6141" width="9.1796875" style="69"/>
    <col min="6142" max="6142" width="0" style="69" hidden="1" customWidth="1"/>
    <col min="6143" max="6143" width="25.26953125" style="69" customWidth="1"/>
    <col min="6144" max="6149" width="13" style="69" customWidth="1"/>
    <col min="6150" max="6397" width="9.1796875" style="69"/>
    <col min="6398" max="6398" width="0" style="69" hidden="1" customWidth="1"/>
    <col min="6399" max="6399" width="25.26953125" style="69" customWidth="1"/>
    <col min="6400" max="6405" width="13" style="69" customWidth="1"/>
    <col min="6406" max="6653" width="9.1796875" style="69"/>
    <col min="6654" max="6654" width="0" style="69" hidden="1" customWidth="1"/>
    <col min="6655" max="6655" width="25.26953125" style="69" customWidth="1"/>
    <col min="6656" max="6661" width="13" style="69" customWidth="1"/>
    <col min="6662" max="6909" width="9.1796875" style="69"/>
    <col min="6910" max="6910" width="0" style="69" hidden="1" customWidth="1"/>
    <col min="6911" max="6911" width="25.26953125" style="69" customWidth="1"/>
    <col min="6912" max="6917" width="13" style="69" customWidth="1"/>
    <col min="6918" max="7165" width="9.1796875" style="69"/>
    <col min="7166" max="7166" width="0" style="69" hidden="1" customWidth="1"/>
    <col min="7167" max="7167" width="25.26953125" style="69" customWidth="1"/>
    <col min="7168" max="7173" width="13" style="69" customWidth="1"/>
    <col min="7174" max="7421" width="9.1796875" style="69"/>
    <col min="7422" max="7422" width="0" style="69" hidden="1" customWidth="1"/>
    <col min="7423" max="7423" width="25.26953125" style="69" customWidth="1"/>
    <col min="7424" max="7429" width="13" style="69" customWidth="1"/>
    <col min="7430" max="7677" width="9.1796875" style="69"/>
    <col min="7678" max="7678" width="0" style="69" hidden="1" customWidth="1"/>
    <col min="7679" max="7679" width="25.26953125" style="69" customWidth="1"/>
    <col min="7680" max="7685" width="13" style="69" customWidth="1"/>
    <col min="7686" max="7933" width="9.1796875" style="69"/>
    <col min="7934" max="7934" width="0" style="69" hidden="1" customWidth="1"/>
    <col min="7935" max="7935" width="25.26953125" style="69" customWidth="1"/>
    <col min="7936" max="7941" width="13" style="69" customWidth="1"/>
    <col min="7942" max="8189" width="9.1796875" style="69"/>
    <col min="8190" max="8190" width="0" style="69" hidden="1" customWidth="1"/>
    <col min="8191" max="8191" width="25.26953125" style="69" customWidth="1"/>
    <col min="8192" max="8197" width="13" style="69" customWidth="1"/>
    <col min="8198" max="8445" width="9.1796875" style="69"/>
    <col min="8446" max="8446" width="0" style="69" hidden="1" customWidth="1"/>
    <col min="8447" max="8447" width="25.26953125" style="69" customWidth="1"/>
    <col min="8448" max="8453" width="13" style="69" customWidth="1"/>
    <col min="8454" max="8701" width="9.1796875" style="69"/>
    <col min="8702" max="8702" width="0" style="69" hidden="1" customWidth="1"/>
    <col min="8703" max="8703" width="25.26953125" style="69" customWidth="1"/>
    <col min="8704" max="8709" width="13" style="69" customWidth="1"/>
    <col min="8710" max="8957" width="9.1796875" style="69"/>
    <col min="8958" max="8958" width="0" style="69" hidden="1" customWidth="1"/>
    <col min="8959" max="8959" width="25.26953125" style="69" customWidth="1"/>
    <col min="8960" max="8965" width="13" style="69" customWidth="1"/>
    <col min="8966" max="9213" width="9.1796875" style="69"/>
    <col min="9214" max="9214" width="0" style="69" hidden="1" customWidth="1"/>
    <col min="9215" max="9215" width="25.26953125" style="69" customWidth="1"/>
    <col min="9216" max="9221" width="13" style="69" customWidth="1"/>
    <col min="9222" max="9469" width="9.1796875" style="69"/>
    <col min="9470" max="9470" width="0" style="69" hidden="1" customWidth="1"/>
    <col min="9471" max="9471" width="25.26953125" style="69" customWidth="1"/>
    <col min="9472" max="9477" width="13" style="69" customWidth="1"/>
    <col min="9478" max="9725" width="9.1796875" style="69"/>
    <col min="9726" max="9726" width="0" style="69" hidden="1" customWidth="1"/>
    <col min="9727" max="9727" width="25.26953125" style="69" customWidth="1"/>
    <col min="9728" max="9733" width="13" style="69" customWidth="1"/>
    <col min="9734" max="9981" width="9.1796875" style="69"/>
    <col min="9982" max="9982" width="0" style="69" hidden="1" customWidth="1"/>
    <col min="9983" max="9983" width="25.26953125" style="69" customWidth="1"/>
    <col min="9984" max="9989" width="13" style="69" customWidth="1"/>
    <col min="9990" max="10237" width="9.1796875" style="69"/>
    <col min="10238" max="10238" width="0" style="69" hidden="1" customWidth="1"/>
    <col min="10239" max="10239" width="25.26953125" style="69" customWidth="1"/>
    <col min="10240" max="10245" width="13" style="69" customWidth="1"/>
    <col min="10246" max="10493" width="9.1796875" style="69"/>
    <col min="10494" max="10494" width="0" style="69" hidden="1" customWidth="1"/>
    <col min="10495" max="10495" width="25.26953125" style="69" customWidth="1"/>
    <col min="10496" max="10501" width="13" style="69" customWidth="1"/>
    <col min="10502" max="10749" width="9.1796875" style="69"/>
    <col min="10750" max="10750" width="0" style="69" hidden="1" customWidth="1"/>
    <col min="10751" max="10751" width="25.26953125" style="69" customWidth="1"/>
    <col min="10752" max="10757" width="13" style="69" customWidth="1"/>
    <col min="10758" max="11005" width="9.1796875" style="69"/>
    <col min="11006" max="11006" width="0" style="69" hidden="1" customWidth="1"/>
    <col min="11007" max="11007" width="25.26953125" style="69" customWidth="1"/>
    <col min="11008" max="11013" width="13" style="69" customWidth="1"/>
    <col min="11014" max="11261" width="9.1796875" style="69"/>
    <col min="11262" max="11262" width="0" style="69" hidden="1" customWidth="1"/>
    <col min="11263" max="11263" width="25.26953125" style="69" customWidth="1"/>
    <col min="11264" max="11269" width="13" style="69" customWidth="1"/>
    <col min="11270" max="11517" width="9.1796875" style="69"/>
    <col min="11518" max="11518" width="0" style="69" hidden="1" customWidth="1"/>
    <col min="11519" max="11519" width="25.26953125" style="69" customWidth="1"/>
    <col min="11520" max="11525" width="13" style="69" customWidth="1"/>
    <col min="11526" max="11773" width="9.1796875" style="69"/>
    <col min="11774" max="11774" width="0" style="69" hidden="1" customWidth="1"/>
    <col min="11775" max="11775" width="25.26953125" style="69" customWidth="1"/>
    <col min="11776" max="11781" width="13" style="69" customWidth="1"/>
    <col min="11782" max="12029" width="9.1796875" style="69"/>
    <col min="12030" max="12030" width="0" style="69" hidden="1" customWidth="1"/>
    <col min="12031" max="12031" width="25.26953125" style="69" customWidth="1"/>
    <col min="12032" max="12037" width="13" style="69" customWidth="1"/>
    <col min="12038" max="12285" width="9.1796875" style="69"/>
    <col min="12286" max="12286" width="0" style="69" hidden="1" customWidth="1"/>
    <col min="12287" max="12287" width="25.26953125" style="69" customWidth="1"/>
    <col min="12288" max="12293" width="13" style="69" customWidth="1"/>
    <col min="12294" max="12541" width="9.1796875" style="69"/>
    <col min="12542" max="12542" width="0" style="69" hidden="1" customWidth="1"/>
    <col min="12543" max="12543" width="25.26953125" style="69" customWidth="1"/>
    <col min="12544" max="12549" width="13" style="69" customWidth="1"/>
    <col min="12550" max="12797" width="9.1796875" style="69"/>
    <col min="12798" max="12798" width="0" style="69" hidden="1" customWidth="1"/>
    <col min="12799" max="12799" width="25.26953125" style="69" customWidth="1"/>
    <col min="12800" max="12805" width="13" style="69" customWidth="1"/>
    <col min="12806" max="13053" width="9.1796875" style="69"/>
    <col min="13054" max="13054" width="0" style="69" hidden="1" customWidth="1"/>
    <col min="13055" max="13055" width="25.26953125" style="69" customWidth="1"/>
    <col min="13056" max="13061" width="13" style="69" customWidth="1"/>
    <col min="13062" max="13309" width="9.1796875" style="69"/>
    <col min="13310" max="13310" width="0" style="69" hidden="1" customWidth="1"/>
    <col min="13311" max="13311" width="25.26953125" style="69" customWidth="1"/>
    <col min="13312" max="13317" width="13" style="69" customWidth="1"/>
    <col min="13318" max="13565" width="9.1796875" style="69"/>
    <col min="13566" max="13566" width="0" style="69" hidden="1" customWidth="1"/>
    <col min="13567" max="13567" width="25.26953125" style="69" customWidth="1"/>
    <col min="13568" max="13573" width="13" style="69" customWidth="1"/>
    <col min="13574" max="13821" width="9.1796875" style="69"/>
    <col min="13822" max="13822" width="0" style="69" hidden="1" customWidth="1"/>
    <col min="13823" max="13823" width="25.26953125" style="69" customWidth="1"/>
    <col min="13824" max="13829" width="13" style="69" customWidth="1"/>
    <col min="13830" max="14077" width="9.1796875" style="69"/>
    <col min="14078" max="14078" width="0" style="69" hidden="1" customWidth="1"/>
    <col min="14079" max="14079" width="25.26953125" style="69" customWidth="1"/>
    <col min="14080" max="14085" width="13" style="69" customWidth="1"/>
    <col min="14086" max="14333" width="9.1796875" style="69"/>
    <col min="14334" max="14334" width="0" style="69" hidden="1" customWidth="1"/>
    <col min="14335" max="14335" width="25.26953125" style="69" customWidth="1"/>
    <col min="14336" max="14341" width="13" style="69" customWidth="1"/>
    <col min="14342" max="14589" width="9.1796875" style="69"/>
    <col min="14590" max="14590" width="0" style="69" hidden="1" customWidth="1"/>
    <col min="14591" max="14591" width="25.26953125" style="69" customWidth="1"/>
    <col min="14592" max="14597" width="13" style="69" customWidth="1"/>
    <col min="14598" max="14845" width="9.1796875" style="69"/>
    <col min="14846" max="14846" width="0" style="69" hidden="1" customWidth="1"/>
    <col min="14847" max="14847" width="25.26953125" style="69" customWidth="1"/>
    <col min="14848" max="14853" width="13" style="69" customWidth="1"/>
    <col min="14854" max="15101" width="9.1796875" style="69"/>
    <col min="15102" max="15102" width="0" style="69" hidden="1" customWidth="1"/>
    <col min="15103" max="15103" width="25.26953125" style="69" customWidth="1"/>
    <col min="15104" max="15109" width="13" style="69" customWidth="1"/>
    <col min="15110" max="15357" width="9.1796875" style="69"/>
    <col min="15358" max="15358" width="0" style="69" hidden="1" customWidth="1"/>
    <col min="15359" max="15359" width="25.26953125" style="69" customWidth="1"/>
    <col min="15360" max="15365" width="13" style="69" customWidth="1"/>
    <col min="15366" max="15613" width="9.1796875" style="69"/>
    <col min="15614" max="15614" width="0" style="69" hidden="1" customWidth="1"/>
    <col min="15615" max="15615" width="25.26953125" style="69" customWidth="1"/>
    <col min="15616" max="15621" width="13" style="69" customWidth="1"/>
    <col min="15622" max="15869" width="9.1796875" style="69"/>
    <col min="15870" max="15870" width="0" style="69" hidden="1" customWidth="1"/>
    <col min="15871" max="15871" width="25.26953125" style="69" customWidth="1"/>
    <col min="15872" max="15877" width="13" style="69" customWidth="1"/>
    <col min="15878" max="16125" width="9.1796875" style="69"/>
    <col min="16126" max="16126" width="0" style="69" hidden="1" customWidth="1"/>
    <col min="16127" max="16127" width="25.26953125" style="69" customWidth="1"/>
    <col min="16128" max="16133" width="13" style="69" customWidth="1"/>
    <col min="16134" max="16384" width="9.1796875" style="69"/>
  </cols>
  <sheetData>
    <row r="1" spans="1:8" ht="39.75" customHeight="1" x14ac:dyDescent="0.35">
      <c r="B1" s="148" t="s">
        <v>109</v>
      </c>
      <c r="C1" s="148"/>
      <c r="D1" s="148"/>
      <c r="E1" s="148"/>
      <c r="F1" s="148"/>
      <c r="G1" s="148"/>
      <c r="H1" s="148"/>
    </row>
    <row r="2" spans="1:8" ht="30" customHeight="1" x14ac:dyDescent="0.35">
      <c r="C2" s="85" t="s">
        <v>74</v>
      </c>
      <c r="D2" s="85" t="s">
        <v>75</v>
      </c>
      <c r="E2" s="85" t="s">
        <v>76</v>
      </c>
      <c r="F2" s="85" t="s">
        <v>77</v>
      </c>
      <c r="G2" s="70" t="s">
        <v>78</v>
      </c>
      <c r="H2" s="71" t="s">
        <v>1</v>
      </c>
    </row>
    <row r="3" spans="1:8" s="36" customFormat="1" ht="26.25" customHeight="1" x14ac:dyDescent="0.35">
      <c r="A3" s="38"/>
      <c r="B3" s="37" t="s">
        <v>80</v>
      </c>
      <c r="C3" s="72">
        <f t="shared" ref="C3:H3" si="0">C4+C44</f>
        <v>1</v>
      </c>
      <c r="D3" s="72">
        <f t="shared" si="0"/>
        <v>44.6</v>
      </c>
      <c r="E3" s="72">
        <f t="shared" si="0"/>
        <v>1027.825</v>
      </c>
      <c r="F3" s="72">
        <f t="shared" si="0"/>
        <v>2081.3383333333331</v>
      </c>
      <c r="G3" s="72">
        <f t="shared" si="0"/>
        <v>8993.5016666666652</v>
      </c>
      <c r="H3" s="72">
        <f t="shared" si="0"/>
        <v>12148.705000000002</v>
      </c>
    </row>
    <row r="4" spans="1:8" s="37" customFormat="1" ht="26.25" customHeight="1" x14ac:dyDescent="0.35">
      <c r="A4" s="38"/>
      <c r="B4" s="37" t="s">
        <v>55</v>
      </c>
      <c r="C4" s="74">
        <f t="shared" ref="C4:H4" si="1">SUM(C5:C43)</f>
        <v>1</v>
      </c>
      <c r="D4" s="74">
        <f t="shared" si="1"/>
        <v>44.6</v>
      </c>
      <c r="E4" s="74">
        <f t="shared" si="1"/>
        <v>994.34500000000003</v>
      </c>
      <c r="F4" s="74">
        <f t="shared" si="1"/>
        <v>2036.2783333333332</v>
      </c>
      <c r="G4" s="74">
        <f t="shared" si="1"/>
        <v>8744.3916666666646</v>
      </c>
      <c r="H4" s="74">
        <f t="shared" si="1"/>
        <v>11820.615000000002</v>
      </c>
    </row>
    <row r="5" spans="1:8" s="50" customFormat="1" ht="13" x14ac:dyDescent="0.35">
      <c r="A5" s="40">
        <v>51</v>
      </c>
      <c r="B5" s="50" t="s">
        <v>7</v>
      </c>
      <c r="C5" s="75">
        <v>0</v>
      </c>
      <c r="D5" s="75">
        <v>0</v>
      </c>
      <c r="E5" s="75">
        <v>11.25</v>
      </c>
      <c r="F5" s="75">
        <v>40.5</v>
      </c>
      <c r="G5" s="75">
        <v>134.75</v>
      </c>
      <c r="H5" s="76">
        <v>186.5</v>
      </c>
    </row>
    <row r="6" spans="1:8" s="50" customFormat="1" ht="13" x14ac:dyDescent="0.35">
      <c r="A6" s="40">
        <v>52</v>
      </c>
      <c r="B6" s="50" t="s">
        <v>8</v>
      </c>
      <c r="C6" s="75">
        <v>0</v>
      </c>
      <c r="D6" s="75">
        <v>0</v>
      </c>
      <c r="E6" s="75">
        <v>9.25</v>
      </c>
      <c r="F6" s="75">
        <v>24</v>
      </c>
      <c r="G6" s="75">
        <v>101</v>
      </c>
      <c r="H6" s="76">
        <v>134.25</v>
      </c>
    </row>
    <row r="7" spans="1:8" s="50" customFormat="1" ht="13" x14ac:dyDescent="0.35">
      <c r="A7" s="40">
        <v>86</v>
      </c>
      <c r="B7" s="50" t="s">
        <v>9</v>
      </c>
      <c r="C7" s="75">
        <v>0</v>
      </c>
      <c r="D7" s="75">
        <v>0</v>
      </c>
      <c r="E7" s="75">
        <v>9</v>
      </c>
      <c r="F7" s="75">
        <v>25</v>
      </c>
      <c r="G7" s="75">
        <v>71</v>
      </c>
      <c r="H7" s="76">
        <v>105</v>
      </c>
    </row>
    <row r="8" spans="1:8" s="50" customFormat="1" ht="13" x14ac:dyDescent="0.35">
      <c r="A8" s="40">
        <v>53</v>
      </c>
      <c r="B8" s="50" t="s">
        <v>10</v>
      </c>
      <c r="C8" s="75">
        <v>0</v>
      </c>
      <c r="D8" s="75">
        <v>0</v>
      </c>
      <c r="E8" s="75">
        <v>21</v>
      </c>
      <c r="F8" s="75">
        <v>41</v>
      </c>
      <c r="G8" s="75">
        <v>145</v>
      </c>
      <c r="H8" s="76">
        <v>207</v>
      </c>
    </row>
    <row r="9" spans="1:8" s="50" customFormat="1" ht="13" x14ac:dyDescent="0.35">
      <c r="A9" s="40">
        <v>54</v>
      </c>
      <c r="B9" s="50" t="s">
        <v>11</v>
      </c>
      <c r="C9" s="75">
        <v>0</v>
      </c>
      <c r="D9" s="75">
        <v>0.75</v>
      </c>
      <c r="E9" s="75">
        <v>23.75</v>
      </c>
      <c r="F9" s="75">
        <v>64.5</v>
      </c>
      <c r="G9" s="75">
        <v>197.5</v>
      </c>
      <c r="H9" s="76">
        <v>286.5</v>
      </c>
    </row>
    <row r="10" spans="1:8" s="50" customFormat="1" ht="13" x14ac:dyDescent="0.35">
      <c r="A10" s="40">
        <v>55</v>
      </c>
      <c r="B10" s="50" t="s">
        <v>12</v>
      </c>
      <c r="C10" s="75">
        <v>0</v>
      </c>
      <c r="D10" s="75">
        <v>0</v>
      </c>
      <c r="E10" s="75">
        <v>10.3</v>
      </c>
      <c r="F10" s="75">
        <v>23.84</v>
      </c>
      <c r="G10" s="75">
        <v>122.31</v>
      </c>
      <c r="H10" s="76">
        <v>156.44999999999999</v>
      </c>
    </row>
    <row r="11" spans="1:8" s="50" customFormat="1" ht="13" x14ac:dyDescent="0.35">
      <c r="A11" s="40">
        <v>56</v>
      </c>
      <c r="B11" s="50" t="s">
        <v>13</v>
      </c>
      <c r="C11" s="75">
        <v>0</v>
      </c>
      <c r="D11" s="75">
        <v>0</v>
      </c>
      <c r="E11" s="75">
        <v>4</v>
      </c>
      <c r="F11" s="75">
        <v>8</v>
      </c>
      <c r="G11" s="75">
        <v>71</v>
      </c>
      <c r="H11" s="76">
        <v>83</v>
      </c>
    </row>
    <row r="12" spans="1:8" s="50" customFormat="1" ht="13" x14ac:dyDescent="0.35">
      <c r="A12" s="40">
        <v>57</v>
      </c>
      <c r="B12" s="50" t="s">
        <v>14</v>
      </c>
      <c r="C12" s="75">
        <v>0</v>
      </c>
      <c r="D12" s="75">
        <v>23</v>
      </c>
      <c r="E12" s="75">
        <v>33</v>
      </c>
      <c r="F12" s="75">
        <v>55</v>
      </c>
      <c r="G12" s="75">
        <v>286</v>
      </c>
      <c r="H12" s="76">
        <v>397</v>
      </c>
    </row>
    <row r="13" spans="1:8" s="50" customFormat="1" ht="13" x14ac:dyDescent="0.35">
      <c r="A13" s="40">
        <v>59</v>
      </c>
      <c r="B13" s="50" t="s">
        <v>15</v>
      </c>
      <c r="C13" s="75">
        <v>0</v>
      </c>
      <c r="D13" s="75">
        <v>0</v>
      </c>
      <c r="E13" s="75">
        <v>29.39</v>
      </c>
      <c r="F13" s="75">
        <v>75.3</v>
      </c>
      <c r="G13" s="75">
        <v>288.02999999999997</v>
      </c>
      <c r="H13" s="76">
        <v>392.72</v>
      </c>
    </row>
    <row r="14" spans="1:8" s="50" customFormat="1" ht="13" x14ac:dyDescent="0.35">
      <c r="A14" s="40">
        <v>60</v>
      </c>
      <c r="B14" s="50" t="s">
        <v>16</v>
      </c>
      <c r="C14" s="75">
        <v>0</v>
      </c>
      <c r="D14" s="75">
        <v>0</v>
      </c>
      <c r="E14" s="75">
        <v>20.9</v>
      </c>
      <c r="F14" s="75">
        <v>44.4</v>
      </c>
      <c r="G14" s="75">
        <v>161.6</v>
      </c>
      <c r="H14" s="76">
        <v>226.9</v>
      </c>
    </row>
    <row r="15" spans="1:8" s="50" customFormat="1" ht="13" x14ac:dyDescent="0.35">
      <c r="A15" s="40">
        <v>61</v>
      </c>
      <c r="B15" s="77" t="s">
        <v>56</v>
      </c>
      <c r="C15" s="75">
        <v>0</v>
      </c>
      <c r="D15" s="75">
        <v>0</v>
      </c>
      <c r="E15" s="75">
        <v>102.25</v>
      </c>
      <c r="F15" s="75">
        <v>201.63</v>
      </c>
      <c r="G15" s="75">
        <v>842.71</v>
      </c>
      <c r="H15" s="76">
        <v>1146.5899999999999</v>
      </c>
    </row>
    <row r="16" spans="1:8" s="50" customFormat="1" ht="12.5" x14ac:dyDescent="0.35">
      <c r="A16" s="40">
        <v>62</v>
      </c>
      <c r="B16" s="50" t="s">
        <v>143</v>
      </c>
      <c r="C16" s="75">
        <f>C61+C62</f>
        <v>0</v>
      </c>
      <c r="D16" s="75">
        <f t="shared" ref="D16:H16" si="2">D61+D62</f>
        <v>0</v>
      </c>
      <c r="E16" s="75">
        <f t="shared" si="2"/>
        <v>63.75</v>
      </c>
      <c r="F16" s="75">
        <f t="shared" si="2"/>
        <v>116.25</v>
      </c>
      <c r="G16" s="75">
        <f t="shared" si="2"/>
        <v>433.17500000000001</v>
      </c>
      <c r="H16" s="75">
        <f t="shared" si="2"/>
        <v>613.17499999999995</v>
      </c>
    </row>
    <row r="17" spans="1:8" s="50" customFormat="1" ht="13" x14ac:dyDescent="0.35">
      <c r="A17" s="40">
        <v>58</v>
      </c>
      <c r="B17" s="50" t="s">
        <v>19</v>
      </c>
      <c r="C17" s="75">
        <v>0</v>
      </c>
      <c r="D17" s="75">
        <v>0</v>
      </c>
      <c r="E17" s="75">
        <v>14.63</v>
      </c>
      <c r="F17" s="75">
        <v>30.2</v>
      </c>
      <c r="G17" s="75">
        <v>107.15</v>
      </c>
      <c r="H17" s="76">
        <v>151.97999999999999</v>
      </c>
    </row>
    <row r="18" spans="1:8" s="50" customFormat="1" ht="13" x14ac:dyDescent="0.35">
      <c r="A18" s="40">
        <v>63</v>
      </c>
      <c r="B18" s="50" t="s">
        <v>20</v>
      </c>
      <c r="C18" s="75">
        <v>0</v>
      </c>
      <c r="D18" s="75">
        <v>0</v>
      </c>
      <c r="E18" s="75">
        <v>20.5</v>
      </c>
      <c r="F18" s="75">
        <v>40</v>
      </c>
      <c r="G18" s="75">
        <v>182.25</v>
      </c>
      <c r="H18" s="76">
        <v>242.75</v>
      </c>
    </row>
    <row r="19" spans="1:8" s="50" customFormat="1" ht="13" x14ac:dyDescent="0.35">
      <c r="A19" s="40">
        <v>64</v>
      </c>
      <c r="B19" s="50" t="s">
        <v>21</v>
      </c>
      <c r="C19" s="75">
        <v>0</v>
      </c>
      <c r="D19" s="75">
        <v>7</v>
      </c>
      <c r="E19" s="75">
        <v>31.5</v>
      </c>
      <c r="F19" s="75">
        <v>72</v>
      </c>
      <c r="G19" s="75">
        <v>277.75</v>
      </c>
      <c r="H19" s="76">
        <v>388.25</v>
      </c>
    </row>
    <row r="20" spans="1:8" s="50" customFormat="1" ht="13" x14ac:dyDescent="0.35">
      <c r="A20" s="40">
        <v>65</v>
      </c>
      <c r="B20" s="50" t="s">
        <v>22</v>
      </c>
      <c r="C20" s="75">
        <v>0</v>
      </c>
      <c r="D20" s="75">
        <v>5.85</v>
      </c>
      <c r="E20" s="75">
        <v>25.4</v>
      </c>
      <c r="F20" s="75">
        <v>41</v>
      </c>
      <c r="G20" s="75">
        <v>175.05</v>
      </c>
      <c r="H20" s="76">
        <v>247.3</v>
      </c>
    </row>
    <row r="21" spans="1:8" s="50" customFormat="1" ht="13" x14ac:dyDescent="0.35">
      <c r="A21" s="40">
        <v>67</v>
      </c>
      <c r="B21" s="50" t="s">
        <v>25</v>
      </c>
      <c r="C21" s="75">
        <v>0</v>
      </c>
      <c r="D21" s="75">
        <v>0</v>
      </c>
      <c r="E21" s="75">
        <v>55.6</v>
      </c>
      <c r="F21" s="75">
        <v>96.65</v>
      </c>
      <c r="G21" s="75">
        <v>435.25</v>
      </c>
      <c r="H21" s="76">
        <v>587.5</v>
      </c>
    </row>
    <row r="22" spans="1:8" s="50" customFormat="1" ht="13" x14ac:dyDescent="0.35">
      <c r="A22" s="40">
        <v>68</v>
      </c>
      <c r="B22" s="50" t="s">
        <v>57</v>
      </c>
      <c r="C22" s="75">
        <v>0</v>
      </c>
      <c r="D22" s="75">
        <v>0</v>
      </c>
      <c r="E22" s="75">
        <v>21.5</v>
      </c>
      <c r="F22" s="75">
        <v>52.75</v>
      </c>
      <c r="G22" s="75">
        <v>231</v>
      </c>
      <c r="H22" s="76">
        <v>305.25</v>
      </c>
    </row>
    <row r="23" spans="1:8" s="50" customFormat="1" ht="13" x14ac:dyDescent="0.35">
      <c r="A23" s="40">
        <v>69</v>
      </c>
      <c r="B23" s="50" t="s">
        <v>27</v>
      </c>
      <c r="C23" s="75">
        <v>0</v>
      </c>
      <c r="D23" s="75">
        <v>0</v>
      </c>
      <c r="E23" s="75">
        <v>24</v>
      </c>
      <c r="F23" s="75">
        <v>37</v>
      </c>
      <c r="G23" s="75">
        <v>138</v>
      </c>
      <c r="H23" s="76">
        <v>199</v>
      </c>
    </row>
    <row r="24" spans="1:8" s="50" customFormat="1" ht="13" x14ac:dyDescent="0.35">
      <c r="A24" s="40">
        <v>70</v>
      </c>
      <c r="B24" s="50" t="s">
        <v>28</v>
      </c>
      <c r="C24" s="75">
        <v>0</v>
      </c>
      <c r="D24" s="75">
        <v>0</v>
      </c>
      <c r="E24" s="75">
        <v>18</v>
      </c>
      <c r="F24" s="75">
        <v>44</v>
      </c>
      <c r="G24" s="75">
        <v>317</v>
      </c>
      <c r="H24" s="76">
        <v>379</v>
      </c>
    </row>
    <row r="25" spans="1:8" s="50" customFormat="1" ht="13" x14ac:dyDescent="0.35">
      <c r="A25" s="40">
        <v>71</v>
      </c>
      <c r="B25" s="50" t="s">
        <v>58</v>
      </c>
      <c r="C25" s="75">
        <v>0</v>
      </c>
      <c r="D25" s="75">
        <v>0</v>
      </c>
      <c r="E25" s="75">
        <v>15.75</v>
      </c>
      <c r="F25" s="75">
        <v>24.25</v>
      </c>
      <c r="G25" s="75">
        <v>79.25</v>
      </c>
      <c r="H25" s="76">
        <v>119.25</v>
      </c>
    </row>
    <row r="26" spans="1:8" s="50" customFormat="1" ht="13" x14ac:dyDescent="0.35">
      <c r="A26" s="40">
        <v>73</v>
      </c>
      <c r="B26" s="50" t="s">
        <v>31</v>
      </c>
      <c r="C26" s="75">
        <v>0</v>
      </c>
      <c r="D26" s="75">
        <v>0</v>
      </c>
      <c r="E26" s="75">
        <v>84</v>
      </c>
      <c r="F26" s="75">
        <v>102</v>
      </c>
      <c r="G26" s="75">
        <v>528</v>
      </c>
      <c r="H26" s="76">
        <v>714</v>
      </c>
    </row>
    <row r="27" spans="1:8" s="50" customFormat="1" ht="13" x14ac:dyDescent="0.35">
      <c r="A27" s="40">
        <v>74</v>
      </c>
      <c r="B27" s="50" t="s">
        <v>32</v>
      </c>
      <c r="C27" s="75">
        <v>0</v>
      </c>
      <c r="D27" s="75">
        <v>0</v>
      </c>
      <c r="E27" s="75">
        <v>20.625</v>
      </c>
      <c r="F27" s="75">
        <v>35.924999999999997</v>
      </c>
      <c r="G27" s="75">
        <v>250</v>
      </c>
      <c r="H27" s="76">
        <v>306.55</v>
      </c>
    </row>
    <row r="28" spans="1:8" s="50" customFormat="1" ht="13" x14ac:dyDescent="0.35">
      <c r="A28" s="40">
        <v>75</v>
      </c>
      <c r="B28" s="50" t="s">
        <v>33</v>
      </c>
      <c r="C28" s="75">
        <v>0</v>
      </c>
      <c r="D28" s="75">
        <v>0</v>
      </c>
      <c r="E28" s="75">
        <v>17</v>
      </c>
      <c r="F28" s="75">
        <v>29</v>
      </c>
      <c r="G28" s="75">
        <v>150</v>
      </c>
      <c r="H28" s="76">
        <v>196</v>
      </c>
    </row>
    <row r="29" spans="1:8" s="50" customFormat="1" ht="13" x14ac:dyDescent="0.35">
      <c r="A29" s="40">
        <v>76</v>
      </c>
      <c r="B29" s="50" t="s">
        <v>34</v>
      </c>
      <c r="C29" s="75">
        <v>0</v>
      </c>
      <c r="D29" s="75">
        <v>5</v>
      </c>
      <c r="E29" s="75">
        <v>34</v>
      </c>
      <c r="F29" s="75">
        <v>77</v>
      </c>
      <c r="G29" s="75">
        <v>338</v>
      </c>
      <c r="H29" s="76">
        <v>454</v>
      </c>
    </row>
    <row r="30" spans="1:8" s="50" customFormat="1" ht="13" x14ac:dyDescent="0.35">
      <c r="A30" s="40">
        <v>79</v>
      </c>
      <c r="B30" s="50" t="s">
        <v>36</v>
      </c>
      <c r="C30" s="75">
        <v>0</v>
      </c>
      <c r="D30" s="75">
        <v>0</v>
      </c>
      <c r="E30" s="75">
        <v>43.25</v>
      </c>
      <c r="F30" s="75">
        <v>71.25</v>
      </c>
      <c r="G30" s="75">
        <v>366.75</v>
      </c>
      <c r="H30" s="76">
        <v>481.25</v>
      </c>
    </row>
    <row r="31" spans="1:8" s="50" customFormat="1" ht="12.5" x14ac:dyDescent="0.35">
      <c r="A31" s="40"/>
      <c r="B31" s="67" t="s">
        <v>81</v>
      </c>
      <c r="C31" s="68" t="s">
        <v>64</v>
      </c>
      <c r="D31" s="68" t="s">
        <v>64</v>
      </c>
      <c r="E31" s="68" t="s">
        <v>64</v>
      </c>
      <c r="F31" s="68" t="s">
        <v>64</v>
      </c>
      <c r="G31" s="68" t="s">
        <v>64</v>
      </c>
      <c r="H31" s="68" t="s">
        <v>64</v>
      </c>
    </row>
    <row r="32" spans="1:8" s="50" customFormat="1" ht="13" x14ac:dyDescent="0.35">
      <c r="A32" s="40">
        <v>80</v>
      </c>
      <c r="B32" s="50" t="s">
        <v>38</v>
      </c>
      <c r="C32" s="75">
        <v>0</v>
      </c>
      <c r="D32" s="75">
        <v>0</v>
      </c>
      <c r="E32" s="75">
        <v>30.25</v>
      </c>
      <c r="F32" s="75">
        <v>66.25</v>
      </c>
      <c r="G32" s="75">
        <v>254.25</v>
      </c>
      <c r="H32" s="76">
        <v>350.75</v>
      </c>
    </row>
    <row r="33" spans="1:8" s="50" customFormat="1" ht="13" x14ac:dyDescent="0.35">
      <c r="A33" s="40">
        <v>81</v>
      </c>
      <c r="B33" s="50" t="s">
        <v>39</v>
      </c>
      <c r="C33" s="75">
        <v>0</v>
      </c>
      <c r="D33" s="75">
        <v>0</v>
      </c>
      <c r="E33" s="75">
        <v>21</v>
      </c>
      <c r="F33" s="75">
        <v>46</v>
      </c>
      <c r="G33" s="75">
        <v>202</v>
      </c>
      <c r="H33" s="76">
        <v>269</v>
      </c>
    </row>
    <row r="34" spans="1:8" s="50" customFormat="1" ht="13" x14ac:dyDescent="0.35">
      <c r="A34" s="40">
        <v>83</v>
      </c>
      <c r="B34" s="50" t="s">
        <v>40</v>
      </c>
      <c r="C34" s="75">
        <v>0</v>
      </c>
      <c r="D34" s="75">
        <v>0</v>
      </c>
      <c r="E34" s="75">
        <v>12.75</v>
      </c>
      <c r="F34" s="75">
        <v>23.75</v>
      </c>
      <c r="G34" s="75">
        <v>128.25</v>
      </c>
      <c r="H34" s="76">
        <v>164.75</v>
      </c>
    </row>
    <row r="35" spans="1:8" s="50" customFormat="1" ht="13" x14ac:dyDescent="0.35">
      <c r="A35" s="40">
        <v>84</v>
      </c>
      <c r="B35" s="50" t="s">
        <v>41</v>
      </c>
      <c r="C35" s="75">
        <v>0</v>
      </c>
      <c r="D35" s="75">
        <v>0</v>
      </c>
      <c r="E35" s="75">
        <v>17</v>
      </c>
      <c r="F35" s="75">
        <v>33.5</v>
      </c>
      <c r="G35" s="75">
        <v>205.2</v>
      </c>
      <c r="H35" s="76">
        <v>255.7</v>
      </c>
    </row>
    <row r="36" spans="1:8" s="50" customFormat="1" ht="13" x14ac:dyDescent="0.35">
      <c r="A36" s="40">
        <v>85</v>
      </c>
      <c r="B36" s="50" t="s">
        <v>42</v>
      </c>
      <c r="C36" s="75">
        <v>0</v>
      </c>
      <c r="D36" s="75">
        <v>0</v>
      </c>
      <c r="E36" s="75">
        <v>21.25</v>
      </c>
      <c r="F36" s="75">
        <v>39.75</v>
      </c>
      <c r="G36" s="75">
        <v>236</v>
      </c>
      <c r="H36" s="76">
        <v>297</v>
      </c>
    </row>
    <row r="37" spans="1:8" s="50" customFormat="1" ht="13" x14ac:dyDescent="0.35">
      <c r="A37" s="40">
        <v>87</v>
      </c>
      <c r="B37" s="50" t="s">
        <v>43</v>
      </c>
      <c r="C37" s="75">
        <v>0</v>
      </c>
      <c r="D37" s="75">
        <v>2</v>
      </c>
      <c r="E37" s="75">
        <v>18</v>
      </c>
      <c r="F37" s="75">
        <v>67</v>
      </c>
      <c r="G37" s="75">
        <v>252</v>
      </c>
      <c r="H37" s="76">
        <v>339</v>
      </c>
    </row>
    <row r="38" spans="1:8" s="50" customFormat="1" ht="13" x14ac:dyDescent="0.35">
      <c r="A38" s="40">
        <v>90</v>
      </c>
      <c r="B38" s="50" t="s">
        <v>45</v>
      </c>
      <c r="C38" s="75">
        <v>0</v>
      </c>
      <c r="D38" s="75">
        <v>0</v>
      </c>
      <c r="E38" s="75">
        <v>29</v>
      </c>
      <c r="F38" s="75">
        <v>81</v>
      </c>
      <c r="G38" s="75">
        <v>373</v>
      </c>
      <c r="H38" s="76">
        <v>483</v>
      </c>
    </row>
    <row r="39" spans="1:8" s="50" customFormat="1" ht="13" x14ac:dyDescent="0.35">
      <c r="A39" s="40">
        <v>91</v>
      </c>
      <c r="B39" s="50" t="s">
        <v>46</v>
      </c>
      <c r="C39" s="75">
        <v>0</v>
      </c>
      <c r="D39" s="75">
        <v>0</v>
      </c>
      <c r="E39" s="75">
        <v>33.25</v>
      </c>
      <c r="F39" s="75">
        <v>74.75</v>
      </c>
      <c r="G39" s="75">
        <v>280.5</v>
      </c>
      <c r="H39" s="76">
        <v>388.5</v>
      </c>
    </row>
    <row r="40" spans="1:8" s="50" customFormat="1" ht="13" x14ac:dyDescent="0.35">
      <c r="A40" s="40">
        <v>92</v>
      </c>
      <c r="B40" s="50" t="s">
        <v>47</v>
      </c>
      <c r="C40" s="75">
        <v>0</v>
      </c>
      <c r="D40" s="75">
        <v>0</v>
      </c>
      <c r="E40" s="75">
        <v>9</v>
      </c>
      <c r="F40" s="75">
        <v>26</v>
      </c>
      <c r="G40" s="75">
        <v>68</v>
      </c>
      <c r="H40" s="76">
        <v>103</v>
      </c>
    </row>
    <row r="41" spans="1:8" s="50" customFormat="1" ht="13" x14ac:dyDescent="0.35">
      <c r="A41" s="40">
        <v>94</v>
      </c>
      <c r="B41" s="50" t="s">
        <v>49</v>
      </c>
      <c r="C41" s="75">
        <v>0</v>
      </c>
      <c r="D41" s="75">
        <v>0</v>
      </c>
      <c r="E41" s="75">
        <v>13.5</v>
      </c>
      <c r="F41" s="75">
        <v>25.333333333333336</v>
      </c>
      <c r="G41" s="75">
        <v>79.666666666666657</v>
      </c>
      <c r="H41" s="76">
        <v>118.5</v>
      </c>
    </row>
    <row r="42" spans="1:8" s="50" customFormat="1" ht="13" x14ac:dyDescent="0.35">
      <c r="A42" s="40">
        <v>96</v>
      </c>
      <c r="B42" s="50" t="s">
        <v>51</v>
      </c>
      <c r="C42" s="75">
        <v>0</v>
      </c>
      <c r="D42" s="75">
        <v>0</v>
      </c>
      <c r="E42" s="75">
        <v>19.75</v>
      </c>
      <c r="F42" s="75">
        <v>74.5</v>
      </c>
      <c r="G42" s="75">
        <v>211</v>
      </c>
      <c r="H42" s="76">
        <v>305.25</v>
      </c>
    </row>
    <row r="43" spans="1:8" s="50" customFormat="1" ht="13" x14ac:dyDescent="0.35">
      <c r="A43" s="40">
        <v>72</v>
      </c>
      <c r="B43" s="50" t="s">
        <v>30</v>
      </c>
      <c r="C43" s="75">
        <v>1</v>
      </c>
      <c r="D43" s="75">
        <v>1</v>
      </c>
      <c r="E43" s="75">
        <v>6</v>
      </c>
      <c r="F43" s="75">
        <v>6</v>
      </c>
      <c r="G43" s="75">
        <v>25</v>
      </c>
      <c r="H43" s="76">
        <v>39</v>
      </c>
    </row>
    <row r="44" spans="1:8" s="37" customFormat="1" ht="26.25" customHeight="1" x14ac:dyDescent="0.35">
      <c r="A44" s="38"/>
      <c r="B44" s="37" t="s">
        <v>59</v>
      </c>
      <c r="C44" s="39">
        <f t="shared" ref="C44:G44" si="3">SUM(C45:C51)</f>
        <v>0</v>
      </c>
      <c r="D44" s="39">
        <f t="shared" si="3"/>
        <v>0</v>
      </c>
      <c r="E44" s="39">
        <f t="shared" si="3"/>
        <v>33.480000000000004</v>
      </c>
      <c r="F44" s="39">
        <f t="shared" si="3"/>
        <v>45.06</v>
      </c>
      <c r="G44" s="39">
        <f t="shared" si="3"/>
        <v>249.11</v>
      </c>
      <c r="H44" s="39">
        <f>SUM(H45:H51)</f>
        <v>328.09000000000003</v>
      </c>
    </row>
    <row r="45" spans="1:8" s="50" customFormat="1" ht="13" x14ac:dyDescent="0.35">
      <c r="A45" s="40">
        <v>66</v>
      </c>
      <c r="B45" s="50" t="s">
        <v>24</v>
      </c>
      <c r="C45" s="75">
        <v>0</v>
      </c>
      <c r="D45" s="75">
        <v>0</v>
      </c>
      <c r="E45" s="75">
        <v>0.56000000000000005</v>
      </c>
      <c r="F45" s="87">
        <v>2</v>
      </c>
      <c r="G45" s="75">
        <v>37</v>
      </c>
      <c r="H45" s="76">
        <v>40</v>
      </c>
    </row>
    <row r="46" spans="1:8" s="50" customFormat="1" ht="13" x14ac:dyDescent="0.35">
      <c r="A46" s="40">
        <v>78</v>
      </c>
      <c r="B46" s="50" t="s">
        <v>35</v>
      </c>
      <c r="C46" s="75">
        <v>0</v>
      </c>
      <c r="D46" s="75">
        <v>0</v>
      </c>
      <c r="E46" s="87">
        <v>12.92</v>
      </c>
      <c r="F46" s="87">
        <v>6.39</v>
      </c>
      <c r="G46" s="75">
        <f>51.62-4</f>
        <v>47.62</v>
      </c>
      <c r="H46" s="76">
        <f>70.93-4</f>
        <v>66.930000000000007</v>
      </c>
    </row>
    <row r="47" spans="1:8" s="50" customFormat="1" ht="13" x14ac:dyDescent="0.35">
      <c r="A47" s="40">
        <v>89</v>
      </c>
      <c r="B47" s="50" t="s">
        <v>44</v>
      </c>
      <c r="C47" s="75">
        <v>0</v>
      </c>
      <c r="D47" s="75">
        <v>0</v>
      </c>
      <c r="E47" s="87">
        <v>7.75</v>
      </c>
      <c r="F47" s="87">
        <v>13.5</v>
      </c>
      <c r="G47" s="75">
        <v>64</v>
      </c>
      <c r="H47" s="76">
        <v>85.25</v>
      </c>
    </row>
    <row r="48" spans="1:8" s="50" customFormat="1" ht="13" x14ac:dyDescent="0.35">
      <c r="A48" s="40">
        <v>93</v>
      </c>
      <c r="B48" s="50" t="s">
        <v>60</v>
      </c>
      <c r="C48" s="75">
        <v>0</v>
      </c>
      <c r="D48" s="75">
        <v>0</v>
      </c>
      <c r="E48" s="87">
        <v>1</v>
      </c>
      <c r="F48" s="87">
        <v>3</v>
      </c>
      <c r="G48" s="75">
        <v>10</v>
      </c>
      <c r="H48" s="76">
        <v>14</v>
      </c>
    </row>
    <row r="49" spans="1:8" s="50" customFormat="1" ht="13" x14ac:dyDescent="0.35">
      <c r="A49" s="40">
        <v>95</v>
      </c>
      <c r="B49" s="50" t="s">
        <v>50</v>
      </c>
      <c r="C49" s="75">
        <v>0</v>
      </c>
      <c r="D49" s="75">
        <v>0</v>
      </c>
      <c r="E49" s="87">
        <v>0</v>
      </c>
      <c r="F49" s="87">
        <v>0</v>
      </c>
      <c r="G49" s="75">
        <v>0</v>
      </c>
      <c r="H49" s="76">
        <v>0</v>
      </c>
    </row>
    <row r="50" spans="1:8" s="50" customFormat="1" ht="13" x14ac:dyDescent="0.35">
      <c r="A50" s="40">
        <v>97</v>
      </c>
      <c r="B50" s="50" t="s">
        <v>52</v>
      </c>
      <c r="C50" s="75">
        <v>0</v>
      </c>
      <c r="D50" s="75">
        <v>0</v>
      </c>
      <c r="E50" s="75">
        <v>11.25</v>
      </c>
      <c r="F50" s="75">
        <v>20.170000000000002</v>
      </c>
      <c r="G50" s="75">
        <v>90.49</v>
      </c>
      <c r="H50" s="76">
        <v>121.91</v>
      </c>
    </row>
    <row r="51" spans="1:8" s="50" customFormat="1" ht="13" x14ac:dyDescent="0.35">
      <c r="A51" s="50">
        <v>77</v>
      </c>
      <c r="B51" s="44" t="s">
        <v>23</v>
      </c>
      <c r="C51" s="78">
        <v>0</v>
      </c>
      <c r="D51" s="78">
        <v>0</v>
      </c>
      <c r="E51" s="78">
        <v>0</v>
      </c>
      <c r="F51" s="78">
        <v>0</v>
      </c>
      <c r="G51" s="78">
        <v>0</v>
      </c>
      <c r="H51" s="79">
        <v>0</v>
      </c>
    </row>
    <row r="52" spans="1:8" s="81" customFormat="1" x14ac:dyDescent="0.35">
      <c r="A52" s="40"/>
      <c r="B52" s="69"/>
      <c r="C52" s="60"/>
      <c r="D52" s="60"/>
      <c r="E52" s="80"/>
      <c r="F52" s="80"/>
      <c r="G52" s="80"/>
      <c r="H52" s="80"/>
    </row>
    <row r="53" spans="1:8" s="50" customFormat="1" ht="12.5" x14ac:dyDescent="0.35">
      <c r="A53" s="40"/>
      <c r="F53" s="45"/>
    </row>
    <row r="54" spans="1:8" s="50" customFormat="1" ht="12.5" x14ac:dyDescent="0.35">
      <c r="A54" s="40"/>
      <c r="B54" s="63" t="s">
        <v>71</v>
      </c>
      <c r="C54" s="45"/>
    </row>
    <row r="55" spans="1:8" x14ac:dyDescent="0.35">
      <c r="G55" s="82"/>
      <c r="H55" s="82"/>
    </row>
    <row r="56" spans="1:8" x14ac:dyDescent="0.35">
      <c r="F56" s="82"/>
    </row>
    <row r="61" spans="1:8" x14ac:dyDescent="0.35">
      <c r="B61" s="50" t="s">
        <v>18</v>
      </c>
      <c r="C61" s="75">
        <v>0</v>
      </c>
      <c r="D61" s="75">
        <v>0</v>
      </c>
      <c r="E61" s="75">
        <v>32.75</v>
      </c>
      <c r="F61" s="75">
        <v>59.5</v>
      </c>
      <c r="G61" s="75">
        <v>218.17500000000001</v>
      </c>
      <c r="H61" s="76">
        <v>310.42500000000001</v>
      </c>
    </row>
    <row r="62" spans="1:8" x14ac:dyDescent="0.35">
      <c r="B62" s="50" t="s">
        <v>53</v>
      </c>
      <c r="C62" s="75">
        <v>0</v>
      </c>
      <c r="D62" s="75">
        <v>0</v>
      </c>
      <c r="E62" s="75">
        <v>31</v>
      </c>
      <c r="F62" s="75">
        <v>56.75</v>
      </c>
      <c r="G62" s="75">
        <v>215</v>
      </c>
      <c r="H62" s="76">
        <v>302.75</v>
      </c>
    </row>
  </sheetData>
  <mergeCells count="1">
    <mergeCell ref="B1:H1"/>
  </mergeCells>
  <pageMargins left="0.37" right="0.24" top="0.55000000000000004" bottom="1" header="0.5" footer="0.5"/>
  <pageSetup paperSize="9" scale="9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tabColor theme="4"/>
    <pageSetUpPr fitToPage="1"/>
  </sheetPr>
  <dimension ref="A1:R56"/>
  <sheetViews>
    <sheetView showGridLines="0" zoomScale="85" zoomScaleNormal="85" workbookViewId="0">
      <pane xSplit="2" ySplit="2" topLeftCell="C3" activePane="bottomRight" state="frozen"/>
      <selection activeCell="A4" sqref="A4:H4"/>
      <selection pane="topRight" activeCell="A4" sqref="A4:H4"/>
      <selection pane="bottomLeft" activeCell="A4" sqref="A4:H4"/>
      <selection pane="bottomRight" activeCell="A4" sqref="A4:H4"/>
    </sheetView>
  </sheetViews>
  <sheetFormatPr defaultColWidth="9.1796875" defaultRowHeight="15.5" x14ac:dyDescent="0.35"/>
  <cols>
    <col min="1" max="1" width="3.453125" style="27" hidden="1" customWidth="1"/>
    <col min="2" max="2" width="22.7265625" style="51" customWidth="1"/>
    <col min="3" max="6" width="13" style="51" customWidth="1"/>
    <col min="7" max="8" width="13.54296875" style="51" customWidth="1"/>
    <col min="9" max="16384" width="9.1796875" style="51"/>
  </cols>
  <sheetData>
    <row r="1" spans="1:18" ht="39.75" customHeight="1" x14ac:dyDescent="0.35">
      <c r="B1" s="152" t="s">
        <v>79</v>
      </c>
      <c r="C1" s="153"/>
      <c r="D1" s="153"/>
      <c r="E1" s="153"/>
      <c r="F1" s="153"/>
      <c r="G1" s="153"/>
      <c r="H1" s="154"/>
    </row>
    <row r="2" spans="1:18" ht="50.15" customHeight="1" x14ac:dyDescent="0.35">
      <c r="B2" s="52"/>
      <c r="C2" s="21" t="s">
        <v>74</v>
      </c>
      <c r="D2" s="21" t="s">
        <v>75</v>
      </c>
      <c r="E2" s="21" t="s">
        <v>76</v>
      </c>
      <c r="F2" s="21" t="s">
        <v>77</v>
      </c>
      <c r="G2" s="21" t="s">
        <v>116</v>
      </c>
      <c r="H2" s="22" t="s">
        <v>1</v>
      </c>
    </row>
    <row r="3" spans="1:18" s="20" customFormat="1" ht="26.25" customHeight="1" x14ac:dyDescent="0.35">
      <c r="A3" s="25"/>
      <c r="B3" s="23" t="s">
        <v>80</v>
      </c>
      <c r="C3" s="53">
        <f t="shared" ref="C3:H3" si="0">C4+C44</f>
        <v>7.5</v>
      </c>
      <c r="D3" s="53">
        <f t="shared" si="0"/>
        <v>27.1</v>
      </c>
      <c r="E3" s="53">
        <f t="shared" si="0"/>
        <v>837.98047585714289</v>
      </c>
      <c r="F3" s="53">
        <f t="shared" si="0"/>
        <v>1858.4250000033333</v>
      </c>
      <c r="G3" s="53">
        <f t="shared" si="0"/>
        <v>7163.3694047619038</v>
      </c>
      <c r="H3" s="53">
        <f t="shared" si="0"/>
        <v>9894.3748806223812</v>
      </c>
      <c r="I3" s="24"/>
      <c r="J3" s="24"/>
      <c r="K3" s="24"/>
      <c r="L3" s="24"/>
      <c r="M3" s="24"/>
      <c r="N3" s="24"/>
      <c r="O3" s="24"/>
      <c r="P3" s="24"/>
      <c r="Q3" s="24"/>
      <c r="R3" s="24"/>
    </row>
    <row r="4" spans="1:18" s="23" customFormat="1" ht="26.25" customHeight="1" x14ac:dyDescent="0.35">
      <c r="A4" s="25"/>
      <c r="B4" s="23" t="s">
        <v>55</v>
      </c>
      <c r="C4" s="54">
        <f t="shared" ref="C4:H4" si="1">SUM(C5:C43)</f>
        <v>7.5</v>
      </c>
      <c r="D4" s="54">
        <f t="shared" si="1"/>
        <v>27.1</v>
      </c>
      <c r="E4" s="54">
        <f t="shared" si="1"/>
        <v>801.04833300000007</v>
      </c>
      <c r="F4" s="54">
        <f t="shared" si="1"/>
        <v>1825.3750000033333</v>
      </c>
      <c r="G4" s="54">
        <f t="shared" si="1"/>
        <v>6987.2783333333327</v>
      </c>
      <c r="H4" s="54">
        <f t="shared" si="1"/>
        <v>9648.301666336667</v>
      </c>
      <c r="J4" s="24"/>
      <c r="K4" s="24"/>
      <c r="L4" s="24"/>
      <c r="M4" s="24"/>
      <c r="N4" s="24"/>
      <c r="O4" s="24"/>
      <c r="P4" s="24"/>
      <c r="Q4" s="24"/>
    </row>
    <row r="5" spans="1:18" s="28" customFormat="1" ht="14" x14ac:dyDescent="0.35">
      <c r="A5" s="27">
        <v>51</v>
      </c>
      <c r="B5" s="28" t="s">
        <v>7</v>
      </c>
      <c r="C5" s="55">
        <v>0</v>
      </c>
      <c r="D5" s="55">
        <v>0</v>
      </c>
      <c r="E5" s="55">
        <v>7.45</v>
      </c>
      <c r="F5" s="55">
        <v>25.8</v>
      </c>
      <c r="G5" s="55">
        <v>112.65</v>
      </c>
      <c r="H5" s="55">
        <v>145.9</v>
      </c>
      <c r="J5" s="24"/>
      <c r="K5" s="24"/>
      <c r="L5" s="24"/>
      <c r="M5" s="24"/>
      <c r="N5" s="24"/>
      <c r="O5" s="24"/>
      <c r="P5" s="24"/>
      <c r="Q5" s="24"/>
    </row>
    <row r="6" spans="1:18" s="28" customFormat="1" ht="14" x14ac:dyDescent="0.35">
      <c r="A6" s="27">
        <v>52</v>
      </c>
      <c r="B6" s="28" t="s">
        <v>8</v>
      </c>
      <c r="C6" s="55">
        <v>0</v>
      </c>
      <c r="D6" s="55">
        <v>0</v>
      </c>
      <c r="E6" s="55">
        <v>10</v>
      </c>
      <c r="F6" s="55">
        <v>17</v>
      </c>
      <c r="G6" s="55">
        <v>90</v>
      </c>
      <c r="H6" s="55">
        <v>117</v>
      </c>
      <c r="J6" s="24"/>
      <c r="K6" s="24"/>
      <c r="L6" s="24"/>
      <c r="M6" s="24"/>
      <c r="N6" s="24"/>
      <c r="O6" s="24"/>
      <c r="P6" s="24"/>
      <c r="Q6" s="24"/>
    </row>
    <row r="7" spans="1:18" s="28" customFormat="1" ht="14" x14ac:dyDescent="0.35">
      <c r="A7" s="27">
        <v>86</v>
      </c>
      <c r="B7" s="28" t="s">
        <v>9</v>
      </c>
      <c r="C7" s="55">
        <v>0</v>
      </c>
      <c r="D7" s="55">
        <v>0</v>
      </c>
      <c r="E7" s="55">
        <v>5</v>
      </c>
      <c r="F7" s="55">
        <v>13</v>
      </c>
      <c r="G7" s="55">
        <v>26</v>
      </c>
      <c r="H7" s="55">
        <v>44</v>
      </c>
      <c r="J7" s="24"/>
      <c r="K7" s="24"/>
      <c r="L7" s="24"/>
      <c r="M7" s="24"/>
      <c r="N7" s="24"/>
      <c r="O7" s="24"/>
      <c r="P7" s="24"/>
      <c r="Q7" s="24"/>
    </row>
    <row r="8" spans="1:18" s="28" customFormat="1" ht="14" x14ac:dyDescent="0.35">
      <c r="A8" s="27">
        <v>53</v>
      </c>
      <c r="B8" s="28" t="s">
        <v>10</v>
      </c>
      <c r="C8" s="55">
        <v>0</v>
      </c>
      <c r="D8" s="55">
        <v>0</v>
      </c>
      <c r="E8" s="55">
        <v>7.75</v>
      </c>
      <c r="F8" s="55">
        <v>25.75</v>
      </c>
      <c r="G8" s="55">
        <v>82.01</v>
      </c>
      <c r="H8" s="55">
        <v>115.51</v>
      </c>
      <c r="J8" s="24"/>
      <c r="K8" s="24"/>
      <c r="L8" s="24"/>
      <c r="M8" s="24"/>
      <c r="N8" s="24"/>
      <c r="O8" s="24"/>
      <c r="P8" s="24"/>
      <c r="Q8" s="24"/>
    </row>
    <row r="9" spans="1:18" s="28" customFormat="1" ht="14" x14ac:dyDescent="0.35">
      <c r="A9" s="27">
        <v>54</v>
      </c>
      <c r="B9" s="28" t="s">
        <v>11</v>
      </c>
      <c r="C9" s="55">
        <v>0</v>
      </c>
      <c r="D9" s="55">
        <v>0</v>
      </c>
      <c r="E9" s="55">
        <v>16</v>
      </c>
      <c r="F9" s="55">
        <v>32</v>
      </c>
      <c r="G9" s="55">
        <v>98</v>
      </c>
      <c r="H9" s="55">
        <v>146</v>
      </c>
      <c r="J9" s="24"/>
      <c r="K9" s="24"/>
      <c r="L9" s="24"/>
      <c r="M9" s="24"/>
      <c r="N9" s="24"/>
      <c r="O9" s="24"/>
      <c r="P9" s="24"/>
      <c r="Q9" s="24"/>
    </row>
    <row r="10" spans="1:18" s="28" customFormat="1" ht="14" x14ac:dyDescent="0.35">
      <c r="A10" s="27">
        <v>55</v>
      </c>
      <c r="B10" s="28" t="s">
        <v>12</v>
      </c>
      <c r="C10" s="55">
        <v>0</v>
      </c>
      <c r="D10" s="55">
        <v>0</v>
      </c>
      <c r="E10" s="55">
        <v>10.06</v>
      </c>
      <c r="F10" s="55">
        <v>26.21</v>
      </c>
      <c r="G10" s="55">
        <v>131.08000000000001</v>
      </c>
      <c r="H10" s="55">
        <v>167.35000000000002</v>
      </c>
      <c r="J10" s="24"/>
      <c r="K10" s="24"/>
      <c r="L10" s="24"/>
      <c r="M10" s="24"/>
      <c r="N10" s="24"/>
      <c r="O10" s="24"/>
      <c r="P10" s="24"/>
      <c r="Q10" s="24"/>
    </row>
    <row r="11" spans="1:18" s="28" customFormat="1" ht="14" x14ac:dyDescent="0.35">
      <c r="A11" s="27">
        <v>56</v>
      </c>
      <c r="B11" s="28" t="s">
        <v>13</v>
      </c>
      <c r="C11" s="55">
        <v>0</v>
      </c>
      <c r="D11" s="55">
        <v>0</v>
      </c>
      <c r="E11" s="55">
        <v>2</v>
      </c>
      <c r="F11" s="55">
        <v>9</v>
      </c>
      <c r="G11" s="55">
        <v>66.75</v>
      </c>
      <c r="H11" s="55">
        <v>77.75</v>
      </c>
      <c r="J11" s="24"/>
      <c r="K11" s="24"/>
      <c r="L11" s="24"/>
      <c r="M11" s="24"/>
      <c r="N11" s="24"/>
      <c r="O11" s="24"/>
      <c r="P11" s="24"/>
      <c r="Q11" s="24"/>
    </row>
    <row r="12" spans="1:18" s="28" customFormat="1" ht="14" x14ac:dyDescent="0.35">
      <c r="A12" s="27">
        <v>57</v>
      </c>
      <c r="B12" s="28" t="s">
        <v>14</v>
      </c>
      <c r="C12" s="55">
        <v>0</v>
      </c>
      <c r="D12" s="55">
        <v>23</v>
      </c>
      <c r="E12" s="55">
        <v>31</v>
      </c>
      <c r="F12" s="55">
        <v>55</v>
      </c>
      <c r="G12" s="55">
        <v>287</v>
      </c>
      <c r="H12" s="55">
        <v>396</v>
      </c>
      <c r="J12" s="24"/>
      <c r="K12" s="24"/>
      <c r="L12" s="24"/>
      <c r="M12" s="24"/>
      <c r="N12" s="24"/>
      <c r="O12" s="24"/>
      <c r="P12" s="24"/>
      <c r="Q12" s="24"/>
    </row>
    <row r="13" spans="1:18" s="28" customFormat="1" ht="14" x14ac:dyDescent="0.35">
      <c r="A13" s="27">
        <v>59</v>
      </c>
      <c r="B13" s="28" t="s">
        <v>15</v>
      </c>
      <c r="C13" s="55">
        <v>0</v>
      </c>
      <c r="D13" s="55">
        <v>0</v>
      </c>
      <c r="E13" s="55">
        <v>10.83</v>
      </c>
      <c r="F13" s="55">
        <v>80.5</v>
      </c>
      <c r="G13" s="55">
        <v>225</v>
      </c>
      <c r="H13" s="55">
        <v>316.33</v>
      </c>
      <c r="J13" s="24"/>
      <c r="K13" s="24"/>
      <c r="L13" s="24"/>
      <c r="M13" s="24"/>
      <c r="N13" s="24"/>
      <c r="O13" s="24"/>
      <c r="P13" s="24"/>
      <c r="Q13" s="24"/>
    </row>
    <row r="14" spans="1:18" s="28" customFormat="1" ht="14" x14ac:dyDescent="0.35">
      <c r="A14" s="27">
        <v>60</v>
      </c>
      <c r="B14" s="28" t="s">
        <v>16</v>
      </c>
      <c r="C14" s="55">
        <v>0</v>
      </c>
      <c r="D14" s="55">
        <v>0</v>
      </c>
      <c r="E14" s="55">
        <v>21</v>
      </c>
      <c r="F14" s="55">
        <v>42</v>
      </c>
      <c r="G14" s="55">
        <v>156</v>
      </c>
      <c r="H14" s="55">
        <v>219</v>
      </c>
      <c r="J14" s="24"/>
      <c r="K14" s="24"/>
      <c r="L14" s="24"/>
      <c r="M14" s="24"/>
      <c r="N14" s="24"/>
      <c r="O14" s="24"/>
      <c r="P14" s="24"/>
      <c r="Q14" s="24"/>
    </row>
    <row r="15" spans="1:18" s="28" customFormat="1" ht="14" x14ac:dyDescent="0.35">
      <c r="A15" s="27">
        <v>61</v>
      </c>
      <c r="B15" s="29" t="s">
        <v>56</v>
      </c>
      <c r="C15" s="55">
        <v>0</v>
      </c>
      <c r="D15" s="55">
        <v>0</v>
      </c>
      <c r="E15" s="55">
        <v>82.75</v>
      </c>
      <c r="F15" s="55">
        <v>178.3</v>
      </c>
      <c r="G15" s="55">
        <v>711.96</v>
      </c>
      <c r="H15" s="55">
        <v>973.01</v>
      </c>
      <c r="J15" s="24"/>
      <c r="K15" s="24"/>
      <c r="L15" s="24"/>
      <c r="M15" s="24"/>
      <c r="N15" s="24"/>
      <c r="O15" s="24"/>
      <c r="P15" s="24"/>
      <c r="Q15" s="24"/>
    </row>
    <row r="16" spans="1:18" s="28" customFormat="1" ht="14" x14ac:dyDescent="0.35">
      <c r="A16" s="27">
        <v>62</v>
      </c>
      <c r="B16" s="28" t="s">
        <v>115</v>
      </c>
      <c r="C16" s="55">
        <v>0</v>
      </c>
      <c r="D16" s="55">
        <v>0</v>
      </c>
      <c r="E16" s="55">
        <v>56.96</v>
      </c>
      <c r="F16" s="55">
        <v>96.4</v>
      </c>
      <c r="G16" s="55">
        <v>336.12</v>
      </c>
      <c r="H16" s="55">
        <v>489.48</v>
      </c>
      <c r="J16" s="24"/>
      <c r="K16" s="24"/>
      <c r="L16" s="24"/>
      <c r="M16" s="24"/>
      <c r="N16" s="24"/>
      <c r="O16" s="24"/>
      <c r="P16" s="24"/>
      <c r="Q16" s="24"/>
    </row>
    <row r="17" spans="1:17" s="28" customFormat="1" ht="14" x14ac:dyDescent="0.35">
      <c r="A17" s="27">
        <v>58</v>
      </c>
      <c r="B17" s="28" t="s">
        <v>19</v>
      </c>
      <c r="C17" s="55">
        <v>0</v>
      </c>
      <c r="D17" s="55">
        <v>0</v>
      </c>
      <c r="E17" s="55">
        <v>12.808332999999999</v>
      </c>
      <c r="F17" s="55">
        <v>23.881666670000001</v>
      </c>
      <c r="G17" s="55">
        <v>104.265</v>
      </c>
      <c r="H17" s="55">
        <v>140.95499967000001</v>
      </c>
      <c r="J17" s="24"/>
      <c r="K17" s="24"/>
      <c r="L17" s="24"/>
      <c r="M17" s="24"/>
      <c r="N17" s="24"/>
      <c r="O17" s="24"/>
      <c r="P17" s="24"/>
      <c r="Q17" s="24"/>
    </row>
    <row r="18" spans="1:17" s="28" customFormat="1" ht="14" x14ac:dyDescent="0.35">
      <c r="A18" s="27">
        <v>63</v>
      </c>
      <c r="B18" s="28" t="s">
        <v>20</v>
      </c>
      <c r="C18" s="55">
        <v>0</v>
      </c>
      <c r="D18" s="55">
        <v>0</v>
      </c>
      <c r="E18" s="55">
        <v>17</v>
      </c>
      <c r="F18" s="55">
        <v>37</v>
      </c>
      <c r="G18" s="55">
        <v>155</v>
      </c>
      <c r="H18" s="55">
        <v>209</v>
      </c>
      <c r="J18" s="24"/>
      <c r="K18" s="24"/>
      <c r="L18" s="24"/>
      <c r="M18" s="24"/>
      <c r="N18" s="24"/>
      <c r="O18" s="24"/>
      <c r="P18" s="24"/>
      <c r="Q18" s="24"/>
    </row>
    <row r="19" spans="1:17" s="28" customFormat="1" ht="14" x14ac:dyDescent="0.35">
      <c r="A19" s="27">
        <v>64</v>
      </c>
      <c r="B19" s="28" t="s">
        <v>21</v>
      </c>
      <c r="C19" s="55">
        <v>7.5</v>
      </c>
      <c r="D19" s="55">
        <v>0</v>
      </c>
      <c r="E19" s="55">
        <v>31.5</v>
      </c>
      <c r="F19" s="55">
        <v>66.75</v>
      </c>
      <c r="G19" s="55">
        <v>277.75</v>
      </c>
      <c r="H19" s="55">
        <v>383.5</v>
      </c>
      <c r="J19" s="24"/>
      <c r="K19" s="24"/>
      <c r="L19" s="24"/>
      <c r="M19" s="24"/>
      <c r="N19" s="24"/>
      <c r="O19" s="24"/>
      <c r="P19" s="24"/>
      <c r="Q19" s="24"/>
    </row>
    <row r="20" spans="1:17" s="28" customFormat="1" ht="14" x14ac:dyDescent="0.35">
      <c r="A20" s="27">
        <v>65</v>
      </c>
      <c r="B20" s="28" t="s">
        <v>22</v>
      </c>
      <c r="C20" s="55">
        <v>0</v>
      </c>
      <c r="D20" s="55">
        <v>0.85</v>
      </c>
      <c r="E20" s="55">
        <v>9.6</v>
      </c>
      <c r="F20" s="55">
        <v>23.35</v>
      </c>
      <c r="G20" s="55">
        <v>142.55000000000001</v>
      </c>
      <c r="H20" s="55">
        <v>176.35000000000002</v>
      </c>
      <c r="J20" s="24"/>
      <c r="K20" s="24"/>
      <c r="L20" s="24"/>
      <c r="M20" s="24"/>
      <c r="N20" s="24"/>
      <c r="O20" s="24"/>
      <c r="P20" s="24"/>
      <c r="Q20" s="24"/>
    </row>
    <row r="21" spans="1:17" s="28" customFormat="1" ht="14" x14ac:dyDescent="0.35">
      <c r="A21" s="27">
        <v>67</v>
      </c>
      <c r="B21" s="28" t="s">
        <v>25</v>
      </c>
      <c r="C21" s="55">
        <v>0</v>
      </c>
      <c r="D21" s="55">
        <v>2.25</v>
      </c>
      <c r="E21" s="55">
        <v>41.83</v>
      </c>
      <c r="F21" s="55">
        <v>81.13</v>
      </c>
      <c r="G21" s="55">
        <v>374.33</v>
      </c>
      <c r="H21" s="55">
        <v>499.53999999999996</v>
      </c>
      <c r="J21" s="24"/>
      <c r="K21" s="24"/>
      <c r="L21" s="24"/>
      <c r="M21" s="24"/>
      <c r="N21" s="24"/>
      <c r="O21" s="24"/>
      <c r="P21" s="24"/>
      <c r="Q21" s="24"/>
    </row>
    <row r="22" spans="1:17" s="28" customFormat="1" ht="14" x14ac:dyDescent="0.35">
      <c r="A22" s="27">
        <v>68</v>
      </c>
      <c r="B22" s="28" t="s">
        <v>57</v>
      </c>
      <c r="C22" s="55">
        <v>0</v>
      </c>
      <c r="D22" s="55">
        <v>0</v>
      </c>
      <c r="E22" s="55">
        <v>17.059999999999999</v>
      </c>
      <c r="F22" s="55">
        <v>48.83</v>
      </c>
      <c r="G22" s="55">
        <v>172.15</v>
      </c>
      <c r="H22" s="55">
        <v>238.04000000000002</v>
      </c>
      <c r="J22" s="24"/>
      <c r="K22" s="24"/>
      <c r="L22" s="24"/>
      <c r="M22" s="24"/>
      <c r="N22" s="24"/>
      <c r="O22" s="24"/>
      <c r="P22" s="24"/>
      <c r="Q22" s="24"/>
    </row>
    <row r="23" spans="1:17" s="28" customFormat="1" ht="14" x14ac:dyDescent="0.35">
      <c r="A23" s="27">
        <v>69</v>
      </c>
      <c r="B23" s="28" t="s">
        <v>27</v>
      </c>
      <c r="C23" s="55">
        <v>0</v>
      </c>
      <c r="D23" s="55">
        <v>0</v>
      </c>
      <c r="E23" s="55">
        <v>24</v>
      </c>
      <c r="F23" s="55">
        <v>31</v>
      </c>
      <c r="G23" s="55">
        <v>121.5</v>
      </c>
      <c r="H23" s="55">
        <v>176.5</v>
      </c>
      <c r="J23" s="24"/>
      <c r="K23" s="24"/>
      <c r="L23" s="24"/>
      <c r="M23" s="24"/>
      <c r="N23" s="24"/>
      <c r="O23" s="24"/>
      <c r="P23" s="24"/>
      <c r="Q23" s="24"/>
    </row>
    <row r="24" spans="1:17" s="28" customFormat="1" ht="14" x14ac:dyDescent="0.35">
      <c r="A24" s="27">
        <v>70</v>
      </c>
      <c r="B24" s="28" t="s">
        <v>28</v>
      </c>
      <c r="C24" s="55">
        <v>0</v>
      </c>
      <c r="D24" s="55">
        <v>0</v>
      </c>
      <c r="E24" s="55">
        <v>22</v>
      </c>
      <c r="F24" s="55">
        <v>51</v>
      </c>
      <c r="G24" s="55">
        <v>259</v>
      </c>
      <c r="H24" s="55">
        <v>332</v>
      </c>
      <c r="J24" s="24"/>
      <c r="K24" s="24"/>
      <c r="L24" s="24"/>
      <c r="M24" s="24"/>
      <c r="N24" s="24"/>
      <c r="O24" s="24"/>
      <c r="P24" s="24"/>
      <c r="Q24" s="24"/>
    </row>
    <row r="25" spans="1:17" s="28" customFormat="1" ht="14" x14ac:dyDescent="0.35">
      <c r="A25" s="27">
        <v>71</v>
      </c>
      <c r="B25" s="28" t="s">
        <v>58</v>
      </c>
      <c r="C25" s="55">
        <v>0</v>
      </c>
      <c r="D25" s="55">
        <v>0</v>
      </c>
      <c r="E25" s="55">
        <v>7</v>
      </c>
      <c r="F25" s="55">
        <v>11</v>
      </c>
      <c r="G25" s="55">
        <v>71</v>
      </c>
      <c r="H25" s="55">
        <v>89</v>
      </c>
      <c r="J25" s="24"/>
      <c r="K25" s="24"/>
      <c r="L25" s="24"/>
      <c r="M25" s="24"/>
      <c r="N25" s="24"/>
      <c r="O25" s="24"/>
      <c r="P25" s="24"/>
      <c r="Q25" s="24"/>
    </row>
    <row r="26" spans="1:17" s="28" customFormat="1" ht="14" x14ac:dyDescent="0.35">
      <c r="A26" s="27">
        <v>73</v>
      </c>
      <c r="B26" s="28" t="s">
        <v>31</v>
      </c>
      <c r="C26" s="55">
        <v>0</v>
      </c>
      <c r="D26" s="55">
        <v>0</v>
      </c>
      <c r="E26" s="55">
        <v>28</v>
      </c>
      <c r="F26" s="55">
        <v>76</v>
      </c>
      <c r="G26" s="55">
        <v>328</v>
      </c>
      <c r="H26" s="55">
        <v>432</v>
      </c>
      <c r="J26" s="24"/>
      <c r="K26" s="24"/>
      <c r="L26" s="24"/>
      <c r="M26" s="24"/>
      <c r="N26" s="24"/>
      <c r="O26" s="24"/>
      <c r="P26" s="24"/>
      <c r="Q26" s="24"/>
    </row>
    <row r="27" spans="1:17" s="28" customFormat="1" ht="14" x14ac:dyDescent="0.35">
      <c r="A27" s="27">
        <v>74</v>
      </c>
      <c r="B27" s="28" t="s">
        <v>32</v>
      </c>
      <c r="C27" s="55">
        <v>0</v>
      </c>
      <c r="D27" s="55">
        <v>0</v>
      </c>
      <c r="E27" s="55">
        <v>23</v>
      </c>
      <c r="F27" s="55">
        <v>67</v>
      </c>
      <c r="G27" s="55">
        <v>158</v>
      </c>
      <c r="H27" s="55">
        <v>248</v>
      </c>
      <c r="J27" s="24"/>
      <c r="K27" s="24"/>
      <c r="L27" s="24"/>
      <c r="M27" s="24"/>
      <c r="N27" s="24"/>
      <c r="O27" s="24"/>
      <c r="P27" s="24"/>
      <c r="Q27" s="24"/>
    </row>
    <row r="28" spans="1:17" s="28" customFormat="1" ht="14" x14ac:dyDescent="0.35">
      <c r="A28" s="27">
        <v>75</v>
      </c>
      <c r="B28" s="28" t="s">
        <v>33</v>
      </c>
      <c r="C28" s="55">
        <v>0</v>
      </c>
      <c r="D28" s="55">
        <v>0</v>
      </c>
      <c r="E28" s="55">
        <v>11.75</v>
      </c>
      <c r="F28" s="55">
        <v>23.5</v>
      </c>
      <c r="G28" s="55">
        <v>104.45</v>
      </c>
      <c r="H28" s="55">
        <v>139.69999999999999</v>
      </c>
      <c r="J28" s="24"/>
      <c r="K28" s="24"/>
      <c r="L28" s="24"/>
      <c r="M28" s="24"/>
      <c r="N28" s="24"/>
      <c r="O28" s="24"/>
      <c r="P28" s="24"/>
      <c r="Q28" s="24"/>
    </row>
    <row r="29" spans="1:17" s="28" customFormat="1" ht="14" x14ac:dyDescent="0.35">
      <c r="A29" s="27">
        <v>76</v>
      </c>
      <c r="B29" s="28" t="s">
        <v>34</v>
      </c>
      <c r="C29" s="55">
        <v>0</v>
      </c>
      <c r="D29" s="55">
        <v>0</v>
      </c>
      <c r="E29" s="55">
        <v>35.75</v>
      </c>
      <c r="F29" s="55">
        <v>67</v>
      </c>
      <c r="G29" s="55">
        <v>286.25</v>
      </c>
      <c r="H29" s="55">
        <v>389</v>
      </c>
      <c r="J29" s="24"/>
      <c r="K29" s="24"/>
      <c r="L29" s="24"/>
      <c r="M29" s="24"/>
      <c r="N29" s="24"/>
      <c r="O29" s="24"/>
      <c r="P29" s="24"/>
      <c r="Q29" s="24"/>
    </row>
    <row r="30" spans="1:17" s="28" customFormat="1" ht="14" x14ac:dyDescent="0.35">
      <c r="A30" s="27">
        <v>79</v>
      </c>
      <c r="B30" s="28" t="s">
        <v>36</v>
      </c>
      <c r="C30" s="55">
        <v>0</v>
      </c>
      <c r="D30" s="55">
        <v>0</v>
      </c>
      <c r="E30" s="55">
        <v>42</v>
      </c>
      <c r="F30" s="55">
        <v>89</v>
      </c>
      <c r="G30" s="55">
        <v>323</v>
      </c>
      <c r="H30" s="55">
        <v>454</v>
      </c>
      <c r="J30" s="24"/>
      <c r="K30" s="24"/>
      <c r="L30" s="24"/>
      <c r="M30" s="24"/>
      <c r="N30" s="24"/>
      <c r="O30" s="24"/>
      <c r="P30" s="24"/>
      <c r="Q30" s="24"/>
    </row>
    <row r="31" spans="1:17" s="28" customFormat="1" ht="14" x14ac:dyDescent="0.35">
      <c r="A31" s="27"/>
      <c r="B31" s="67" t="s">
        <v>81</v>
      </c>
      <c r="C31" s="55">
        <v>0</v>
      </c>
      <c r="D31" s="55">
        <v>0</v>
      </c>
      <c r="E31" s="55">
        <v>0</v>
      </c>
      <c r="F31" s="55">
        <v>0</v>
      </c>
      <c r="G31" s="55">
        <v>0</v>
      </c>
      <c r="H31" s="55">
        <v>0</v>
      </c>
      <c r="J31" s="24"/>
      <c r="K31" s="24"/>
      <c r="L31" s="24"/>
      <c r="M31" s="24"/>
      <c r="N31" s="24"/>
      <c r="O31" s="24"/>
      <c r="P31" s="24"/>
      <c r="Q31" s="24"/>
    </row>
    <row r="32" spans="1:17" s="28" customFormat="1" ht="14" x14ac:dyDescent="0.35">
      <c r="A32" s="27">
        <v>80</v>
      </c>
      <c r="B32" s="28" t="s">
        <v>38</v>
      </c>
      <c r="C32" s="55">
        <v>0</v>
      </c>
      <c r="D32" s="55">
        <v>0</v>
      </c>
      <c r="E32" s="55">
        <v>29</v>
      </c>
      <c r="F32" s="55">
        <v>66</v>
      </c>
      <c r="G32" s="55">
        <v>203</v>
      </c>
      <c r="H32" s="55">
        <v>298</v>
      </c>
      <c r="J32" s="24"/>
      <c r="K32" s="24"/>
      <c r="L32" s="24"/>
      <c r="M32" s="24"/>
      <c r="N32" s="24"/>
      <c r="O32" s="24"/>
      <c r="P32" s="24"/>
      <c r="Q32" s="24"/>
    </row>
    <row r="33" spans="1:17" s="28" customFormat="1" ht="14" x14ac:dyDescent="0.35">
      <c r="A33" s="27">
        <v>81</v>
      </c>
      <c r="B33" s="28" t="s">
        <v>39</v>
      </c>
      <c r="C33" s="55">
        <v>0</v>
      </c>
      <c r="D33" s="55">
        <v>0</v>
      </c>
      <c r="E33" s="55">
        <v>10.45</v>
      </c>
      <c r="F33" s="55">
        <v>25</v>
      </c>
      <c r="G33" s="55">
        <v>123.63</v>
      </c>
      <c r="H33" s="55">
        <v>159.07999999999998</v>
      </c>
      <c r="J33" s="24"/>
      <c r="K33" s="24"/>
      <c r="L33" s="24"/>
      <c r="M33" s="24"/>
      <c r="N33" s="24"/>
      <c r="O33" s="24"/>
      <c r="P33" s="24"/>
      <c r="Q33" s="24"/>
    </row>
    <row r="34" spans="1:17" s="28" customFormat="1" ht="14" x14ac:dyDescent="0.35">
      <c r="A34" s="27">
        <v>83</v>
      </c>
      <c r="B34" s="28" t="s">
        <v>40</v>
      </c>
      <c r="C34" s="55">
        <v>0</v>
      </c>
      <c r="D34" s="55">
        <v>0</v>
      </c>
      <c r="E34" s="55">
        <v>14</v>
      </c>
      <c r="F34" s="55">
        <v>37</v>
      </c>
      <c r="G34" s="55">
        <v>102</v>
      </c>
      <c r="H34" s="55">
        <v>153</v>
      </c>
      <c r="J34" s="24"/>
      <c r="K34" s="24"/>
      <c r="L34" s="24"/>
      <c r="M34" s="24"/>
      <c r="N34" s="24"/>
      <c r="O34" s="24"/>
      <c r="P34" s="24"/>
      <c r="Q34" s="24"/>
    </row>
    <row r="35" spans="1:17" s="28" customFormat="1" ht="14" x14ac:dyDescent="0.35">
      <c r="A35" s="27">
        <v>84</v>
      </c>
      <c r="B35" s="28" t="s">
        <v>41</v>
      </c>
      <c r="C35" s="55">
        <v>0</v>
      </c>
      <c r="D35" s="55">
        <v>0</v>
      </c>
      <c r="E35" s="55">
        <v>16</v>
      </c>
      <c r="F35" s="55">
        <v>45</v>
      </c>
      <c r="G35" s="55">
        <v>74</v>
      </c>
      <c r="H35" s="55">
        <v>135</v>
      </c>
      <c r="J35" s="24"/>
      <c r="K35" s="24"/>
      <c r="L35" s="24"/>
      <c r="M35" s="24"/>
      <c r="N35" s="24"/>
      <c r="O35" s="24"/>
      <c r="P35" s="24"/>
      <c r="Q35" s="24"/>
    </row>
    <row r="36" spans="1:17" s="28" customFormat="1" ht="14" x14ac:dyDescent="0.35">
      <c r="A36" s="27">
        <v>85</v>
      </c>
      <c r="B36" s="28" t="s">
        <v>42</v>
      </c>
      <c r="C36" s="55">
        <v>0</v>
      </c>
      <c r="D36" s="55">
        <v>0</v>
      </c>
      <c r="E36" s="55">
        <v>22</v>
      </c>
      <c r="F36" s="55">
        <v>43.14</v>
      </c>
      <c r="G36" s="55">
        <v>150</v>
      </c>
      <c r="H36" s="55">
        <v>215.14</v>
      </c>
      <c r="J36" s="24"/>
      <c r="K36" s="24"/>
      <c r="L36" s="24"/>
      <c r="M36" s="24"/>
      <c r="N36" s="24"/>
      <c r="O36" s="24"/>
      <c r="P36" s="24"/>
      <c r="Q36" s="24"/>
    </row>
    <row r="37" spans="1:17" s="28" customFormat="1" ht="14" x14ac:dyDescent="0.35">
      <c r="A37" s="27">
        <v>87</v>
      </c>
      <c r="B37" s="28" t="s">
        <v>43</v>
      </c>
      <c r="C37" s="55">
        <v>0</v>
      </c>
      <c r="D37" s="55">
        <v>0</v>
      </c>
      <c r="E37" s="55">
        <v>22</v>
      </c>
      <c r="F37" s="55">
        <v>57</v>
      </c>
      <c r="G37" s="55">
        <v>255</v>
      </c>
      <c r="H37" s="55">
        <v>334</v>
      </c>
      <c r="J37" s="24"/>
      <c r="K37" s="24"/>
      <c r="L37" s="24"/>
      <c r="M37" s="24"/>
      <c r="N37" s="24"/>
      <c r="O37" s="24"/>
      <c r="P37" s="24"/>
      <c r="Q37" s="24"/>
    </row>
    <row r="38" spans="1:17" s="28" customFormat="1" ht="14" x14ac:dyDescent="0.35">
      <c r="A38" s="27">
        <v>90</v>
      </c>
      <c r="B38" s="28" t="s">
        <v>45</v>
      </c>
      <c r="C38" s="55">
        <v>0</v>
      </c>
      <c r="D38" s="55">
        <v>0</v>
      </c>
      <c r="E38" s="55">
        <v>28</v>
      </c>
      <c r="F38" s="55">
        <v>70</v>
      </c>
      <c r="G38" s="55">
        <v>283</v>
      </c>
      <c r="H38" s="55">
        <v>381</v>
      </c>
      <c r="J38" s="24"/>
      <c r="K38" s="24"/>
      <c r="L38" s="24"/>
      <c r="M38" s="24"/>
      <c r="N38" s="24"/>
      <c r="O38" s="24"/>
      <c r="P38" s="24"/>
      <c r="Q38" s="24"/>
    </row>
    <row r="39" spans="1:17" s="28" customFormat="1" ht="14" x14ac:dyDescent="0.35">
      <c r="A39" s="27">
        <v>91</v>
      </c>
      <c r="B39" s="28" t="s">
        <v>46</v>
      </c>
      <c r="C39" s="55">
        <v>0</v>
      </c>
      <c r="D39" s="55">
        <v>0</v>
      </c>
      <c r="E39" s="55">
        <v>36</v>
      </c>
      <c r="F39" s="55">
        <v>94</v>
      </c>
      <c r="G39" s="55">
        <v>308</v>
      </c>
      <c r="H39" s="55">
        <v>438</v>
      </c>
      <c r="J39" s="24"/>
      <c r="K39" s="24"/>
      <c r="L39" s="24"/>
      <c r="M39" s="24"/>
      <c r="N39" s="24"/>
      <c r="O39" s="24"/>
      <c r="P39" s="24"/>
      <c r="Q39" s="24"/>
    </row>
    <row r="40" spans="1:17" s="28" customFormat="1" ht="14" x14ac:dyDescent="0.35">
      <c r="A40" s="27">
        <v>92</v>
      </c>
      <c r="B40" s="28" t="s">
        <v>47</v>
      </c>
      <c r="C40" s="55">
        <v>0</v>
      </c>
      <c r="D40" s="55">
        <v>0</v>
      </c>
      <c r="E40" s="55">
        <v>9</v>
      </c>
      <c r="F40" s="55">
        <v>18</v>
      </c>
      <c r="G40" s="55">
        <v>63</v>
      </c>
      <c r="H40" s="55">
        <v>90</v>
      </c>
      <c r="J40" s="24"/>
      <c r="K40" s="24"/>
      <c r="L40" s="24"/>
      <c r="M40" s="24"/>
      <c r="N40" s="24"/>
      <c r="O40" s="24"/>
      <c r="P40" s="24"/>
      <c r="Q40" s="24"/>
    </row>
    <row r="41" spans="1:17" s="28" customFormat="1" ht="14" x14ac:dyDescent="0.35">
      <c r="A41" s="27">
        <v>94</v>
      </c>
      <c r="B41" s="28" t="s">
        <v>49</v>
      </c>
      <c r="C41" s="55">
        <v>0</v>
      </c>
      <c r="D41" s="55">
        <v>0</v>
      </c>
      <c r="E41" s="55">
        <v>10</v>
      </c>
      <c r="F41" s="55">
        <v>15.583333333333336</v>
      </c>
      <c r="G41" s="55">
        <v>55.333333333333321</v>
      </c>
      <c r="H41" s="55">
        <v>80.916666666666657</v>
      </c>
      <c r="J41" s="24"/>
      <c r="K41" s="24"/>
      <c r="L41" s="24"/>
      <c r="M41" s="24"/>
      <c r="N41" s="24"/>
      <c r="O41" s="24"/>
      <c r="P41" s="24"/>
      <c r="Q41" s="24"/>
    </row>
    <row r="42" spans="1:17" s="28" customFormat="1" ht="14" x14ac:dyDescent="0.35">
      <c r="A42" s="27">
        <v>96</v>
      </c>
      <c r="B42" s="28" t="s">
        <v>51</v>
      </c>
      <c r="C42" s="55">
        <v>0</v>
      </c>
      <c r="D42" s="55">
        <v>0</v>
      </c>
      <c r="E42" s="55">
        <v>14.5</v>
      </c>
      <c r="F42" s="55">
        <v>51.25</v>
      </c>
      <c r="G42" s="55">
        <v>145.5</v>
      </c>
      <c r="H42" s="55">
        <v>211.25</v>
      </c>
      <c r="J42" s="24"/>
      <c r="K42" s="24"/>
      <c r="L42" s="24"/>
      <c r="M42" s="24"/>
      <c r="N42" s="24"/>
      <c r="O42" s="24"/>
      <c r="P42" s="24"/>
      <c r="Q42" s="24"/>
    </row>
    <row r="43" spans="1:17" s="28" customFormat="1" ht="14" x14ac:dyDescent="0.35">
      <c r="A43" s="27">
        <v>72</v>
      </c>
      <c r="B43" s="28" t="s">
        <v>30</v>
      </c>
      <c r="C43" s="55">
        <v>0</v>
      </c>
      <c r="D43" s="55">
        <v>1</v>
      </c>
      <c r="E43" s="55">
        <v>6</v>
      </c>
      <c r="F43" s="55">
        <v>6</v>
      </c>
      <c r="G43" s="55">
        <v>25</v>
      </c>
      <c r="H43" s="55">
        <v>38</v>
      </c>
      <c r="J43" s="24"/>
      <c r="K43" s="24"/>
      <c r="L43" s="24"/>
      <c r="M43" s="24"/>
      <c r="N43" s="24"/>
      <c r="O43" s="24"/>
      <c r="P43" s="24"/>
      <c r="Q43" s="24"/>
    </row>
    <row r="44" spans="1:17" s="23" customFormat="1" ht="26.25" customHeight="1" x14ac:dyDescent="0.35">
      <c r="A44" s="25"/>
      <c r="B44" s="23" t="s">
        <v>59</v>
      </c>
      <c r="C44" s="56">
        <f>SUM(C45:C51)</f>
        <v>0</v>
      </c>
      <c r="D44" s="56">
        <f t="shared" ref="D44:H44" si="2">SUM(D45:D51)</f>
        <v>0</v>
      </c>
      <c r="E44" s="56">
        <f t="shared" si="2"/>
        <v>36.932142857142857</v>
      </c>
      <c r="F44" s="56">
        <f t="shared" si="2"/>
        <v>33.049999999999997</v>
      </c>
      <c r="G44" s="56">
        <f t="shared" si="2"/>
        <v>176.09107142857144</v>
      </c>
      <c r="H44" s="56">
        <f t="shared" si="2"/>
        <v>246.0732142857143</v>
      </c>
      <c r="J44" s="24"/>
      <c r="K44" s="24"/>
      <c r="L44" s="24"/>
      <c r="M44" s="24"/>
      <c r="N44" s="24"/>
      <c r="O44" s="24"/>
      <c r="P44" s="24"/>
      <c r="Q44" s="24"/>
    </row>
    <row r="45" spans="1:17" s="28" customFormat="1" ht="14" x14ac:dyDescent="0.35">
      <c r="A45" s="27">
        <v>66</v>
      </c>
      <c r="B45" s="28" t="s">
        <v>24</v>
      </c>
      <c r="C45" s="55">
        <v>0</v>
      </c>
      <c r="D45" s="55">
        <v>0</v>
      </c>
      <c r="E45" s="55">
        <v>1.8571428571428572</v>
      </c>
      <c r="F45" s="55">
        <v>0</v>
      </c>
      <c r="G45" s="55">
        <v>7.8660714285714279</v>
      </c>
      <c r="H45" s="55">
        <v>9.7232142857142847</v>
      </c>
      <c r="J45" s="24"/>
      <c r="K45" s="24"/>
      <c r="L45" s="24"/>
      <c r="M45" s="24"/>
      <c r="N45" s="24"/>
      <c r="O45" s="24"/>
      <c r="P45" s="24"/>
      <c r="Q45" s="24"/>
    </row>
    <row r="46" spans="1:17" s="28" customFormat="1" ht="14" x14ac:dyDescent="0.35">
      <c r="A46" s="27">
        <v>78</v>
      </c>
      <c r="B46" s="28" t="s">
        <v>35</v>
      </c>
      <c r="C46" s="55">
        <v>0</v>
      </c>
      <c r="D46" s="55">
        <v>0</v>
      </c>
      <c r="E46" s="55">
        <v>13.074999999999999</v>
      </c>
      <c r="F46" s="55">
        <v>1.05</v>
      </c>
      <c r="G46" s="55">
        <v>43.225000000000001</v>
      </c>
      <c r="H46" s="55">
        <v>57.35</v>
      </c>
      <c r="J46" s="24"/>
      <c r="K46" s="24"/>
      <c r="L46" s="24"/>
      <c r="M46" s="24"/>
      <c r="N46" s="24"/>
      <c r="O46" s="24"/>
      <c r="P46" s="24"/>
      <c r="Q46" s="24"/>
    </row>
    <row r="47" spans="1:17" s="28" customFormat="1" ht="14" x14ac:dyDescent="0.35">
      <c r="A47" s="27">
        <v>89</v>
      </c>
      <c r="B47" s="28" t="s">
        <v>44</v>
      </c>
      <c r="C47" s="55">
        <v>0</v>
      </c>
      <c r="D47" s="55">
        <v>0</v>
      </c>
      <c r="E47" s="55">
        <v>8</v>
      </c>
      <c r="F47" s="55">
        <v>19</v>
      </c>
      <c r="G47" s="55">
        <v>56</v>
      </c>
      <c r="H47" s="55">
        <v>83</v>
      </c>
      <c r="J47" s="24"/>
      <c r="K47" s="24"/>
      <c r="L47" s="24"/>
      <c r="M47" s="24"/>
      <c r="N47" s="24"/>
      <c r="O47" s="24"/>
      <c r="P47" s="24"/>
      <c r="Q47" s="24"/>
    </row>
    <row r="48" spans="1:17" s="28" customFormat="1" ht="14" x14ac:dyDescent="0.35">
      <c r="A48" s="27">
        <v>93</v>
      </c>
      <c r="B48" s="28" t="s">
        <v>60</v>
      </c>
      <c r="C48" s="55">
        <v>0</v>
      </c>
      <c r="D48" s="55">
        <v>0</v>
      </c>
      <c r="E48" s="55">
        <v>1</v>
      </c>
      <c r="F48" s="55">
        <v>2</v>
      </c>
      <c r="G48" s="55">
        <v>7</v>
      </c>
      <c r="H48" s="55">
        <v>10</v>
      </c>
      <c r="J48" s="24"/>
      <c r="K48" s="24"/>
      <c r="L48" s="24"/>
      <c r="M48" s="24"/>
      <c r="N48" s="24"/>
      <c r="O48" s="24"/>
      <c r="P48" s="24"/>
      <c r="Q48" s="24"/>
    </row>
    <row r="49" spans="1:17" s="28" customFormat="1" ht="14" x14ac:dyDescent="0.35">
      <c r="A49" s="27">
        <v>95</v>
      </c>
      <c r="B49" s="28" t="s">
        <v>50</v>
      </c>
      <c r="C49" s="55">
        <v>0</v>
      </c>
      <c r="D49" s="55">
        <v>0</v>
      </c>
      <c r="E49" s="55">
        <v>6</v>
      </c>
      <c r="F49" s="55">
        <v>0</v>
      </c>
      <c r="G49" s="55">
        <v>0</v>
      </c>
      <c r="H49" s="55">
        <v>6</v>
      </c>
      <c r="J49" s="24"/>
      <c r="K49" s="24"/>
      <c r="L49" s="24"/>
      <c r="M49" s="24"/>
      <c r="N49" s="24"/>
      <c r="O49" s="24"/>
      <c r="P49" s="24"/>
      <c r="Q49" s="24"/>
    </row>
    <row r="50" spans="1:17" s="28" customFormat="1" ht="14" x14ac:dyDescent="0.35">
      <c r="A50" s="27">
        <v>97</v>
      </c>
      <c r="B50" s="28" t="s">
        <v>52</v>
      </c>
      <c r="C50" s="55">
        <v>0</v>
      </c>
      <c r="D50" s="55">
        <v>0</v>
      </c>
      <c r="E50" s="55">
        <v>7</v>
      </c>
      <c r="F50" s="55">
        <v>11</v>
      </c>
      <c r="G50" s="55">
        <v>62</v>
      </c>
      <c r="H50" s="55">
        <v>80</v>
      </c>
      <c r="J50" s="24"/>
      <c r="K50" s="24"/>
      <c r="L50" s="24"/>
      <c r="M50" s="24"/>
      <c r="N50" s="24"/>
      <c r="O50" s="24"/>
      <c r="P50" s="24"/>
      <c r="Q50" s="24"/>
    </row>
    <row r="51" spans="1:17" s="28" customFormat="1" ht="14" x14ac:dyDescent="0.35">
      <c r="A51" s="28">
        <v>77</v>
      </c>
      <c r="B51" s="42" t="s">
        <v>23</v>
      </c>
      <c r="C51" s="55">
        <v>0</v>
      </c>
      <c r="D51" s="55">
        <v>0</v>
      </c>
      <c r="E51" s="55">
        <v>0</v>
      </c>
      <c r="F51" s="55">
        <v>0</v>
      </c>
      <c r="G51" s="55">
        <v>0</v>
      </c>
      <c r="H51" s="55">
        <v>0</v>
      </c>
      <c r="J51" s="24"/>
      <c r="K51" s="24"/>
      <c r="L51" s="24"/>
      <c r="M51" s="24"/>
      <c r="N51" s="24"/>
      <c r="O51" s="24"/>
      <c r="P51" s="24"/>
      <c r="Q51" s="24"/>
    </row>
    <row r="52" spans="1:17" s="62" customFormat="1" x14ac:dyDescent="0.35">
      <c r="A52" s="27"/>
      <c r="B52" s="51"/>
      <c r="C52" s="60"/>
      <c r="D52" s="60"/>
      <c r="E52" s="61"/>
      <c r="F52" s="61"/>
      <c r="G52" s="61"/>
      <c r="H52" s="61"/>
    </row>
    <row r="53" spans="1:17" s="28" customFormat="1" ht="12.5" x14ac:dyDescent="0.35">
      <c r="A53" s="27"/>
      <c r="F53" s="43"/>
    </row>
    <row r="54" spans="1:17" s="28" customFormat="1" ht="12.5" x14ac:dyDescent="0.35">
      <c r="A54" s="27"/>
      <c r="B54" s="63" t="s">
        <v>71</v>
      </c>
      <c r="C54" s="43"/>
    </row>
    <row r="55" spans="1:17" x14ac:dyDescent="0.35">
      <c r="G55" s="59"/>
      <c r="H55" s="59"/>
    </row>
    <row r="56" spans="1:17" x14ac:dyDescent="0.35">
      <c r="F56" s="59"/>
    </row>
  </sheetData>
  <mergeCells count="1">
    <mergeCell ref="B1:H1"/>
  </mergeCells>
  <printOptions horizontalCentered="1" verticalCentered="1"/>
  <pageMargins left="0.43" right="0.46" top="0.33" bottom="0.25" header="0.31" footer="0.51181102362204722"/>
  <pageSetup paperSize="9" scale="7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tabColor theme="4"/>
    <pageSetUpPr fitToPage="1"/>
  </sheetPr>
  <dimension ref="A1:R56"/>
  <sheetViews>
    <sheetView showGridLines="0" zoomScale="85" zoomScaleNormal="85" workbookViewId="0">
      <pane xSplit="2" ySplit="2" topLeftCell="C18" activePane="bottomRight" state="frozen"/>
      <selection activeCell="A4" sqref="A4:H4"/>
      <selection pane="topRight" activeCell="A4" sqref="A4:H4"/>
      <selection pane="bottomLeft" activeCell="A4" sqref="A4:H4"/>
      <selection pane="bottomRight" activeCell="A4" sqref="A4:H4"/>
    </sheetView>
  </sheetViews>
  <sheetFormatPr defaultColWidth="9.1796875" defaultRowHeight="15.5" x14ac:dyDescent="0.35"/>
  <cols>
    <col min="1" max="1" width="3.453125" style="27" hidden="1" customWidth="1"/>
    <col min="2" max="2" width="22.7265625" style="51" customWidth="1"/>
    <col min="3" max="6" width="13" style="51" customWidth="1"/>
    <col min="7" max="8" width="13.54296875" style="51" customWidth="1"/>
    <col min="9" max="16384" width="9.1796875" style="51"/>
  </cols>
  <sheetData>
    <row r="1" spans="1:18" ht="39.75" customHeight="1" x14ac:dyDescent="0.35">
      <c r="B1" s="152" t="s">
        <v>79</v>
      </c>
      <c r="C1" s="153"/>
      <c r="D1" s="153"/>
      <c r="E1" s="153"/>
      <c r="F1" s="153"/>
      <c r="G1" s="153"/>
      <c r="H1" s="154"/>
    </row>
    <row r="2" spans="1:18" ht="30" customHeight="1" x14ac:dyDescent="0.35">
      <c r="B2" s="52"/>
      <c r="C2" s="21" t="s">
        <v>74</v>
      </c>
      <c r="D2" s="21" t="s">
        <v>75</v>
      </c>
      <c r="E2" s="21" t="s">
        <v>76</v>
      </c>
      <c r="F2" s="21" t="s">
        <v>77</v>
      </c>
      <c r="G2" s="21" t="s">
        <v>78</v>
      </c>
      <c r="H2" s="22" t="s">
        <v>1</v>
      </c>
    </row>
    <row r="3" spans="1:18" s="20" customFormat="1" ht="26.25" customHeight="1" x14ac:dyDescent="0.35">
      <c r="A3" s="25"/>
      <c r="B3" s="23" t="s">
        <v>80</v>
      </c>
      <c r="C3" s="53">
        <f t="shared" ref="C3:H3" si="0">C4+C44</f>
        <v>13</v>
      </c>
      <c r="D3" s="53">
        <f t="shared" si="0"/>
        <v>52.64</v>
      </c>
      <c r="E3" s="53">
        <f t="shared" si="0"/>
        <v>205.61</v>
      </c>
      <c r="F3" s="53">
        <f t="shared" si="0"/>
        <v>232.0188</v>
      </c>
      <c r="G3" s="53">
        <f t="shared" si="0"/>
        <v>540.17000000000007</v>
      </c>
      <c r="H3" s="53">
        <f t="shared" si="0"/>
        <v>1043.4387999999999</v>
      </c>
      <c r="I3" s="24"/>
      <c r="J3" s="24"/>
      <c r="K3" s="24"/>
      <c r="L3" s="24"/>
      <c r="M3" s="24"/>
      <c r="N3" s="24"/>
      <c r="O3" s="24"/>
      <c r="P3" s="24"/>
      <c r="Q3" s="24"/>
      <c r="R3" s="24"/>
    </row>
    <row r="4" spans="1:18" s="23" customFormat="1" ht="26.25" customHeight="1" x14ac:dyDescent="0.35">
      <c r="A4" s="25"/>
      <c r="B4" s="23" t="s">
        <v>55</v>
      </c>
      <c r="C4" s="54">
        <f t="shared" ref="C4:H4" si="1">SUM(C5:C43)</f>
        <v>10</v>
      </c>
      <c r="D4" s="54">
        <f t="shared" si="1"/>
        <v>46.64</v>
      </c>
      <c r="E4" s="54">
        <f t="shared" si="1"/>
        <v>156.61000000000001</v>
      </c>
      <c r="F4" s="54">
        <f t="shared" si="1"/>
        <v>173.57</v>
      </c>
      <c r="G4" s="54">
        <f t="shared" si="1"/>
        <v>368.57</v>
      </c>
      <c r="H4" s="54">
        <f t="shared" si="1"/>
        <v>755.39</v>
      </c>
      <c r="J4" s="24"/>
      <c r="K4" s="24"/>
      <c r="L4" s="24"/>
      <c r="M4" s="24"/>
      <c r="N4" s="24"/>
      <c r="O4" s="24"/>
      <c r="P4" s="24"/>
      <c r="Q4" s="24"/>
    </row>
    <row r="5" spans="1:18" s="28" customFormat="1" ht="14" x14ac:dyDescent="0.35">
      <c r="A5" s="27">
        <v>51</v>
      </c>
      <c r="B5" s="28" t="s">
        <v>7</v>
      </c>
      <c r="C5" s="55">
        <v>1</v>
      </c>
      <c r="D5" s="55">
        <v>1</v>
      </c>
      <c r="E5" s="55">
        <v>11</v>
      </c>
      <c r="F5" s="55">
        <v>12</v>
      </c>
      <c r="G5" s="55">
        <v>14</v>
      </c>
      <c r="H5" s="55">
        <v>39</v>
      </c>
      <c r="J5" s="24"/>
      <c r="K5" s="24"/>
      <c r="L5" s="24"/>
      <c r="M5" s="24"/>
      <c r="N5" s="24"/>
      <c r="O5" s="24"/>
      <c r="P5" s="24"/>
      <c r="Q5" s="24"/>
    </row>
    <row r="6" spans="1:18" s="28" customFormat="1" ht="14" x14ac:dyDescent="0.35">
      <c r="A6" s="27">
        <v>52</v>
      </c>
      <c r="B6" s="28" t="s">
        <v>8</v>
      </c>
      <c r="C6" s="55">
        <v>1</v>
      </c>
      <c r="D6" s="55">
        <v>3</v>
      </c>
      <c r="E6" s="55">
        <v>5</v>
      </c>
      <c r="F6" s="55">
        <v>4</v>
      </c>
      <c r="G6" s="55">
        <v>11</v>
      </c>
      <c r="H6" s="55">
        <v>24</v>
      </c>
      <c r="J6" s="24"/>
      <c r="K6" s="24"/>
      <c r="L6" s="24"/>
      <c r="M6" s="24"/>
      <c r="N6" s="24"/>
      <c r="O6" s="24"/>
      <c r="P6" s="24"/>
      <c r="Q6" s="24"/>
    </row>
    <row r="7" spans="1:18" s="28" customFormat="1" ht="14" x14ac:dyDescent="0.35">
      <c r="A7" s="27">
        <v>86</v>
      </c>
      <c r="B7" s="28" t="s">
        <v>9</v>
      </c>
      <c r="C7" s="55">
        <v>0</v>
      </c>
      <c r="D7" s="55">
        <v>1</v>
      </c>
      <c r="E7" s="55">
        <v>5</v>
      </c>
      <c r="F7" s="55">
        <v>9.8699999999999992</v>
      </c>
      <c r="G7" s="55">
        <v>17.5</v>
      </c>
      <c r="H7" s="55">
        <v>33.369999999999997</v>
      </c>
      <c r="J7" s="24"/>
      <c r="K7" s="24"/>
      <c r="L7" s="24"/>
      <c r="M7" s="24"/>
      <c r="N7" s="24"/>
      <c r="O7" s="24"/>
      <c r="P7" s="24"/>
      <c r="Q7" s="24"/>
    </row>
    <row r="8" spans="1:18" s="28" customFormat="1" ht="14" x14ac:dyDescent="0.35">
      <c r="A8" s="27">
        <v>53</v>
      </c>
      <c r="B8" s="28" t="s">
        <v>10</v>
      </c>
      <c r="C8" s="55">
        <v>0</v>
      </c>
      <c r="D8" s="55">
        <v>0</v>
      </c>
      <c r="E8" s="55">
        <v>0</v>
      </c>
      <c r="F8" s="55">
        <v>0</v>
      </c>
      <c r="G8" s="55">
        <v>0</v>
      </c>
      <c r="H8" s="55">
        <v>0</v>
      </c>
      <c r="J8" s="24"/>
      <c r="K8" s="24"/>
      <c r="L8" s="24"/>
      <c r="M8" s="24"/>
      <c r="N8" s="24"/>
      <c r="O8" s="24"/>
      <c r="P8" s="24"/>
      <c r="Q8" s="24"/>
    </row>
    <row r="9" spans="1:18" s="28" customFormat="1" ht="14" x14ac:dyDescent="0.35">
      <c r="A9" s="27">
        <v>54</v>
      </c>
      <c r="B9" s="28" t="s">
        <v>11</v>
      </c>
      <c r="C9" s="55">
        <v>1</v>
      </c>
      <c r="D9" s="55">
        <v>3</v>
      </c>
      <c r="E9" s="55">
        <v>7</v>
      </c>
      <c r="F9" s="55">
        <v>8</v>
      </c>
      <c r="G9" s="55">
        <v>17</v>
      </c>
      <c r="H9" s="55">
        <v>36</v>
      </c>
      <c r="J9" s="24"/>
      <c r="K9" s="24"/>
      <c r="L9" s="24"/>
      <c r="M9" s="24"/>
      <c r="N9" s="24"/>
      <c r="O9" s="24"/>
      <c r="P9" s="24"/>
      <c r="Q9" s="24"/>
    </row>
    <row r="10" spans="1:18" s="28" customFormat="1" ht="14" x14ac:dyDescent="0.35">
      <c r="A10" s="27">
        <v>55</v>
      </c>
      <c r="B10" s="28" t="s">
        <v>12</v>
      </c>
      <c r="C10" s="55">
        <v>0</v>
      </c>
      <c r="D10" s="55">
        <v>0</v>
      </c>
      <c r="E10" s="55">
        <v>0</v>
      </c>
      <c r="F10" s="55">
        <v>0</v>
      </c>
      <c r="G10" s="55">
        <v>0</v>
      </c>
      <c r="H10" s="55">
        <v>0</v>
      </c>
      <c r="J10" s="24"/>
      <c r="K10" s="24"/>
      <c r="L10" s="24"/>
      <c r="M10" s="24"/>
      <c r="N10" s="24"/>
      <c r="O10" s="24"/>
      <c r="P10" s="24"/>
      <c r="Q10" s="24"/>
    </row>
    <row r="11" spans="1:18" s="28" customFormat="1" ht="14" x14ac:dyDescent="0.35">
      <c r="A11" s="27">
        <v>56</v>
      </c>
      <c r="B11" s="28" t="s">
        <v>13</v>
      </c>
      <c r="C11" s="55">
        <v>0</v>
      </c>
      <c r="D11" s="55">
        <v>0</v>
      </c>
      <c r="E11" s="55">
        <v>3.5</v>
      </c>
      <c r="F11" s="55">
        <v>9.5</v>
      </c>
      <c r="G11" s="55">
        <v>7</v>
      </c>
      <c r="H11" s="55">
        <v>20</v>
      </c>
      <c r="J11" s="24"/>
      <c r="K11" s="24"/>
      <c r="L11" s="24"/>
      <c r="M11" s="24"/>
      <c r="N11" s="24"/>
      <c r="O11" s="24"/>
      <c r="P11" s="24"/>
      <c r="Q11" s="24"/>
    </row>
    <row r="12" spans="1:18" s="28" customFormat="1" ht="14" x14ac:dyDescent="0.35">
      <c r="A12" s="27">
        <v>57</v>
      </c>
      <c r="B12" s="28" t="s">
        <v>14</v>
      </c>
      <c r="C12" s="55">
        <v>0</v>
      </c>
      <c r="D12" s="55">
        <v>0</v>
      </c>
      <c r="E12" s="55">
        <v>5</v>
      </c>
      <c r="F12" s="55">
        <v>4</v>
      </c>
      <c r="G12" s="55">
        <v>3.64</v>
      </c>
      <c r="H12" s="55">
        <v>12.64</v>
      </c>
      <c r="J12" s="24"/>
      <c r="K12" s="24"/>
      <c r="L12" s="24"/>
      <c r="M12" s="24"/>
      <c r="N12" s="24"/>
      <c r="O12" s="24"/>
      <c r="P12" s="24"/>
      <c r="Q12" s="24"/>
    </row>
    <row r="13" spans="1:18" s="28" customFormat="1" ht="14" x14ac:dyDescent="0.35">
      <c r="A13" s="27">
        <v>59</v>
      </c>
      <c r="B13" s="28" t="s">
        <v>15</v>
      </c>
      <c r="C13" s="55">
        <v>0</v>
      </c>
      <c r="D13" s="55">
        <v>0</v>
      </c>
      <c r="E13" s="55">
        <v>0</v>
      </c>
      <c r="F13" s="55">
        <v>0</v>
      </c>
      <c r="G13" s="55">
        <v>0</v>
      </c>
      <c r="H13" s="55">
        <v>0</v>
      </c>
      <c r="J13" s="24"/>
      <c r="K13" s="24"/>
      <c r="L13" s="24"/>
      <c r="M13" s="24"/>
      <c r="N13" s="24"/>
      <c r="O13" s="24"/>
      <c r="P13" s="24"/>
      <c r="Q13" s="24"/>
    </row>
    <row r="14" spans="1:18" s="28" customFormat="1" ht="14" x14ac:dyDescent="0.35">
      <c r="A14" s="27">
        <v>60</v>
      </c>
      <c r="B14" s="28" t="s">
        <v>16</v>
      </c>
      <c r="C14" s="55">
        <v>0</v>
      </c>
      <c r="D14" s="55">
        <v>1</v>
      </c>
      <c r="E14" s="55">
        <v>5</v>
      </c>
      <c r="F14" s="55">
        <v>5</v>
      </c>
      <c r="G14" s="55">
        <v>14</v>
      </c>
      <c r="H14" s="55">
        <v>25</v>
      </c>
      <c r="J14" s="24"/>
      <c r="K14" s="24"/>
      <c r="L14" s="24"/>
      <c r="M14" s="24"/>
      <c r="N14" s="24"/>
      <c r="O14" s="24"/>
      <c r="P14" s="24"/>
      <c r="Q14" s="24"/>
    </row>
    <row r="15" spans="1:18" s="28" customFormat="1" ht="14" x14ac:dyDescent="0.35">
      <c r="A15" s="27">
        <v>61</v>
      </c>
      <c r="B15" s="29" t="s">
        <v>56</v>
      </c>
      <c r="C15" s="55">
        <v>1</v>
      </c>
      <c r="D15" s="55">
        <v>1.6400000000000001</v>
      </c>
      <c r="E15" s="55">
        <v>7</v>
      </c>
      <c r="F15" s="55">
        <v>10</v>
      </c>
      <c r="G15" s="55">
        <v>14</v>
      </c>
      <c r="H15" s="55">
        <v>33.64</v>
      </c>
      <c r="J15" s="24"/>
      <c r="K15" s="24"/>
      <c r="L15" s="24"/>
      <c r="M15" s="24"/>
      <c r="N15" s="24"/>
      <c r="O15" s="24"/>
      <c r="P15" s="24"/>
      <c r="Q15" s="24"/>
    </row>
    <row r="16" spans="1:18" s="28" customFormat="1" ht="14" x14ac:dyDescent="0.35">
      <c r="A16" s="27">
        <v>62</v>
      </c>
      <c r="B16" s="28" t="s">
        <v>115</v>
      </c>
      <c r="C16" s="55">
        <v>0</v>
      </c>
      <c r="D16" s="55">
        <v>3</v>
      </c>
      <c r="E16" s="55">
        <v>7</v>
      </c>
      <c r="F16" s="55">
        <v>8</v>
      </c>
      <c r="G16" s="55">
        <v>16.5</v>
      </c>
      <c r="H16" s="55">
        <v>34.5</v>
      </c>
      <c r="J16" s="24"/>
      <c r="K16" s="24"/>
      <c r="L16" s="24"/>
      <c r="M16" s="24"/>
      <c r="N16" s="24"/>
      <c r="O16" s="24"/>
      <c r="P16" s="24"/>
      <c r="Q16" s="24"/>
    </row>
    <row r="17" spans="1:17" s="28" customFormat="1" ht="14" x14ac:dyDescent="0.35">
      <c r="A17" s="27">
        <v>58</v>
      </c>
      <c r="B17" s="28" t="s">
        <v>19</v>
      </c>
      <c r="C17" s="55">
        <v>0</v>
      </c>
      <c r="D17" s="55">
        <v>1</v>
      </c>
      <c r="E17" s="55">
        <v>5</v>
      </c>
      <c r="F17" s="55">
        <v>4</v>
      </c>
      <c r="G17" s="55">
        <v>8.5</v>
      </c>
      <c r="H17" s="55">
        <v>18.5</v>
      </c>
      <c r="J17" s="24"/>
      <c r="K17" s="24"/>
      <c r="L17" s="24"/>
      <c r="M17" s="24"/>
      <c r="N17" s="24"/>
      <c r="O17" s="24"/>
      <c r="P17" s="24"/>
      <c r="Q17" s="24"/>
    </row>
    <row r="18" spans="1:17" s="28" customFormat="1" ht="14" x14ac:dyDescent="0.35">
      <c r="A18" s="27">
        <v>63</v>
      </c>
      <c r="B18" s="28" t="s">
        <v>20</v>
      </c>
      <c r="C18" s="55">
        <v>1</v>
      </c>
      <c r="D18" s="55">
        <v>2</v>
      </c>
      <c r="E18" s="55">
        <v>5</v>
      </c>
      <c r="F18" s="55">
        <v>9.6999999999999993</v>
      </c>
      <c r="G18" s="55">
        <v>20</v>
      </c>
      <c r="H18" s="55">
        <v>37.700000000000003</v>
      </c>
      <c r="J18" s="24"/>
      <c r="K18" s="24"/>
      <c r="L18" s="24"/>
      <c r="M18" s="24"/>
      <c r="N18" s="24"/>
      <c r="O18" s="24"/>
      <c r="P18" s="24"/>
      <c r="Q18" s="24"/>
    </row>
    <row r="19" spans="1:17" s="28" customFormat="1" ht="14" x14ac:dyDescent="0.35">
      <c r="A19" s="27">
        <v>64</v>
      </c>
      <c r="B19" s="28" t="s">
        <v>21</v>
      </c>
      <c r="C19" s="55">
        <v>1</v>
      </c>
      <c r="D19" s="55">
        <v>0</v>
      </c>
      <c r="E19" s="55">
        <v>9</v>
      </c>
      <c r="F19" s="55">
        <v>4</v>
      </c>
      <c r="G19" s="55">
        <v>18.8</v>
      </c>
      <c r="H19" s="55">
        <v>32.799999999999997</v>
      </c>
      <c r="J19" s="24"/>
      <c r="K19" s="24"/>
      <c r="L19" s="24"/>
      <c r="M19" s="24"/>
      <c r="N19" s="24"/>
      <c r="O19" s="24"/>
      <c r="P19" s="24"/>
      <c r="Q19" s="24"/>
    </row>
    <row r="20" spans="1:17" s="28" customFormat="1" ht="14" x14ac:dyDescent="0.35">
      <c r="A20" s="27">
        <v>65</v>
      </c>
      <c r="B20" s="28" t="s">
        <v>22</v>
      </c>
      <c r="C20" s="55">
        <v>0</v>
      </c>
      <c r="D20" s="55">
        <v>1</v>
      </c>
      <c r="E20" s="55">
        <v>5</v>
      </c>
      <c r="F20" s="55">
        <v>4</v>
      </c>
      <c r="G20" s="55">
        <v>6.56</v>
      </c>
      <c r="H20" s="55">
        <v>16.559999999999999</v>
      </c>
      <c r="J20" s="24"/>
      <c r="K20" s="24"/>
      <c r="L20" s="24"/>
      <c r="M20" s="24"/>
      <c r="N20" s="24"/>
      <c r="O20" s="24"/>
      <c r="P20" s="24"/>
      <c r="Q20" s="24"/>
    </row>
    <row r="21" spans="1:17" s="28" customFormat="1" ht="14" x14ac:dyDescent="0.35">
      <c r="A21" s="27">
        <v>67</v>
      </c>
      <c r="B21" s="28" t="s">
        <v>25</v>
      </c>
      <c r="C21" s="55">
        <v>1</v>
      </c>
      <c r="D21" s="55">
        <v>3</v>
      </c>
      <c r="E21" s="55">
        <v>4</v>
      </c>
      <c r="F21" s="55">
        <v>10</v>
      </c>
      <c r="G21" s="55">
        <v>15.07</v>
      </c>
      <c r="H21" s="55">
        <v>33.07</v>
      </c>
      <c r="J21" s="24"/>
      <c r="K21" s="24"/>
      <c r="L21" s="24"/>
      <c r="M21" s="24"/>
      <c r="N21" s="24"/>
      <c r="O21" s="24"/>
      <c r="P21" s="24"/>
      <c r="Q21" s="24"/>
    </row>
    <row r="22" spans="1:17" s="28" customFormat="1" ht="14" x14ac:dyDescent="0.35">
      <c r="A22" s="27">
        <v>68</v>
      </c>
      <c r="B22" s="28" t="s">
        <v>57</v>
      </c>
      <c r="C22" s="55">
        <v>0</v>
      </c>
      <c r="D22" s="55">
        <v>1</v>
      </c>
      <c r="E22" s="55">
        <v>2</v>
      </c>
      <c r="F22" s="55">
        <v>5.5</v>
      </c>
      <c r="G22" s="55">
        <v>10</v>
      </c>
      <c r="H22" s="55">
        <v>18.5</v>
      </c>
      <c r="J22" s="24"/>
      <c r="K22" s="24"/>
      <c r="L22" s="24"/>
      <c r="M22" s="24"/>
      <c r="N22" s="24"/>
      <c r="O22" s="24"/>
      <c r="P22" s="24"/>
      <c r="Q22" s="24"/>
    </row>
    <row r="23" spans="1:17" s="28" customFormat="1" ht="14" x14ac:dyDescent="0.35">
      <c r="A23" s="27">
        <v>69</v>
      </c>
      <c r="B23" s="28" t="s">
        <v>27</v>
      </c>
      <c r="C23" s="55">
        <v>0</v>
      </c>
      <c r="D23" s="55">
        <v>1</v>
      </c>
      <c r="E23" s="55">
        <v>7.5</v>
      </c>
      <c r="F23" s="55">
        <v>1</v>
      </c>
      <c r="G23" s="55">
        <v>15</v>
      </c>
      <c r="H23" s="55">
        <v>24.5</v>
      </c>
      <c r="J23" s="24"/>
      <c r="K23" s="24"/>
      <c r="L23" s="24"/>
      <c r="M23" s="24"/>
      <c r="N23" s="24"/>
      <c r="O23" s="24"/>
      <c r="P23" s="24"/>
      <c r="Q23" s="24"/>
    </row>
    <row r="24" spans="1:17" s="28" customFormat="1" ht="14" x14ac:dyDescent="0.35">
      <c r="A24" s="27">
        <v>70</v>
      </c>
      <c r="B24" s="28" t="s">
        <v>28</v>
      </c>
      <c r="C24" s="55">
        <v>0</v>
      </c>
      <c r="D24" s="55">
        <v>0</v>
      </c>
      <c r="E24" s="55">
        <v>5.61</v>
      </c>
      <c r="F24" s="55">
        <v>8</v>
      </c>
      <c r="G24" s="55">
        <v>11</v>
      </c>
      <c r="H24" s="55">
        <v>24.61</v>
      </c>
      <c r="J24" s="24"/>
      <c r="K24" s="24"/>
      <c r="L24" s="24"/>
      <c r="M24" s="24"/>
      <c r="N24" s="24"/>
      <c r="O24" s="24"/>
      <c r="P24" s="24"/>
      <c r="Q24" s="24"/>
    </row>
    <row r="25" spans="1:17" s="28" customFormat="1" ht="14" x14ac:dyDescent="0.35">
      <c r="A25" s="27">
        <v>71</v>
      </c>
      <c r="B25" s="28" t="s">
        <v>58</v>
      </c>
      <c r="C25" s="55">
        <v>0</v>
      </c>
      <c r="D25" s="55">
        <v>0</v>
      </c>
      <c r="E25" s="55">
        <v>0</v>
      </c>
      <c r="F25" s="55">
        <v>0</v>
      </c>
      <c r="G25" s="55">
        <v>0</v>
      </c>
      <c r="H25" s="55">
        <v>0</v>
      </c>
      <c r="J25" s="24"/>
      <c r="K25" s="24"/>
      <c r="L25" s="24"/>
      <c r="M25" s="24"/>
      <c r="N25" s="24"/>
      <c r="O25" s="24"/>
      <c r="P25" s="24"/>
      <c r="Q25" s="24"/>
    </row>
    <row r="26" spans="1:17" s="28" customFormat="1" ht="14" x14ac:dyDescent="0.35">
      <c r="A26" s="27">
        <v>73</v>
      </c>
      <c r="B26" s="28" t="s">
        <v>31</v>
      </c>
      <c r="C26" s="55">
        <v>0</v>
      </c>
      <c r="D26" s="55">
        <v>2</v>
      </c>
      <c r="E26" s="55">
        <v>3</v>
      </c>
      <c r="F26" s="55">
        <v>10</v>
      </c>
      <c r="G26" s="55">
        <v>17</v>
      </c>
      <c r="H26" s="55">
        <v>32</v>
      </c>
      <c r="J26" s="24"/>
      <c r="K26" s="24"/>
      <c r="L26" s="24"/>
      <c r="M26" s="24"/>
      <c r="N26" s="24"/>
      <c r="O26" s="24"/>
      <c r="P26" s="24"/>
      <c r="Q26" s="24"/>
    </row>
    <row r="27" spans="1:17" s="28" customFormat="1" ht="14" x14ac:dyDescent="0.35">
      <c r="A27" s="27">
        <v>74</v>
      </c>
      <c r="B27" s="28" t="s">
        <v>32</v>
      </c>
      <c r="C27" s="55">
        <v>0</v>
      </c>
      <c r="D27" s="55">
        <v>1</v>
      </c>
      <c r="E27" s="55">
        <v>1</v>
      </c>
      <c r="F27" s="55">
        <v>0</v>
      </c>
      <c r="G27" s="55">
        <v>0</v>
      </c>
      <c r="H27" s="55">
        <v>2</v>
      </c>
      <c r="J27" s="24"/>
      <c r="K27" s="24"/>
      <c r="L27" s="24"/>
      <c r="M27" s="24"/>
      <c r="N27" s="24"/>
      <c r="O27" s="24"/>
      <c r="P27" s="24"/>
      <c r="Q27" s="24"/>
    </row>
    <row r="28" spans="1:17" s="28" customFormat="1" ht="14" x14ac:dyDescent="0.35">
      <c r="A28" s="27">
        <v>75</v>
      </c>
      <c r="B28" s="28" t="s">
        <v>33</v>
      </c>
      <c r="C28" s="55">
        <v>0</v>
      </c>
      <c r="D28" s="55">
        <v>1</v>
      </c>
      <c r="E28" s="55">
        <v>5</v>
      </c>
      <c r="F28" s="55">
        <v>8</v>
      </c>
      <c r="G28" s="55">
        <v>11</v>
      </c>
      <c r="H28" s="55">
        <v>25</v>
      </c>
      <c r="J28" s="24"/>
      <c r="K28" s="24"/>
      <c r="L28" s="24"/>
      <c r="M28" s="24"/>
      <c r="N28" s="24"/>
      <c r="O28" s="24"/>
      <c r="P28" s="24"/>
      <c r="Q28" s="24"/>
    </row>
    <row r="29" spans="1:17" s="28" customFormat="1" ht="14" x14ac:dyDescent="0.35">
      <c r="A29" s="27">
        <v>76</v>
      </c>
      <c r="B29" s="28" t="s">
        <v>34</v>
      </c>
      <c r="C29" s="55">
        <v>0</v>
      </c>
      <c r="D29" s="55">
        <v>1</v>
      </c>
      <c r="E29" s="55">
        <v>6</v>
      </c>
      <c r="F29" s="55">
        <v>0</v>
      </c>
      <c r="G29" s="55">
        <v>11</v>
      </c>
      <c r="H29" s="55">
        <v>18</v>
      </c>
      <c r="J29" s="24"/>
      <c r="K29" s="24"/>
      <c r="L29" s="24"/>
      <c r="M29" s="24"/>
      <c r="N29" s="24"/>
      <c r="O29" s="24"/>
      <c r="P29" s="24"/>
      <c r="Q29" s="24"/>
    </row>
    <row r="30" spans="1:17" s="28" customFormat="1" ht="14" x14ac:dyDescent="0.35">
      <c r="A30" s="27">
        <v>79</v>
      </c>
      <c r="B30" s="28" t="s">
        <v>36</v>
      </c>
      <c r="C30" s="55">
        <v>0</v>
      </c>
      <c r="D30" s="55">
        <v>1</v>
      </c>
      <c r="E30" s="55">
        <v>4</v>
      </c>
      <c r="F30" s="55">
        <v>4</v>
      </c>
      <c r="G30" s="55">
        <v>14</v>
      </c>
      <c r="H30" s="55">
        <v>23</v>
      </c>
      <c r="J30" s="24"/>
      <c r="K30" s="24"/>
      <c r="L30" s="24"/>
      <c r="M30" s="24"/>
      <c r="N30" s="24"/>
      <c r="O30" s="24"/>
      <c r="P30" s="24"/>
      <c r="Q30" s="24"/>
    </row>
    <row r="31" spans="1:17" s="28" customFormat="1" ht="14" x14ac:dyDescent="0.35">
      <c r="A31" s="27"/>
      <c r="B31" s="67" t="s">
        <v>81</v>
      </c>
      <c r="C31" s="55">
        <v>1</v>
      </c>
      <c r="D31" s="55">
        <v>6</v>
      </c>
      <c r="E31" s="55">
        <v>12</v>
      </c>
      <c r="F31" s="55">
        <v>0</v>
      </c>
      <c r="G31" s="55">
        <v>37</v>
      </c>
      <c r="H31" s="55">
        <v>56</v>
      </c>
      <c r="J31" s="24"/>
      <c r="K31" s="24"/>
      <c r="L31" s="24"/>
      <c r="M31" s="24"/>
      <c r="N31" s="24"/>
      <c r="O31" s="24"/>
      <c r="P31" s="24"/>
      <c r="Q31" s="24"/>
    </row>
    <row r="32" spans="1:17" s="28" customFormat="1" ht="14" x14ac:dyDescent="0.35">
      <c r="A32" s="27">
        <v>80</v>
      </c>
      <c r="B32" s="28" t="s">
        <v>38</v>
      </c>
      <c r="C32" s="55">
        <v>0</v>
      </c>
      <c r="D32" s="55">
        <v>1</v>
      </c>
      <c r="E32" s="55">
        <v>2</v>
      </c>
      <c r="F32" s="55">
        <v>7</v>
      </c>
      <c r="G32" s="55">
        <v>6</v>
      </c>
      <c r="H32" s="55">
        <v>16</v>
      </c>
      <c r="J32" s="24"/>
      <c r="K32" s="24"/>
      <c r="L32" s="24"/>
      <c r="M32" s="24"/>
      <c r="N32" s="24"/>
      <c r="O32" s="24"/>
      <c r="P32" s="24"/>
      <c r="Q32" s="24"/>
    </row>
    <row r="33" spans="1:17" s="28" customFormat="1" ht="14" x14ac:dyDescent="0.35">
      <c r="A33" s="27">
        <v>81</v>
      </c>
      <c r="B33" s="28" t="s">
        <v>39</v>
      </c>
      <c r="C33" s="55">
        <v>0</v>
      </c>
      <c r="D33" s="55">
        <v>1</v>
      </c>
      <c r="E33" s="55">
        <v>3</v>
      </c>
      <c r="F33" s="55">
        <v>5</v>
      </c>
      <c r="G33" s="55">
        <v>7.5</v>
      </c>
      <c r="H33" s="55">
        <v>16.5</v>
      </c>
      <c r="J33" s="24"/>
      <c r="K33" s="24"/>
      <c r="L33" s="24"/>
      <c r="M33" s="24"/>
      <c r="N33" s="24"/>
      <c r="O33" s="24"/>
      <c r="P33" s="24"/>
      <c r="Q33" s="24"/>
    </row>
    <row r="34" spans="1:17" s="28" customFormat="1" ht="14" x14ac:dyDescent="0.35">
      <c r="A34" s="27">
        <v>83</v>
      </c>
      <c r="B34" s="28" t="s">
        <v>40</v>
      </c>
      <c r="C34" s="55">
        <v>0</v>
      </c>
      <c r="D34" s="55">
        <v>1</v>
      </c>
      <c r="E34" s="55">
        <v>4</v>
      </c>
      <c r="F34" s="55">
        <v>4</v>
      </c>
      <c r="G34" s="55">
        <v>7</v>
      </c>
      <c r="H34" s="55">
        <v>16</v>
      </c>
      <c r="J34" s="24"/>
      <c r="K34" s="24"/>
      <c r="L34" s="24"/>
      <c r="M34" s="24"/>
      <c r="N34" s="24"/>
      <c r="O34" s="24"/>
      <c r="P34" s="24"/>
      <c r="Q34" s="24"/>
    </row>
    <row r="35" spans="1:17" s="28" customFormat="1" ht="14" x14ac:dyDescent="0.35">
      <c r="A35" s="27">
        <v>84</v>
      </c>
      <c r="B35" s="28" t="s">
        <v>41</v>
      </c>
      <c r="C35" s="55">
        <v>1</v>
      </c>
      <c r="D35" s="55">
        <v>2</v>
      </c>
      <c r="E35" s="55">
        <v>5</v>
      </c>
      <c r="F35" s="55">
        <v>5</v>
      </c>
      <c r="G35" s="55">
        <v>14</v>
      </c>
      <c r="H35" s="55">
        <v>27</v>
      </c>
      <c r="J35" s="24"/>
      <c r="K35" s="24"/>
      <c r="L35" s="24"/>
      <c r="M35" s="24"/>
      <c r="N35" s="24"/>
      <c r="O35" s="24"/>
      <c r="P35" s="24"/>
      <c r="Q35" s="24"/>
    </row>
    <row r="36" spans="1:17" s="28" customFormat="1" ht="14" x14ac:dyDescent="0.35">
      <c r="A36" s="27">
        <v>85</v>
      </c>
      <c r="B36" s="28" t="s">
        <v>42</v>
      </c>
      <c r="C36" s="55">
        <v>0</v>
      </c>
      <c r="D36" s="55">
        <v>0</v>
      </c>
      <c r="E36" s="55">
        <v>0</v>
      </c>
      <c r="F36" s="55">
        <v>0</v>
      </c>
      <c r="G36" s="55">
        <v>0</v>
      </c>
      <c r="H36" s="55">
        <v>0</v>
      </c>
      <c r="J36" s="24"/>
      <c r="K36" s="24"/>
      <c r="L36" s="24"/>
      <c r="M36" s="24"/>
      <c r="N36" s="24"/>
      <c r="O36" s="24"/>
      <c r="P36" s="24"/>
      <c r="Q36" s="24"/>
    </row>
    <row r="37" spans="1:17" s="28" customFormat="1" ht="14" x14ac:dyDescent="0.35">
      <c r="A37" s="27">
        <v>87</v>
      </c>
      <c r="B37" s="28" t="s">
        <v>43</v>
      </c>
      <c r="C37" s="55">
        <v>0</v>
      </c>
      <c r="D37" s="55">
        <v>1</v>
      </c>
      <c r="E37" s="55">
        <v>5</v>
      </c>
      <c r="F37" s="55">
        <v>7</v>
      </c>
      <c r="G37" s="55">
        <v>6</v>
      </c>
      <c r="H37" s="55">
        <v>19</v>
      </c>
      <c r="J37" s="24"/>
      <c r="K37" s="24"/>
      <c r="L37" s="24"/>
      <c r="M37" s="24"/>
      <c r="N37" s="24"/>
      <c r="O37" s="24"/>
      <c r="P37" s="24"/>
      <c r="Q37" s="24"/>
    </row>
    <row r="38" spans="1:17" s="28" customFormat="1" ht="14" x14ac:dyDescent="0.35">
      <c r="A38" s="27">
        <v>90</v>
      </c>
      <c r="B38" s="28" t="s">
        <v>45</v>
      </c>
      <c r="C38" s="55">
        <v>0</v>
      </c>
      <c r="D38" s="55">
        <v>0</v>
      </c>
      <c r="E38" s="55">
        <v>0</v>
      </c>
      <c r="F38" s="55">
        <v>0</v>
      </c>
      <c r="G38" s="55">
        <v>0</v>
      </c>
      <c r="H38" s="55">
        <v>0</v>
      </c>
      <c r="J38" s="24"/>
      <c r="K38" s="24"/>
      <c r="L38" s="24"/>
      <c r="M38" s="24"/>
      <c r="N38" s="24"/>
      <c r="O38" s="24"/>
      <c r="P38" s="24"/>
      <c r="Q38" s="24"/>
    </row>
    <row r="39" spans="1:17" s="28" customFormat="1" ht="14" x14ac:dyDescent="0.35">
      <c r="A39" s="27">
        <v>91</v>
      </c>
      <c r="B39" s="28" t="s">
        <v>46</v>
      </c>
      <c r="C39" s="55">
        <v>0</v>
      </c>
      <c r="D39" s="55">
        <v>0</v>
      </c>
      <c r="E39" s="55">
        <v>0</v>
      </c>
      <c r="F39" s="55">
        <v>0</v>
      </c>
      <c r="G39" s="55">
        <v>0</v>
      </c>
      <c r="H39" s="55">
        <v>0</v>
      </c>
      <c r="J39" s="24"/>
      <c r="K39" s="24"/>
      <c r="L39" s="24"/>
      <c r="M39" s="24"/>
      <c r="N39" s="24"/>
      <c r="O39" s="24"/>
      <c r="P39" s="24"/>
      <c r="Q39" s="24"/>
    </row>
    <row r="40" spans="1:17" s="28" customFormat="1" ht="14" x14ac:dyDescent="0.35">
      <c r="A40" s="27">
        <v>92</v>
      </c>
      <c r="B40" s="28" t="s">
        <v>47</v>
      </c>
      <c r="C40" s="55">
        <v>1</v>
      </c>
      <c r="D40" s="55">
        <v>4</v>
      </c>
      <c r="E40" s="55">
        <v>4</v>
      </c>
      <c r="F40" s="55">
        <v>4</v>
      </c>
      <c r="G40" s="55">
        <v>12</v>
      </c>
      <c r="H40" s="55">
        <v>25</v>
      </c>
      <c r="J40" s="24"/>
      <c r="K40" s="24"/>
      <c r="L40" s="24"/>
      <c r="M40" s="24"/>
      <c r="N40" s="24"/>
      <c r="O40" s="24"/>
      <c r="P40" s="24"/>
      <c r="Q40" s="24"/>
    </row>
    <row r="41" spans="1:17" s="28" customFormat="1" ht="14" x14ac:dyDescent="0.35">
      <c r="A41" s="27">
        <v>94</v>
      </c>
      <c r="B41" s="28" t="s">
        <v>49</v>
      </c>
      <c r="C41" s="55">
        <v>0</v>
      </c>
      <c r="D41" s="55">
        <v>2</v>
      </c>
      <c r="E41" s="55">
        <v>4</v>
      </c>
      <c r="F41" s="55">
        <v>3</v>
      </c>
      <c r="G41" s="55">
        <v>6.5</v>
      </c>
      <c r="H41" s="55">
        <v>15.5</v>
      </c>
      <c r="J41" s="24"/>
      <c r="K41" s="24"/>
      <c r="L41" s="24"/>
      <c r="M41" s="24"/>
      <c r="N41" s="24"/>
      <c r="O41" s="24"/>
      <c r="P41" s="24"/>
      <c r="Q41" s="24"/>
    </row>
    <row r="42" spans="1:17" s="28" customFormat="1" ht="14" x14ac:dyDescent="0.35">
      <c r="A42" s="27">
        <v>96</v>
      </c>
      <c r="B42" s="28" t="s">
        <v>51</v>
      </c>
      <c r="C42" s="55">
        <v>0</v>
      </c>
      <c r="D42" s="55">
        <v>0</v>
      </c>
      <c r="E42" s="55">
        <v>0</v>
      </c>
      <c r="F42" s="55">
        <v>0</v>
      </c>
      <c r="G42" s="55">
        <v>0</v>
      </c>
      <c r="H42" s="55">
        <v>0</v>
      </c>
      <c r="J42" s="24"/>
      <c r="K42" s="24"/>
      <c r="L42" s="24"/>
      <c r="M42" s="24"/>
      <c r="N42" s="24"/>
      <c r="O42" s="24"/>
      <c r="P42" s="24"/>
      <c r="Q42" s="24"/>
    </row>
    <row r="43" spans="1:17" s="28" customFormat="1" ht="14" x14ac:dyDescent="0.35">
      <c r="A43" s="27">
        <v>72</v>
      </c>
      <c r="B43" s="28" t="s">
        <v>30</v>
      </c>
      <c r="C43" s="55">
        <v>0</v>
      </c>
      <c r="D43" s="55">
        <v>0</v>
      </c>
      <c r="E43" s="55">
        <v>0</v>
      </c>
      <c r="F43" s="55">
        <v>0</v>
      </c>
      <c r="G43" s="55">
        <v>0</v>
      </c>
      <c r="H43" s="55">
        <v>0</v>
      </c>
      <c r="J43" s="24"/>
      <c r="K43" s="24"/>
      <c r="L43" s="24"/>
      <c r="M43" s="24"/>
      <c r="N43" s="24"/>
      <c r="O43" s="24"/>
      <c r="P43" s="24"/>
      <c r="Q43" s="24"/>
    </row>
    <row r="44" spans="1:17" s="23" customFormat="1" ht="26.25" customHeight="1" x14ac:dyDescent="0.35">
      <c r="A44" s="25"/>
      <c r="B44" s="23" t="s">
        <v>59</v>
      </c>
      <c r="C44" s="56">
        <f>SUM(C45:C51)</f>
        <v>3</v>
      </c>
      <c r="D44" s="56">
        <f t="shared" ref="D44:H44" si="2">SUM(D45:D51)</f>
        <v>6</v>
      </c>
      <c r="E44" s="56">
        <f t="shared" si="2"/>
        <v>49</v>
      </c>
      <c r="F44" s="56">
        <f t="shared" si="2"/>
        <v>58.448799999999999</v>
      </c>
      <c r="G44" s="56">
        <f t="shared" si="2"/>
        <v>171.60000000000002</v>
      </c>
      <c r="H44" s="56">
        <f t="shared" si="2"/>
        <v>288.04880000000003</v>
      </c>
      <c r="J44" s="24"/>
      <c r="K44" s="24"/>
      <c r="L44" s="24"/>
      <c r="M44" s="24"/>
      <c r="N44" s="24"/>
      <c r="O44" s="24"/>
      <c r="P44" s="24"/>
      <c r="Q44" s="24"/>
    </row>
    <row r="45" spans="1:17" s="28" customFormat="1" ht="14" x14ac:dyDescent="0.35">
      <c r="A45" s="27">
        <v>66</v>
      </c>
      <c r="B45" s="28" t="s">
        <v>24</v>
      </c>
      <c r="C45" s="55">
        <v>0</v>
      </c>
      <c r="D45" s="55">
        <v>0</v>
      </c>
      <c r="E45" s="55">
        <v>0</v>
      </c>
      <c r="F45" s="55">
        <v>0</v>
      </c>
      <c r="G45" s="55">
        <v>0</v>
      </c>
      <c r="H45" s="55">
        <v>0</v>
      </c>
      <c r="J45" s="24"/>
      <c r="K45" s="24"/>
      <c r="L45" s="24"/>
      <c r="M45" s="24"/>
      <c r="N45" s="24"/>
      <c r="O45" s="24"/>
      <c r="P45" s="24"/>
      <c r="Q45" s="24"/>
    </row>
    <row r="46" spans="1:17" s="28" customFormat="1" ht="14" x14ac:dyDescent="0.35">
      <c r="A46" s="27">
        <v>78</v>
      </c>
      <c r="B46" s="28" t="s">
        <v>35</v>
      </c>
      <c r="C46" s="55">
        <v>0</v>
      </c>
      <c r="D46" s="55">
        <v>0</v>
      </c>
      <c r="E46" s="55">
        <v>9</v>
      </c>
      <c r="F46" s="55">
        <v>5.73</v>
      </c>
      <c r="G46" s="55">
        <v>18.170000000000002</v>
      </c>
      <c r="H46" s="55">
        <v>32.900000000000006</v>
      </c>
      <c r="J46" s="24"/>
      <c r="K46" s="24"/>
      <c r="L46" s="24"/>
      <c r="M46" s="24"/>
      <c r="N46" s="24"/>
      <c r="O46" s="24"/>
      <c r="P46" s="24"/>
      <c r="Q46" s="24"/>
    </row>
    <row r="47" spans="1:17" s="28" customFormat="1" ht="14" x14ac:dyDescent="0.35">
      <c r="A47" s="27">
        <v>89</v>
      </c>
      <c r="B47" s="28" t="s">
        <v>44</v>
      </c>
      <c r="C47" s="55">
        <v>0</v>
      </c>
      <c r="D47" s="55">
        <v>2</v>
      </c>
      <c r="E47" s="55">
        <v>5</v>
      </c>
      <c r="F47" s="55">
        <v>7</v>
      </c>
      <c r="G47" s="55">
        <v>11</v>
      </c>
      <c r="H47" s="55">
        <v>25</v>
      </c>
      <c r="J47" s="24"/>
      <c r="K47" s="24"/>
      <c r="L47" s="24"/>
      <c r="M47" s="24"/>
      <c r="N47" s="24"/>
      <c r="O47" s="24"/>
      <c r="P47" s="24"/>
      <c r="Q47" s="24"/>
    </row>
    <row r="48" spans="1:17" s="28" customFormat="1" ht="14" x14ac:dyDescent="0.35">
      <c r="A48" s="27">
        <v>93</v>
      </c>
      <c r="B48" s="28" t="s">
        <v>60</v>
      </c>
      <c r="C48" s="55">
        <v>0</v>
      </c>
      <c r="D48" s="55">
        <v>0</v>
      </c>
      <c r="E48" s="55">
        <v>5</v>
      </c>
      <c r="F48" s="55">
        <v>6.7187999999999999</v>
      </c>
      <c r="G48" s="55">
        <v>19</v>
      </c>
      <c r="H48" s="55">
        <v>30.718800000000002</v>
      </c>
      <c r="J48" s="24"/>
      <c r="K48" s="24"/>
      <c r="L48" s="24"/>
      <c r="M48" s="24"/>
      <c r="N48" s="24"/>
      <c r="O48" s="24"/>
      <c r="P48" s="24"/>
      <c r="Q48" s="24"/>
    </row>
    <row r="49" spans="1:17" s="28" customFormat="1" ht="14" x14ac:dyDescent="0.35">
      <c r="A49" s="27">
        <v>95</v>
      </c>
      <c r="B49" s="28" t="s">
        <v>50</v>
      </c>
      <c r="C49" s="55">
        <v>2</v>
      </c>
      <c r="D49" s="55">
        <v>1</v>
      </c>
      <c r="E49" s="55">
        <v>16</v>
      </c>
      <c r="F49" s="55">
        <v>5</v>
      </c>
      <c r="G49" s="55">
        <v>32</v>
      </c>
      <c r="H49" s="55">
        <v>56</v>
      </c>
      <c r="J49" s="24"/>
      <c r="K49" s="24"/>
      <c r="L49" s="24"/>
      <c r="M49" s="24"/>
      <c r="N49" s="24"/>
      <c r="O49" s="24"/>
      <c r="P49" s="24"/>
      <c r="Q49" s="24"/>
    </row>
    <row r="50" spans="1:17" s="28" customFormat="1" ht="14" x14ac:dyDescent="0.35">
      <c r="A50" s="27">
        <v>97</v>
      </c>
      <c r="B50" s="28" t="s">
        <v>52</v>
      </c>
      <c r="C50" s="55">
        <v>0</v>
      </c>
      <c r="D50" s="55">
        <v>1</v>
      </c>
      <c r="E50" s="55">
        <v>8</v>
      </c>
      <c r="F50" s="55">
        <v>12</v>
      </c>
      <c r="G50" s="55">
        <v>24</v>
      </c>
      <c r="H50" s="55">
        <v>45</v>
      </c>
      <c r="J50" s="24"/>
      <c r="K50" s="24"/>
      <c r="L50" s="24"/>
      <c r="M50" s="24"/>
      <c r="N50" s="24"/>
      <c r="O50" s="24"/>
      <c r="P50" s="24"/>
      <c r="Q50" s="24"/>
    </row>
    <row r="51" spans="1:17" s="28" customFormat="1" ht="14" x14ac:dyDescent="0.35">
      <c r="A51" s="28">
        <v>77</v>
      </c>
      <c r="B51" s="42" t="s">
        <v>23</v>
      </c>
      <c r="C51" s="55">
        <v>1</v>
      </c>
      <c r="D51" s="55">
        <v>2</v>
      </c>
      <c r="E51" s="55">
        <v>6</v>
      </c>
      <c r="F51" s="55">
        <v>22</v>
      </c>
      <c r="G51" s="55">
        <v>67.430000000000007</v>
      </c>
      <c r="H51" s="55">
        <v>98.43</v>
      </c>
      <c r="J51" s="24"/>
      <c r="K51" s="24"/>
      <c r="L51" s="24"/>
      <c r="M51" s="24"/>
      <c r="N51" s="24"/>
      <c r="O51" s="24"/>
      <c r="P51" s="24"/>
      <c r="Q51" s="24"/>
    </row>
    <row r="52" spans="1:17" s="62" customFormat="1" x14ac:dyDescent="0.35">
      <c r="A52" s="27"/>
      <c r="B52" s="51"/>
      <c r="C52" s="60"/>
      <c r="D52" s="60"/>
      <c r="E52" s="61"/>
      <c r="F52" s="61"/>
      <c r="G52" s="61"/>
      <c r="H52" s="61"/>
    </row>
    <row r="53" spans="1:17" s="28" customFormat="1" ht="12.5" x14ac:dyDescent="0.35">
      <c r="A53" s="27"/>
      <c r="F53" s="43"/>
    </row>
    <row r="54" spans="1:17" s="28" customFormat="1" ht="12.5" x14ac:dyDescent="0.35">
      <c r="A54" s="27"/>
      <c r="B54" s="63" t="s">
        <v>71</v>
      </c>
      <c r="C54" s="43"/>
    </row>
    <row r="55" spans="1:17" x14ac:dyDescent="0.35">
      <c r="G55" s="59"/>
      <c r="H55" s="59"/>
    </row>
    <row r="56" spans="1:17" x14ac:dyDescent="0.35">
      <c r="F56" s="59"/>
    </row>
  </sheetData>
  <mergeCells count="1">
    <mergeCell ref="B1:H1"/>
  </mergeCells>
  <printOptions horizontalCentered="1" verticalCentered="1"/>
  <pageMargins left="0.43" right="0.46" top="0.33" bottom="0.25" header="0.31" footer="0.51181102362204722"/>
  <pageSetup paperSize="9" scale="7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tabColor theme="4"/>
    <pageSetUpPr fitToPage="1"/>
  </sheetPr>
  <dimension ref="A1:T56"/>
  <sheetViews>
    <sheetView showGridLines="0" zoomScale="85" zoomScaleNormal="85" workbookViewId="0">
      <pane xSplit="2" ySplit="2" topLeftCell="C3" activePane="bottomRight" state="frozen"/>
      <selection activeCell="A4" sqref="A4:H4"/>
      <selection pane="topRight" activeCell="A4" sqref="A4:H4"/>
      <selection pane="bottomLeft" activeCell="A4" sqref="A4:H4"/>
      <selection pane="bottomRight" activeCell="A4" sqref="A4:H4"/>
    </sheetView>
  </sheetViews>
  <sheetFormatPr defaultColWidth="9.1796875" defaultRowHeight="15.5" x14ac:dyDescent="0.35"/>
  <cols>
    <col min="1" max="1" width="2.81640625" style="27" bestFit="1" customWidth="1"/>
    <col min="2" max="2" width="22.7265625" style="51" customWidth="1"/>
    <col min="3" max="8" width="13" style="51" customWidth="1"/>
    <col min="9" max="10" width="13.54296875" style="51" customWidth="1"/>
    <col min="11" max="16384" width="9.1796875" style="51"/>
  </cols>
  <sheetData>
    <row r="1" spans="1:20" ht="39.75" customHeight="1" x14ac:dyDescent="0.35">
      <c r="B1" s="152"/>
      <c r="C1" s="153"/>
      <c r="D1" s="153"/>
      <c r="E1" s="153"/>
      <c r="F1" s="153"/>
      <c r="G1" s="153"/>
      <c r="H1" s="153"/>
      <c r="I1" s="153"/>
      <c r="J1" s="154"/>
    </row>
    <row r="2" spans="1:20" ht="50.15" customHeight="1" x14ac:dyDescent="0.35">
      <c r="B2" s="52"/>
      <c r="C2" s="21" t="s">
        <v>72</v>
      </c>
      <c r="D2" s="21" t="s">
        <v>73</v>
      </c>
      <c r="E2" s="21" t="s">
        <v>74</v>
      </c>
      <c r="F2" s="21" t="s">
        <v>75</v>
      </c>
      <c r="G2" s="21" t="s">
        <v>76</v>
      </c>
      <c r="H2" s="21" t="s">
        <v>77</v>
      </c>
      <c r="I2" s="21" t="s">
        <v>116</v>
      </c>
      <c r="J2" s="22" t="s">
        <v>1</v>
      </c>
    </row>
    <row r="3" spans="1:20" s="20" customFormat="1" ht="26.25" customHeight="1" x14ac:dyDescent="0.35">
      <c r="A3" s="25"/>
      <c r="B3" s="23" t="s">
        <v>80</v>
      </c>
      <c r="C3" s="53">
        <f t="shared" ref="C3:J3" si="0">C4+C44</f>
        <v>127.88</v>
      </c>
      <c r="D3" s="53">
        <f t="shared" si="0"/>
        <v>179</v>
      </c>
      <c r="E3" s="53">
        <f t="shared" si="0"/>
        <v>456</v>
      </c>
      <c r="F3" s="53">
        <f t="shared" si="0"/>
        <v>1233.21</v>
      </c>
      <c r="G3" s="53">
        <f t="shared" si="0"/>
        <v>3626.8900000000003</v>
      </c>
      <c r="H3" s="53">
        <f t="shared" si="0"/>
        <v>3301.95</v>
      </c>
      <c r="I3" s="53">
        <f t="shared" si="0"/>
        <v>13654.864076190475</v>
      </c>
      <c r="J3" s="53">
        <f t="shared" si="0"/>
        <v>22579.764076190477</v>
      </c>
      <c r="K3" s="24"/>
      <c r="L3" s="24"/>
      <c r="M3" s="24"/>
      <c r="N3" s="24"/>
      <c r="O3" s="24"/>
      <c r="P3" s="24"/>
      <c r="Q3" s="24"/>
      <c r="R3" s="24"/>
      <c r="S3" s="24"/>
      <c r="T3" s="24"/>
    </row>
    <row r="4" spans="1:20" s="23" customFormat="1" ht="26.25" customHeight="1" x14ac:dyDescent="0.35">
      <c r="A4" s="25"/>
      <c r="B4" s="23" t="s">
        <v>55</v>
      </c>
      <c r="C4" s="54">
        <f t="shared" ref="C4:J4" si="1">SUM(C5:C43)</f>
        <v>101.88</v>
      </c>
      <c r="D4" s="54">
        <f t="shared" si="1"/>
        <v>134</v>
      </c>
      <c r="E4" s="54">
        <f t="shared" si="1"/>
        <v>326.5</v>
      </c>
      <c r="F4" s="54">
        <f t="shared" si="1"/>
        <v>870.21</v>
      </c>
      <c r="G4" s="54">
        <f t="shared" si="1"/>
        <v>2085.65</v>
      </c>
      <c r="H4" s="54">
        <f t="shared" si="1"/>
        <v>1946</v>
      </c>
      <c r="I4" s="54">
        <f t="shared" si="1"/>
        <v>7138.7128571428566</v>
      </c>
      <c r="J4" s="54">
        <f t="shared" si="1"/>
        <v>12602.922857142858</v>
      </c>
      <c r="L4" s="24"/>
      <c r="M4" s="24"/>
      <c r="N4" s="24"/>
      <c r="O4" s="24"/>
      <c r="P4" s="24"/>
      <c r="Q4" s="24"/>
      <c r="R4" s="24"/>
      <c r="S4" s="24"/>
    </row>
    <row r="5" spans="1:20" s="28" customFormat="1" ht="14" x14ac:dyDescent="0.35">
      <c r="A5" s="27">
        <v>51</v>
      </c>
      <c r="B5" s="28" t="s">
        <v>7</v>
      </c>
      <c r="C5" s="55">
        <v>8</v>
      </c>
      <c r="D5" s="55">
        <v>4</v>
      </c>
      <c r="E5" s="55">
        <v>7.5</v>
      </c>
      <c r="F5" s="55">
        <v>18</v>
      </c>
      <c r="G5" s="55">
        <v>91</v>
      </c>
      <c r="H5" s="55">
        <v>54</v>
      </c>
      <c r="I5" s="55">
        <v>303</v>
      </c>
      <c r="J5" s="55">
        <v>485.5</v>
      </c>
      <c r="L5" s="24"/>
      <c r="M5" s="24"/>
      <c r="N5" s="24"/>
      <c r="O5" s="24"/>
      <c r="P5" s="24"/>
      <c r="Q5" s="24"/>
      <c r="R5" s="24"/>
      <c r="S5" s="24"/>
    </row>
    <row r="6" spans="1:20" s="28" customFormat="1" ht="14" x14ac:dyDescent="0.35">
      <c r="A6" s="27">
        <v>52</v>
      </c>
      <c r="B6" s="28" t="s">
        <v>8</v>
      </c>
      <c r="C6" s="55">
        <v>2</v>
      </c>
      <c r="D6" s="55">
        <v>4</v>
      </c>
      <c r="E6" s="55">
        <v>9</v>
      </c>
      <c r="F6" s="55">
        <v>13</v>
      </c>
      <c r="G6" s="55">
        <v>38</v>
      </c>
      <c r="H6" s="55">
        <v>45</v>
      </c>
      <c r="I6" s="55">
        <v>172</v>
      </c>
      <c r="J6" s="55">
        <v>283</v>
      </c>
      <c r="L6" s="24"/>
      <c r="M6" s="24"/>
      <c r="N6" s="24"/>
      <c r="O6" s="24"/>
      <c r="P6" s="24"/>
      <c r="Q6" s="24"/>
      <c r="R6" s="24"/>
      <c r="S6" s="24"/>
    </row>
    <row r="7" spans="1:20" s="28" customFormat="1" ht="14" x14ac:dyDescent="0.35">
      <c r="A7" s="27">
        <v>86</v>
      </c>
      <c r="B7" s="28" t="s">
        <v>9</v>
      </c>
      <c r="C7" s="55">
        <v>3</v>
      </c>
      <c r="D7" s="55">
        <v>3</v>
      </c>
      <c r="E7" s="55">
        <v>8</v>
      </c>
      <c r="F7" s="55">
        <v>24</v>
      </c>
      <c r="G7" s="55">
        <v>53</v>
      </c>
      <c r="H7" s="55">
        <v>72</v>
      </c>
      <c r="I7" s="55">
        <v>218</v>
      </c>
      <c r="J7" s="55">
        <v>381</v>
      </c>
      <c r="L7" s="24"/>
      <c r="M7" s="24"/>
      <c r="N7" s="24"/>
      <c r="O7" s="24"/>
      <c r="P7" s="24"/>
      <c r="Q7" s="24"/>
      <c r="R7" s="24"/>
      <c r="S7" s="24"/>
    </row>
    <row r="8" spans="1:20" s="28" customFormat="1" ht="14" x14ac:dyDescent="0.35">
      <c r="A8" s="27">
        <v>53</v>
      </c>
      <c r="B8" s="28" t="s">
        <v>10</v>
      </c>
      <c r="C8" s="55">
        <v>2</v>
      </c>
      <c r="D8" s="55">
        <v>3</v>
      </c>
      <c r="E8" s="55">
        <v>6</v>
      </c>
      <c r="F8" s="55">
        <v>22</v>
      </c>
      <c r="G8" s="55">
        <v>32</v>
      </c>
      <c r="H8" s="55">
        <v>42</v>
      </c>
      <c r="I8" s="55">
        <v>137</v>
      </c>
      <c r="J8" s="55">
        <v>244</v>
      </c>
      <c r="L8" s="24"/>
      <c r="M8" s="24"/>
      <c r="N8" s="24"/>
      <c r="O8" s="24"/>
      <c r="P8" s="24"/>
      <c r="Q8" s="24"/>
      <c r="R8" s="24"/>
      <c r="S8" s="24"/>
    </row>
    <row r="9" spans="1:20" s="28" customFormat="1" ht="14" x14ac:dyDescent="0.35">
      <c r="A9" s="27">
        <v>54</v>
      </c>
      <c r="B9" s="28" t="s">
        <v>11</v>
      </c>
      <c r="C9" s="55">
        <v>2</v>
      </c>
      <c r="D9" s="55">
        <v>3</v>
      </c>
      <c r="E9" s="55">
        <v>9</v>
      </c>
      <c r="F9" s="55">
        <v>28</v>
      </c>
      <c r="G9" s="55">
        <v>44</v>
      </c>
      <c r="H9" s="55">
        <v>30</v>
      </c>
      <c r="I9" s="55">
        <v>134</v>
      </c>
      <c r="J9" s="55">
        <v>250</v>
      </c>
      <c r="L9" s="24"/>
      <c r="M9" s="24"/>
      <c r="N9" s="24"/>
      <c r="O9" s="24"/>
      <c r="P9" s="24"/>
      <c r="Q9" s="24"/>
      <c r="R9" s="24"/>
      <c r="S9" s="24"/>
    </row>
    <row r="10" spans="1:20" s="28" customFormat="1" ht="14" x14ac:dyDescent="0.35">
      <c r="A10" s="27">
        <v>55</v>
      </c>
      <c r="B10" s="28" t="s">
        <v>12</v>
      </c>
      <c r="C10" s="55">
        <v>2</v>
      </c>
      <c r="D10" s="55">
        <v>4</v>
      </c>
      <c r="E10" s="55">
        <v>8</v>
      </c>
      <c r="F10" s="55">
        <v>31</v>
      </c>
      <c r="G10" s="55">
        <v>58</v>
      </c>
      <c r="H10" s="55">
        <v>54</v>
      </c>
      <c r="I10" s="55">
        <v>211.57</v>
      </c>
      <c r="J10" s="55">
        <v>368.57</v>
      </c>
      <c r="L10" s="24"/>
      <c r="M10" s="24"/>
      <c r="N10" s="24"/>
      <c r="O10" s="24"/>
      <c r="P10" s="24"/>
      <c r="Q10" s="24"/>
      <c r="R10" s="24"/>
      <c r="S10" s="24"/>
    </row>
    <row r="11" spans="1:20" s="28" customFormat="1" ht="14" x14ac:dyDescent="0.35">
      <c r="A11" s="27">
        <v>56</v>
      </c>
      <c r="B11" s="28" t="s">
        <v>13</v>
      </c>
      <c r="C11" s="55">
        <v>3</v>
      </c>
      <c r="D11" s="55">
        <v>0</v>
      </c>
      <c r="E11" s="55">
        <v>6</v>
      </c>
      <c r="F11" s="55">
        <v>13</v>
      </c>
      <c r="G11" s="55">
        <v>51</v>
      </c>
      <c r="H11" s="55">
        <v>52</v>
      </c>
      <c r="I11" s="55">
        <v>200</v>
      </c>
      <c r="J11" s="55">
        <v>325</v>
      </c>
      <c r="L11" s="24"/>
      <c r="M11" s="24"/>
      <c r="N11" s="24"/>
      <c r="O11" s="24"/>
      <c r="P11" s="24"/>
      <c r="Q11" s="24"/>
      <c r="R11" s="24"/>
      <c r="S11" s="24"/>
    </row>
    <row r="12" spans="1:20" s="28" customFormat="1" ht="14" x14ac:dyDescent="0.35">
      <c r="A12" s="27">
        <v>57</v>
      </c>
      <c r="B12" s="28" t="s">
        <v>14</v>
      </c>
      <c r="C12" s="55">
        <v>2</v>
      </c>
      <c r="D12" s="55">
        <v>4</v>
      </c>
      <c r="E12" s="55">
        <v>8</v>
      </c>
      <c r="F12" s="55">
        <v>14</v>
      </c>
      <c r="G12" s="55">
        <v>33</v>
      </c>
      <c r="H12" s="55">
        <v>22</v>
      </c>
      <c r="I12" s="55">
        <v>102</v>
      </c>
      <c r="J12" s="55">
        <v>185</v>
      </c>
      <c r="L12" s="24"/>
      <c r="M12" s="24"/>
      <c r="N12" s="24"/>
      <c r="O12" s="24"/>
      <c r="P12" s="24"/>
      <c r="Q12" s="24"/>
      <c r="R12" s="24"/>
      <c r="S12" s="24"/>
    </row>
    <row r="13" spans="1:20" s="28" customFormat="1" ht="14" x14ac:dyDescent="0.35">
      <c r="A13" s="27">
        <v>59</v>
      </c>
      <c r="B13" s="28" t="s">
        <v>15</v>
      </c>
      <c r="C13" s="55">
        <v>2</v>
      </c>
      <c r="D13" s="55">
        <v>3</v>
      </c>
      <c r="E13" s="55">
        <v>10</v>
      </c>
      <c r="F13" s="55">
        <v>16</v>
      </c>
      <c r="G13" s="55">
        <v>23</v>
      </c>
      <c r="H13" s="55">
        <v>28</v>
      </c>
      <c r="I13" s="55">
        <v>117.2</v>
      </c>
      <c r="J13" s="55">
        <v>199.2</v>
      </c>
      <c r="L13" s="24"/>
      <c r="M13" s="24"/>
      <c r="N13" s="24"/>
      <c r="O13" s="24"/>
      <c r="P13" s="24"/>
      <c r="Q13" s="24"/>
      <c r="R13" s="24"/>
      <c r="S13" s="24"/>
    </row>
    <row r="14" spans="1:20" s="28" customFormat="1" ht="14" x14ac:dyDescent="0.35">
      <c r="A14" s="27">
        <v>60</v>
      </c>
      <c r="B14" s="28" t="s">
        <v>16</v>
      </c>
      <c r="C14" s="55">
        <v>2</v>
      </c>
      <c r="D14" s="55">
        <v>3</v>
      </c>
      <c r="E14" s="55">
        <v>8</v>
      </c>
      <c r="F14" s="55">
        <v>19</v>
      </c>
      <c r="G14" s="55">
        <v>58</v>
      </c>
      <c r="H14" s="55">
        <v>64</v>
      </c>
      <c r="I14" s="55">
        <v>185</v>
      </c>
      <c r="J14" s="55">
        <v>339</v>
      </c>
      <c r="L14" s="24"/>
      <c r="M14" s="24"/>
      <c r="N14" s="24"/>
      <c r="O14" s="24"/>
      <c r="P14" s="24"/>
      <c r="Q14" s="24"/>
      <c r="R14" s="24"/>
      <c r="S14" s="24"/>
    </row>
    <row r="15" spans="1:20" s="28" customFormat="1" ht="14" x14ac:dyDescent="0.35">
      <c r="A15" s="27">
        <v>61</v>
      </c>
      <c r="B15" s="29" t="s">
        <v>56</v>
      </c>
      <c r="C15" s="55">
        <v>4</v>
      </c>
      <c r="D15" s="55">
        <v>7</v>
      </c>
      <c r="E15" s="55">
        <v>28.5</v>
      </c>
      <c r="F15" s="55">
        <v>56</v>
      </c>
      <c r="G15" s="55">
        <v>111.3</v>
      </c>
      <c r="H15" s="55">
        <v>79.5</v>
      </c>
      <c r="I15" s="55">
        <v>270</v>
      </c>
      <c r="J15" s="55">
        <v>556.29999999999995</v>
      </c>
      <c r="L15" s="24"/>
      <c r="M15" s="24"/>
      <c r="N15" s="24"/>
      <c r="O15" s="24"/>
      <c r="P15" s="24"/>
      <c r="Q15" s="24"/>
      <c r="R15" s="24"/>
      <c r="S15" s="24"/>
    </row>
    <row r="16" spans="1:20" s="28" customFormat="1" ht="14" x14ac:dyDescent="0.35">
      <c r="A16" s="27">
        <v>62</v>
      </c>
      <c r="B16" s="28" t="s">
        <v>115</v>
      </c>
      <c r="C16" s="55">
        <v>4</v>
      </c>
      <c r="D16" s="55">
        <v>5</v>
      </c>
      <c r="E16" s="55">
        <v>10</v>
      </c>
      <c r="F16" s="55">
        <v>36</v>
      </c>
      <c r="G16" s="55">
        <v>77</v>
      </c>
      <c r="H16" s="55">
        <v>62</v>
      </c>
      <c r="I16" s="55">
        <v>237</v>
      </c>
      <c r="J16" s="55">
        <v>431</v>
      </c>
      <c r="L16" s="24"/>
      <c r="M16" s="24"/>
      <c r="N16" s="24"/>
      <c r="O16" s="24"/>
      <c r="P16" s="24"/>
      <c r="Q16" s="24"/>
      <c r="R16" s="24"/>
      <c r="S16" s="24"/>
    </row>
    <row r="17" spans="1:19" s="28" customFormat="1" ht="14" x14ac:dyDescent="0.35">
      <c r="A17" s="27">
        <v>58</v>
      </c>
      <c r="B17" s="28" t="s">
        <v>19</v>
      </c>
      <c r="C17" s="55">
        <v>4</v>
      </c>
      <c r="D17" s="55">
        <v>3</v>
      </c>
      <c r="E17" s="55">
        <v>4</v>
      </c>
      <c r="F17" s="55">
        <v>23</v>
      </c>
      <c r="G17" s="55">
        <v>43</v>
      </c>
      <c r="H17" s="55">
        <v>50</v>
      </c>
      <c r="I17" s="55">
        <v>180</v>
      </c>
      <c r="J17" s="55">
        <v>307</v>
      </c>
      <c r="L17" s="24"/>
      <c r="M17" s="24"/>
      <c r="N17" s="24"/>
      <c r="O17" s="24"/>
      <c r="P17" s="24"/>
      <c r="Q17" s="24"/>
      <c r="R17" s="24"/>
      <c r="S17" s="24"/>
    </row>
    <row r="18" spans="1:19" s="28" customFormat="1" ht="14" x14ac:dyDescent="0.35">
      <c r="A18" s="27">
        <v>63</v>
      </c>
      <c r="B18" s="28" t="s">
        <v>20</v>
      </c>
      <c r="C18" s="55">
        <v>3</v>
      </c>
      <c r="D18" s="55">
        <v>2</v>
      </c>
      <c r="E18" s="55">
        <v>9</v>
      </c>
      <c r="F18" s="55">
        <v>27</v>
      </c>
      <c r="G18" s="55">
        <v>44</v>
      </c>
      <c r="H18" s="55">
        <v>66</v>
      </c>
      <c r="I18" s="55">
        <v>205</v>
      </c>
      <c r="J18" s="55">
        <v>356</v>
      </c>
      <c r="L18" s="24"/>
      <c r="M18" s="24"/>
      <c r="N18" s="24"/>
      <c r="O18" s="24"/>
      <c r="P18" s="24"/>
      <c r="Q18" s="24"/>
      <c r="R18" s="24"/>
      <c r="S18" s="24"/>
    </row>
    <row r="19" spans="1:19" s="28" customFormat="1" ht="14" x14ac:dyDescent="0.35">
      <c r="A19" s="27">
        <v>64</v>
      </c>
      <c r="B19" s="28" t="s">
        <v>21</v>
      </c>
      <c r="C19" s="55">
        <v>2</v>
      </c>
      <c r="D19" s="55">
        <v>6</v>
      </c>
      <c r="E19" s="55">
        <v>10</v>
      </c>
      <c r="F19" s="55">
        <v>41</v>
      </c>
      <c r="G19" s="55">
        <v>119</v>
      </c>
      <c r="H19" s="55">
        <v>82</v>
      </c>
      <c r="I19" s="55">
        <v>352</v>
      </c>
      <c r="J19" s="55">
        <v>612</v>
      </c>
      <c r="L19" s="24"/>
      <c r="M19" s="24"/>
      <c r="N19" s="24"/>
      <c r="O19" s="24"/>
      <c r="P19" s="24"/>
      <c r="Q19" s="24"/>
      <c r="R19" s="24"/>
      <c r="S19" s="24"/>
    </row>
    <row r="20" spans="1:19" s="28" customFormat="1" ht="14" x14ac:dyDescent="0.35">
      <c r="A20" s="27">
        <v>65</v>
      </c>
      <c r="B20" s="28" t="s">
        <v>22</v>
      </c>
      <c r="C20" s="55">
        <v>3</v>
      </c>
      <c r="D20" s="55">
        <v>4</v>
      </c>
      <c r="E20" s="55">
        <v>6</v>
      </c>
      <c r="F20" s="55">
        <v>12</v>
      </c>
      <c r="G20" s="55">
        <v>21.14</v>
      </c>
      <c r="H20" s="55">
        <v>26</v>
      </c>
      <c r="I20" s="55">
        <v>102.89</v>
      </c>
      <c r="J20" s="55">
        <v>175</v>
      </c>
      <c r="L20" s="24"/>
      <c r="M20" s="24"/>
      <c r="N20" s="24"/>
      <c r="O20" s="24"/>
      <c r="P20" s="24"/>
      <c r="Q20" s="24"/>
      <c r="R20" s="24"/>
      <c r="S20" s="24"/>
    </row>
    <row r="21" spans="1:19" s="28" customFormat="1" ht="14" x14ac:dyDescent="0.35">
      <c r="A21" s="27">
        <v>67</v>
      </c>
      <c r="B21" s="28" t="s">
        <v>25</v>
      </c>
      <c r="C21" s="55">
        <v>2.88</v>
      </c>
      <c r="D21" s="55">
        <v>4</v>
      </c>
      <c r="E21" s="55">
        <v>18.5</v>
      </c>
      <c r="F21" s="55">
        <v>40.5</v>
      </c>
      <c r="G21" s="55">
        <v>95</v>
      </c>
      <c r="H21" s="55">
        <v>87</v>
      </c>
      <c r="I21" s="55">
        <v>430.13</v>
      </c>
      <c r="J21" s="55">
        <v>678.01</v>
      </c>
      <c r="L21" s="24"/>
      <c r="M21" s="24"/>
      <c r="N21" s="24"/>
      <c r="O21" s="24"/>
      <c r="P21" s="24"/>
      <c r="Q21" s="24"/>
      <c r="R21" s="24"/>
      <c r="S21" s="24"/>
    </row>
    <row r="22" spans="1:19" s="28" customFormat="1" ht="14" x14ac:dyDescent="0.35">
      <c r="A22" s="27">
        <v>68</v>
      </c>
      <c r="B22" s="28" t="s">
        <v>57</v>
      </c>
      <c r="C22" s="55">
        <v>3</v>
      </c>
      <c r="D22" s="55">
        <v>4</v>
      </c>
      <c r="E22" s="55">
        <v>11</v>
      </c>
      <c r="F22" s="55">
        <v>20</v>
      </c>
      <c r="G22" s="55">
        <v>52</v>
      </c>
      <c r="H22" s="55">
        <v>31</v>
      </c>
      <c r="I22" s="55">
        <v>113</v>
      </c>
      <c r="J22" s="55">
        <v>234</v>
      </c>
      <c r="L22" s="24"/>
      <c r="M22" s="24"/>
      <c r="N22" s="24"/>
      <c r="O22" s="24"/>
      <c r="P22" s="24"/>
      <c r="Q22" s="24"/>
      <c r="R22" s="24"/>
      <c r="S22" s="24"/>
    </row>
    <row r="23" spans="1:19" s="28" customFormat="1" ht="14" x14ac:dyDescent="0.35">
      <c r="A23" s="27">
        <v>69</v>
      </c>
      <c r="B23" s="28" t="s">
        <v>27</v>
      </c>
      <c r="C23" s="55">
        <v>4</v>
      </c>
      <c r="D23" s="55">
        <v>4</v>
      </c>
      <c r="E23" s="55">
        <v>8</v>
      </c>
      <c r="F23" s="55">
        <v>22.6</v>
      </c>
      <c r="G23" s="55">
        <v>68</v>
      </c>
      <c r="H23" s="55">
        <v>74</v>
      </c>
      <c r="I23" s="55">
        <v>287</v>
      </c>
      <c r="J23" s="55">
        <v>467.6</v>
      </c>
      <c r="L23" s="24"/>
      <c r="M23" s="24"/>
      <c r="N23" s="24"/>
      <c r="O23" s="24"/>
      <c r="P23" s="24"/>
      <c r="Q23" s="24"/>
      <c r="R23" s="24"/>
      <c r="S23" s="24"/>
    </row>
    <row r="24" spans="1:19" s="28" customFormat="1" ht="14" x14ac:dyDescent="0.35">
      <c r="A24" s="27">
        <v>70</v>
      </c>
      <c r="B24" s="28" t="s">
        <v>28</v>
      </c>
      <c r="C24" s="55">
        <v>2</v>
      </c>
      <c r="D24" s="55">
        <v>4</v>
      </c>
      <c r="E24" s="55">
        <v>11</v>
      </c>
      <c r="F24" s="55">
        <v>30</v>
      </c>
      <c r="G24" s="55">
        <v>76</v>
      </c>
      <c r="H24" s="55">
        <v>64</v>
      </c>
      <c r="I24" s="55">
        <v>293</v>
      </c>
      <c r="J24" s="55">
        <v>480</v>
      </c>
      <c r="L24" s="24"/>
      <c r="M24" s="24"/>
      <c r="N24" s="24"/>
      <c r="O24" s="24"/>
      <c r="P24" s="24"/>
      <c r="Q24" s="24"/>
      <c r="R24" s="24"/>
      <c r="S24" s="24"/>
    </row>
    <row r="25" spans="1:19" s="28" customFormat="1" ht="14" x14ac:dyDescent="0.35">
      <c r="A25" s="27">
        <v>71</v>
      </c>
      <c r="B25" s="28" t="s">
        <v>58</v>
      </c>
      <c r="C25" s="55">
        <v>0</v>
      </c>
      <c r="D25" s="55">
        <v>0</v>
      </c>
      <c r="E25" s="55">
        <v>3</v>
      </c>
      <c r="F25" s="55">
        <v>6</v>
      </c>
      <c r="G25" s="55">
        <v>15</v>
      </c>
      <c r="H25" s="55">
        <v>8</v>
      </c>
      <c r="I25" s="55">
        <v>46</v>
      </c>
      <c r="J25" s="55">
        <v>78</v>
      </c>
      <c r="L25" s="24"/>
      <c r="M25" s="24"/>
      <c r="N25" s="24"/>
      <c r="O25" s="24"/>
      <c r="P25" s="24"/>
      <c r="Q25" s="24"/>
      <c r="R25" s="24"/>
      <c r="S25" s="24"/>
    </row>
    <row r="26" spans="1:19" s="28" customFormat="1" ht="14" x14ac:dyDescent="0.35">
      <c r="A26" s="27">
        <v>73</v>
      </c>
      <c r="B26" s="28" t="s">
        <v>31</v>
      </c>
      <c r="C26" s="55">
        <v>4</v>
      </c>
      <c r="D26" s="55">
        <v>7</v>
      </c>
      <c r="E26" s="55">
        <v>15</v>
      </c>
      <c r="F26" s="55">
        <v>53</v>
      </c>
      <c r="G26" s="55">
        <v>80</v>
      </c>
      <c r="H26" s="55">
        <v>116</v>
      </c>
      <c r="I26" s="55">
        <v>406</v>
      </c>
      <c r="J26" s="55">
        <v>681</v>
      </c>
      <c r="L26" s="24"/>
      <c r="M26" s="24"/>
      <c r="N26" s="24"/>
      <c r="O26" s="24"/>
      <c r="P26" s="24"/>
      <c r="Q26" s="24"/>
      <c r="R26" s="24"/>
      <c r="S26" s="24"/>
    </row>
    <row r="27" spans="1:19" s="28" customFormat="1" ht="14" x14ac:dyDescent="0.35">
      <c r="A27" s="27">
        <v>74</v>
      </c>
      <c r="B27" s="28" t="s">
        <v>32</v>
      </c>
      <c r="C27" s="55">
        <v>3</v>
      </c>
      <c r="D27" s="55">
        <v>5</v>
      </c>
      <c r="E27" s="55">
        <v>11</v>
      </c>
      <c r="F27" s="55">
        <v>30</v>
      </c>
      <c r="G27" s="55">
        <v>94</v>
      </c>
      <c r="H27" s="55">
        <v>110</v>
      </c>
      <c r="I27" s="55">
        <v>350.7</v>
      </c>
      <c r="J27" s="55">
        <v>603.70000000000005</v>
      </c>
      <c r="L27" s="24"/>
      <c r="M27" s="24"/>
      <c r="N27" s="24"/>
      <c r="O27" s="24"/>
      <c r="P27" s="24"/>
      <c r="Q27" s="24"/>
      <c r="R27" s="24"/>
      <c r="S27" s="24"/>
    </row>
    <row r="28" spans="1:19" s="28" customFormat="1" ht="14" x14ac:dyDescent="0.35">
      <c r="A28" s="27">
        <v>75</v>
      </c>
      <c r="B28" s="28" t="s">
        <v>33</v>
      </c>
      <c r="C28" s="55">
        <v>3</v>
      </c>
      <c r="D28" s="55">
        <v>3</v>
      </c>
      <c r="E28" s="55">
        <v>5</v>
      </c>
      <c r="F28" s="55">
        <v>20</v>
      </c>
      <c r="G28" s="55">
        <v>56</v>
      </c>
      <c r="H28" s="55">
        <v>66</v>
      </c>
      <c r="I28" s="55">
        <v>202</v>
      </c>
      <c r="J28" s="55">
        <v>355</v>
      </c>
      <c r="L28" s="24"/>
      <c r="M28" s="24"/>
      <c r="N28" s="24"/>
      <c r="O28" s="24"/>
      <c r="P28" s="24"/>
      <c r="Q28" s="24"/>
      <c r="R28" s="24"/>
      <c r="S28" s="24"/>
    </row>
    <row r="29" spans="1:19" s="28" customFormat="1" ht="14" x14ac:dyDescent="0.35">
      <c r="A29" s="27">
        <v>76</v>
      </c>
      <c r="B29" s="28" t="s">
        <v>34</v>
      </c>
      <c r="C29" s="55">
        <v>3</v>
      </c>
      <c r="D29" s="55">
        <v>4</v>
      </c>
      <c r="E29" s="55">
        <v>10</v>
      </c>
      <c r="F29" s="55">
        <v>20</v>
      </c>
      <c r="G29" s="55">
        <v>38</v>
      </c>
      <c r="H29" s="55">
        <v>26</v>
      </c>
      <c r="I29" s="55">
        <v>94</v>
      </c>
      <c r="J29" s="55">
        <v>195</v>
      </c>
      <c r="L29" s="24"/>
      <c r="M29" s="24"/>
      <c r="N29" s="24"/>
      <c r="O29" s="24"/>
      <c r="P29" s="24"/>
      <c r="Q29" s="24"/>
      <c r="R29" s="24"/>
      <c r="S29" s="24"/>
    </row>
    <row r="30" spans="1:19" s="28" customFormat="1" ht="14" x14ac:dyDescent="0.35">
      <c r="A30" s="27">
        <v>79</v>
      </c>
      <c r="B30" s="28" t="s">
        <v>36</v>
      </c>
      <c r="C30" s="55">
        <v>2</v>
      </c>
      <c r="D30" s="55">
        <v>4</v>
      </c>
      <c r="E30" s="55">
        <v>7</v>
      </c>
      <c r="F30" s="55">
        <v>23</v>
      </c>
      <c r="G30" s="55">
        <v>45</v>
      </c>
      <c r="H30" s="55">
        <v>39</v>
      </c>
      <c r="I30" s="55">
        <v>147</v>
      </c>
      <c r="J30" s="55">
        <v>267</v>
      </c>
      <c r="L30" s="24"/>
      <c r="M30" s="24"/>
      <c r="N30" s="24"/>
      <c r="O30" s="24"/>
      <c r="P30" s="24"/>
      <c r="Q30" s="24"/>
      <c r="R30" s="24"/>
      <c r="S30" s="24"/>
    </row>
    <row r="31" spans="1:19" s="28" customFormat="1" ht="14" x14ac:dyDescent="0.35">
      <c r="A31" s="27"/>
      <c r="B31" s="67" t="s">
        <v>81</v>
      </c>
      <c r="C31" s="55">
        <v>0</v>
      </c>
      <c r="D31" s="55">
        <v>0</v>
      </c>
      <c r="E31" s="55">
        <v>0</v>
      </c>
      <c r="F31" s="55">
        <v>0</v>
      </c>
      <c r="G31" s="55">
        <v>0</v>
      </c>
      <c r="H31" s="55">
        <v>0</v>
      </c>
      <c r="I31" s="55">
        <v>0</v>
      </c>
      <c r="J31" s="55">
        <v>0</v>
      </c>
      <c r="L31" s="24"/>
      <c r="M31" s="24"/>
      <c r="N31" s="24"/>
      <c r="O31" s="24"/>
      <c r="P31" s="24"/>
      <c r="Q31" s="24"/>
      <c r="R31" s="24"/>
      <c r="S31" s="24"/>
    </row>
    <row r="32" spans="1:19" s="28" customFormat="1" ht="14" x14ac:dyDescent="0.35">
      <c r="A32" s="27">
        <v>80</v>
      </c>
      <c r="B32" s="28" t="s">
        <v>38</v>
      </c>
      <c r="C32" s="55">
        <v>3</v>
      </c>
      <c r="D32" s="55">
        <v>2</v>
      </c>
      <c r="E32" s="55">
        <v>8</v>
      </c>
      <c r="F32" s="55">
        <v>16</v>
      </c>
      <c r="G32" s="55">
        <v>55</v>
      </c>
      <c r="H32" s="55">
        <v>52</v>
      </c>
      <c r="I32" s="55">
        <v>156</v>
      </c>
      <c r="J32" s="55">
        <v>292</v>
      </c>
      <c r="L32" s="24"/>
      <c r="M32" s="24"/>
      <c r="N32" s="24"/>
      <c r="O32" s="24"/>
      <c r="P32" s="24"/>
      <c r="Q32" s="24"/>
      <c r="R32" s="24"/>
      <c r="S32" s="24"/>
    </row>
    <row r="33" spans="1:19" s="28" customFormat="1" ht="14" x14ac:dyDescent="0.35">
      <c r="A33" s="27">
        <v>81</v>
      </c>
      <c r="B33" s="28" t="s">
        <v>39</v>
      </c>
      <c r="C33" s="55">
        <v>2</v>
      </c>
      <c r="D33" s="55">
        <v>5</v>
      </c>
      <c r="E33" s="55">
        <v>9</v>
      </c>
      <c r="F33" s="55">
        <v>16.91</v>
      </c>
      <c r="G33" s="55">
        <v>50</v>
      </c>
      <c r="H33" s="55">
        <v>30</v>
      </c>
      <c r="I33" s="55">
        <v>122</v>
      </c>
      <c r="J33" s="55">
        <v>234.91</v>
      </c>
      <c r="L33" s="24"/>
      <c r="M33" s="24"/>
      <c r="N33" s="24"/>
      <c r="O33" s="24"/>
      <c r="P33" s="24"/>
      <c r="Q33" s="24"/>
      <c r="R33" s="24"/>
      <c r="S33" s="24"/>
    </row>
    <row r="34" spans="1:19" s="28" customFormat="1" ht="14" x14ac:dyDescent="0.35">
      <c r="A34" s="27">
        <v>83</v>
      </c>
      <c r="B34" s="28" t="s">
        <v>40</v>
      </c>
      <c r="C34" s="55">
        <v>2</v>
      </c>
      <c r="D34" s="55">
        <v>1</v>
      </c>
      <c r="E34" s="55">
        <v>3</v>
      </c>
      <c r="F34" s="55">
        <v>15</v>
      </c>
      <c r="G34" s="55">
        <v>19</v>
      </c>
      <c r="H34" s="55">
        <v>24</v>
      </c>
      <c r="I34" s="55">
        <v>73</v>
      </c>
      <c r="J34" s="55">
        <v>137</v>
      </c>
      <c r="L34" s="24"/>
      <c r="M34" s="24"/>
      <c r="N34" s="24"/>
      <c r="O34" s="24"/>
      <c r="P34" s="24"/>
      <c r="Q34" s="24"/>
      <c r="R34" s="24"/>
      <c r="S34" s="24"/>
    </row>
    <row r="35" spans="1:19" s="28" customFormat="1" ht="14" x14ac:dyDescent="0.35">
      <c r="A35" s="27">
        <v>84</v>
      </c>
      <c r="B35" s="28" t="s">
        <v>41</v>
      </c>
      <c r="C35" s="55">
        <v>3</v>
      </c>
      <c r="D35" s="55">
        <v>4</v>
      </c>
      <c r="E35" s="55">
        <v>9</v>
      </c>
      <c r="F35" s="55">
        <v>24</v>
      </c>
      <c r="G35" s="55">
        <v>76</v>
      </c>
      <c r="H35" s="55">
        <v>69</v>
      </c>
      <c r="I35" s="55">
        <v>269.08</v>
      </c>
      <c r="J35" s="55">
        <v>454.08</v>
      </c>
      <c r="L35" s="24"/>
      <c r="M35" s="24"/>
      <c r="N35" s="24"/>
      <c r="O35" s="24"/>
      <c r="P35" s="24"/>
      <c r="Q35" s="24"/>
      <c r="R35" s="24"/>
      <c r="S35" s="24"/>
    </row>
    <row r="36" spans="1:19" s="28" customFormat="1" ht="14" x14ac:dyDescent="0.35">
      <c r="A36" s="27">
        <v>85</v>
      </c>
      <c r="B36" s="28" t="s">
        <v>42</v>
      </c>
      <c r="C36" s="55">
        <v>3</v>
      </c>
      <c r="D36" s="55">
        <v>3</v>
      </c>
      <c r="E36" s="55">
        <v>9</v>
      </c>
      <c r="F36" s="55">
        <v>26</v>
      </c>
      <c r="G36" s="55">
        <v>49</v>
      </c>
      <c r="H36" s="55">
        <v>37</v>
      </c>
      <c r="I36" s="55">
        <v>103</v>
      </c>
      <c r="J36" s="55">
        <v>230</v>
      </c>
      <c r="L36" s="24"/>
      <c r="M36" s="24"/>
      <c r="N36" s="24"/>
      <c r="O36" s="24"/>
      <c r="P36" s="24"/>
      <c r="Q36" s="24"/>
      <c r="R36" s="24"/>
      <c r="S36" s="24"/>
    </row>
    <row r="37" spans="1:19" s="28" customFormat="1" ht="14" x14ac:dyDescent="0.35">
      <c r="A37" s="27">
        <v>87</v>
      </c>
      <c r="B37" s="28" t="s">
        <v>43</v>
      </c>
      <c r="C37" s="55">
        <v>3</v>
      </c>
      <c r="D37" s="55">
        <v>5</v>
      </c>
      <c r="E37" s="55">
        <v>7</v>
      </c>
      <c r="F37" s="55">
        <v>11</v>
      </c>
      <c r="G37" s="55">
        <v>27</v>
      </c>
      <c r="H37" s="55">
        <v>23</v>
      </c>
      <c r="I37" s="55">
        <v>98</v>
      </c>
      <c r="J37" s="55">
        <v>174</v>
      </c>
      <c r="L37" s="24"/>
      <c r="M37" s="24"/>
      <c r="N37" s="24"/>
      <c r="O37" s="24"/>
      <c r="P37" s="24"/>
      <c r="Q37" s="24"/>
      <c r="R37" s="24"/>
      <c r="S37" s="24"/>
    </row>
    <row r="38" spans="1:19" s="28" customFormat="1" ht="14" x14ac:dyDescent="0.35">
      <c r="A38" s="27">
        <v>90</v>
      </c>
      <c r="B38" s="28" t="s">
        <v>45</v>
      </c>
      <c r="C38" s="55">
        <v>2</v>
      </c>
      <c r="D38" s="55">
        <v>2</v>
      </c>
      <c r="E38" s="55">
        <v>8</v>
      </c>
      <c r="F38" s="55">
        <v>25</v>
      </c>
      <c r="G38" s="55">
        <v>61</v>
      </c>
      <c r="H38" s="55">
        <v>45</v>
      </c>
      <c r="I38" s="55">
        <v>170</v>
      </c>
      <c r="J38" s="55">
        <v>313</v>
      </c>
      <c r="L38" s="24"/>
      <c r="M38" s="24"/>
      <c r="N38" s="24"/>
      <c r="O38" s="24"/>
      <c r="P38" s="24"/>
      <c r="Q38" s="24"/>
      <c r="R38" s="24"/>
      <c r="S38" s="24"/>
    </row>
    <row r="39" spans="1:19" s="28" customFormat="1" ht="14" x14ac:dyDescent="0.35">
      <c r="A39" s="27">
        <v>91</v>
      </c>
      <c r="B39" s="28" t="s">
        <v>46</v>
      </c>
      <c r="C39" s="55">
        <v>2</v>
      </c>
      <c r="D39" s="55">
        <v>4</v>
      </c>
      <c r="E39" s="55">
        <v>7</v>
      </c>
      <c r="F39" s="55">
        <v>21</v>
      </c>
      <c r="G39" s="55">
        <v>38.71</v>
      </c>
      <c r="H39" s="55">
        <v>26.5</v>
      </c>
      <c r="I39" s="55">
        <v>100.5</v>
      </c>
      <c r="J39" s="55">
        <v>199.71</v>
      </c>
      <c r="L39" s="24"/>
      <c r="M39" s="24"/>
      <c r="N39" s="24"/>
      <c r="O39" s="24"/>
      <c r="P39" s="24"/>
      <c r="Q39" s="24"/>
      <c r="R39" s="24"/>
      <c r="S39" s="24"/>
    </row>
    <row r="40" spans="1:19" s="28" customFormat="1" ht="14" x14ac:dyDescent="0.35">
      <c r="A40" s="27">
        <v>92</v>
      </c>
      <c r="B40" s="28" t="s">
        <v>47</v>
      </c>
      <c r="C40" s="55">
        <v>2</v>
      </c>
      <c r="D40" s="55">
        <v>5</v>
      </c>
      <c r="E40" s="55">
        <v>8</v>
      </c>
      <c r="F40" s="55">
        <v>20.2</v>
      </c>
      <c r="G40" s="55">
        <v>103.5</v>
      </c>
      <c r="H40" s="55">
        <v>90</v>
      </c>
      <c r="I40" s="55">
        <v>240</v>
      </c>
      <c r="J40" s="55">
        <v>468.7</v>
      </c>
      <c r="L40" s="24"/>
      <c r="M40" s="24"/>
      <c r="N40" s="24"/>
      <c r="O40" s="24"/>
      <c r="P40" s="24"/>
      <c r="Q40" s="24"/>
      <c r="R40" s="24"/>
      <c r="S40" s="24"/>
    </row>
    <row r="41" spans="1:19" s="28" customFormat="1" ht="14" x14ac:dyDescent="0.35">
      <c r="A41" s="27">
        <v>94</v>
      </c>
      <c r="B41" s="28" t="s">
        <v>49</v>
      </c>
      <c r="C41" s="55">
        <v>2</v>
      </c>
      <c r="D41" s="55">
        <v>3</v>
      </c>
      <c r="E41" s="55">
        <v>5</v>
      </c>
      <c r="F41" s="55">
        <v>13</v>
      </c>
      <c r="G41" s="55">
        <v>32</v>
      </c>
      <c r="H41" s="55">
        <v>50</v>
      </c>
      <c r="I41" s="55">
        <v>136.64285714285714</v>
      </c>
      <c r="J41" s="55">
        <v>241.64285714285714</v>
      </c>
      <c r="L41" s="24"/>
      <c r="M41" s="24"/>
      <c r="N41" s="24"/>
      <c r="O41" s="24"/>
      <c r="P41" s="24"/>
      <c r="Q41" s="24"/>
      <c r="R41" s="24"/>
      <c r="S41" s="24"/>
    </row>
    <row r="42" spans="1:19" s="28" customFormat="1" ht="14" x14ac:dyDescent="0.35">
      <c r="A42" s="27">
        <v>96</v>
      </c>
      <c r="B42" s="28" t="s">
        <v>51</v>
      </c>
      <c r="C42" s="55">
        <v>3</v>
      </c>
      <c r="D42" s="55">
        <v>3</v>
      </c>
      <c r="E42" s="55">
        <v>7</v>
      </c>
      <c r="F42" s="55">
        <v>24</v>
      </c>
      <c r="G42" s="55">
        <v>59</v>
      </c>
      <c r="H42" s="55">
        <v>50</v>
      </c>
      <c r="I42" s="55">
        <v>175</v>
      </c>
      <c r="J42" s="55">
        <v>321</v>
      </c>
      <c r="L42" s="24"/>
      <c r="M42" s="24"/>
      <c r="N42" s="24"/>
      <c r="O42" s="24"/>
      <c r="P42" s="24"/>
      <c r="Q42" s="24"/>
      <c r="R42" s="24"/>
      <c r="S42" s="24"/>
    </row>
    <row r="43" spans="1:19" s="28" customFormat="1" ht="14" x14ac:dyDescent="0.35">
      <c r="A43" s="27">
        <v>72</v>
      </c>
      <c r="B43" s="28" t="s">
        <v>30</v>
      </c>
      <c r="C43" s="55">
        <v>0</v>
      </c>
      <c r="D43" s="55">
        <v>0</v>
      </c>
      <c r="E43" s="55">
        <v>0</v>
      </c>
      <c r="F43" s="55">
        <v>0</v>
      </c>
      <c r="G43" s="55">
        <v>0</v>
      </c>
      <c r="H43" s="55">
        <v>0</v>
      </c>
      <c r="I43" s="55">
        <v>0</v>
      </c>
      <c r="J43" s="55">
        <v>0</v>
      </c>
      <c r="L43" s="24"/>
      <c r="M43" s="24"/>
      <c r="N43" s="24"/>
      <c r="O43" s="24"/>
      <c r="P43" s="24"/>
      <c r="Q43" s="24"/>
      <c r="R43" s="24"/>
      <c r="S43" s="24"/>
    </row>
    <row r="44" spans="1:19" s="23" customFormat="1" ht="26.25" customHeight="1" x14ac:dyDescent="0.35">
      <c r="A44" s="25"/>
      <c r="B44" s="23" t="s">
        <v>59</v>
      </c>
      <c r="C44" s="56">
        <f>SUM(C45:C51)</f>
        <v>26</v>
      </c>
      <c r="D44" s="56">
        <f t="shared" ref="D44:J44" si="2">SUM(D45:D51)</f>
        <v>45</v>
      </c>
      <c r="E44" s="56">
        <f t="shared" si="2"/>
        <v>129.5</v>
      </c>
      <c r="F44" s="56">
        <f t="shared" si="2"/>
        <v>363</v>
      </c>
      <c r="G44" s="56">
        <f t="shared" si="2"/>
        <v>1541.24</v>
      </c>
      <c r="H44" s="56">
        <f t="shared" si="2"/>
        <v>1355.9499999999998</v>
      </c>
      <c r="I44" s="56">
        <f t="shared" si="2"/>
        <v>6516.1512190476187</v>
      </c>
      <c r="J44" s="56">
        <f t="shared" si="2"/>
        <v>9976.8412190476192</v>
      </c>
      <c r="K44" s="28"/>
      <c r="L44" s="24"/>
      <c r="M44" s="24"/>
      <c r="N44" s="24"/>
      <c r="O44" s="24"/>
      <c r="P44" s="24"/>
      <c r="Q44" s="24"/>
      <c r="R44" s="24"/>
      <c r="S44" s="24"/>
    </row>
    <row r="45" spans="1:19" s="28" customFormat="1" ht="14" x14ac:dyDescent="0.35">
      <c r="A45" s="27">
        <v>66</v>
      </c>
      <c r="B45" s="28" t="s">
        <v>24</v>
      </c>
      <c r="C45" s="55">
        <v>4</v>
      </c>
      <c r="D45" s="55">
        <v>5</v>
      </c>
      <c r="E45" s="55">
        <v>10</v>
      </c>
      <c r="F45" s="55">
        <v>58</v>
      </c>
      <c r="G45" s="55">
        <v>201</v>
      </c>
      <c r="H45" s="55">
        <v>179</v>
      </c>
      <c r="I45" s="55">
        <v>827.18761904761914</v>
      </c>
      <c r="J45" s="55">
        <v>1284.1876190476191</v>
      </c>
      <c r="L45" s="24"/>
      <c r="M45" s="24"/>
      <c r="N45" s="24"/>
      <c r="O45" s="24"/>
      <c r="P45" s="24"/>
      <c r="Q45" s="24"/>
      <c r="R45" s="24"/>
      <c r="S45" s="24"/>
    </row>
    <row r="46" spans="1:19" s="28" customFormat="1" ht="14" x14ac:dyDescent="0.35">
      <c r="A46" s="27">
        <v>78</v>
      </c>
      <c r="B46" s="28" t="s">
        <v>35</v>
      </c>
      <c r="C46" s="55">
        <v>2</v>
      </c>
      <c r="D46" s="55">
        <v>6</v>
      </c>
      <c r="E46" s="55">
        <v>11.5</v>
      </c>
      <c r="F46" s="55">
        <v>27</v>
      </c>
      <c r="G46" s="55">
        <v>129.94</v>
      </c>
      <c r="H46" s="55">
        <v>17</v>
      </c>
      <c r="I46" s="55">
        <v>437.1</v>
      </c>
      <c r="J46" s="55">
        <v>630.54</v>
      </c>
      <c r="L46" s="24"/>
      <c r="M46" s="24"/>
      <c r="N46" s="24"/>
      <c r="O46" s="24"/>
      <c r="P46" s="24"/>
      <c r="Q46" s="24"/>
      <c r="R46" s="24"/>
      <c r="S46" s="24"/>
    </row>
    <row r="47" spans="1:19" s="28" customFormat="1" ht="14" x14ac:dyDescent="0.35">
      <c r="A47" s="27">
        <v>89</v>
      </c>
      <c r="B47" s="28" t="s">
        <v>44</v>
      </c>
      <c r="C47" s="55">
        <v>3</v>
      </c>
      <c r="D47" s="55">
        <v>3</v>
      </c>
      <c r="E47" s="55">
        <v>11</v>
      </c>
      <c r="F47" s="55">
        <v>23</v>
      </c>
      <c r="G47" s="55">
        <v>88</v>
      </c>
      <c r="H47" s="55">
        <v>80.75</v>
      </c>
      <c r="I47" s="55">
        <v>357.61</v>
      </c>
      <c r="J47" s="55">
        <v>566.36</v>
      </c>
      <c r="L47" s="24"/>
      <c r="M47" s="24"/>
      <c r="N47" s="24"/>
      <c r="O47" s="24"/>
      <c r="P47" s="24"/>
      <c r="Q47" s="24"/>
      <c r="R47" s="24"/>
      <c r="S47" s="24"/>
    </row>
    <row r="48" spans="1:19" s="28" customFormat="1" ht="14" x14ac:dyDescent="0.35">
      <c r="A48" s="27">
        <v>93</v>
      </c>
      <c r="B48" s="28" t="s">
        <v>60</v>
      </c>
      <c r="C48" s="55">
        <v>3</v>
      </c>
      <c r="D48" s="55">
        <v>4</v>
      </c>
      <c r="E48" s="55">
        <v>13</v>
      </c>
      <c r="F48" s="55">
        <v>22</v>
      </c>
      <c r="G48" s="55">
        <v>90</v>
      </c>
      <c r="H48" s="55">
        <v>112.4</v>
      </c>
      <c r="I48" s="55">
        <v>332.20359999999994</v>
      </c>
      <c r="J48" s="55">
        <v>576.60359999999991</v>
      </c>
      <c r="L48" s="24"/>
      <c r="M48" s="24"/>
      <c r="N48" s="24"/>
      <c r="O48" s="24"/>
      <c r="P48" s="24"/>
      <c r="Q48" s="24"/>
      <c r="R48" s="24"/>
      <c r="S48" s="24"/>
    </row>
    <row r="49" spans="1:19" s="28" customFormat="1" ht="14" x14ac:dyDescent="0.35">
      <c r="A49" s="27">
        <v>95</v>
      </c>
      <c r="B49" s="28" t="s">
        <v>50</v>
      </c>
      <c r="C49" s="55">
        <v>3</v>
      </c>
      <c r="D49" s="55">
        <v>6</v>
      </c>
      <c r="E49" s="55">
        <v>11</v>
      </c>
      <c r="F49" s="55">
        <v>49</v>
      </c>
      <c r="G49" s="55">
        <v>236</v>
      </c>
      <c r="H49" s="55">
        <v>260</v>
      </c>
      <c r="I49" s="55">
        <v>837.25</v>
      </c>
      <c r="J49" s="55">
        <v>1402.25</v>
      </c>
      <c r="L49" s="24"/>
      <c r="M49" s="24"/>
      <c r="N49" s="24"/>
      <c r="O49" s="24"/>
      <c r="P49" s="24"/>
      <c r="Q49" s="24"/>
      <c r="R49" s="24"/>
      <c r="S49" s="24"/>
    </row>
    <row r="50" spans="1:19" s="28" customFormat="1" ht="14" x14ac:dyDescent="0.35">
      <c r="A50" s="27">
        <v>97</v>
      </c>
      <c r="B50" s="28" t="s">
        <v>52</v>
      </c>
      <c r="C50" s="55">
        <v>3</v>
      </c>
      <c r="D50" s="55">
        <v>3</v>
      </c>
      <c r="E50" s="55">
        <v>12</v>
      </c>
      <c r="F50" s="55">
        <v>41</v>
      </c>
      <c r="G50" s="55">
        <v>161.5</v>
      </c>
      <c r="H50" s="55">
        <v>145</v>
      </c>
      <c r="I50" s="55">
        <v>586</v>
      </c>
      <c r="J50" s="55">
        <v>951.5</v>
      </c>
      <c r="L50" s="24"/>
      <c r="M50" s="24"/>
      <c r="N50" s="24"/>
      <c r="O50" s="24"/>
      <c r="P50" s="24"/>
      <c r="Q50" s="24"/>
      <c r="R50" s="24"/>
      <c r="S50" s="24"/>
    </row>
    <row r="51" spans="1:19" s="28" customFormat="1" ht="14" x14ac:dyDescent="0.35">
      <c r="A51" s="28">
        <v>77</v>
      </c>
      <c r="B51" s="42" t="s">
        <v>23</v>
      </c>
      <c r="C51" s="55">
        <v>8</v>
      </c>
      <c r="D51" s="55">
        <v>18</v>
      </c>
      <c r="E51" s="55">
        <v>61</v>
      </c>
      <c r="F51" s="55">
        <v>143</v>
      </c>
      <c r="G51" s="55">
        <v>634.79999999999995</v>
      </c>
      <c r="H51" s="55">
        <v>561.79999999999995</v>
      </c>
      <c r="I51" s="55">
        <v>3138.8</v>
      </c>
      <c r="J51" s="55">
        <v>4565.3999999999996</v>
      </c>
      <c r="L51" s="24"/>
      <c r="M51" s="24"/>
      <c r="N51" s="24"/>
      <c r="O51" s="24"/>
      <c r="P51" s="24"/>
      <c r="Q51" s="24"/>
      <c r="R51" s="24"/>
      <c r="S51" s="24"/>
    </row>
    <row r="52" spans="1:19" s="62" customFormat="1" x14ac:dyDescent="0.35">
      <c r="A52" s="27"/>
      <c r="B52" s="51"/>
      <c r="C52" s="59"/>
      <c r="D52" s="59"/>
      <c r="E52" s="60"/>
      <c r="F52" s="60"/>
      <c r="G52" s="61"/>
      <c r="H52" s="61"/>
      <c r="I52" s="61"/>
      <c r="J52" s="61"/>
    </row>
    <row r="53" spans="1:19" s="28" customFormat="1" ht="12.5" x14ac:dyDescent="0.35">
      <c r="A53" s="27"/>
      <c r="H53" s="43"/>
    </row>
    <row r="54" spans="1:19" s="28" customFormat="1" ht="12.5" x14ac:dyDescent="0.35">
      <c r="A54" s="27"/>
      <c r="B54" s="63" t="s">
        <v>71</v>
      </c>
      <c r="D54" s="43"/>
      <c r="E54" s="43"/>
    </row>
    <row r="55" spans="1:19" x14ac:dyDescent="0.35">
      <c r="I55" s="59"/>
      <c r="J55" s="59"/>
    </row>
    <row r="56" spans="1:19" x14ac:dyDescent="0.35">
      <c r="H56" s="59"/>
    </row>
  </sheetData>
  <mergeCells count="1">
    <mergeCell ref="B1:J1"/>
  </mergeCells>
  <printOptions horizontalCentered="1" verticalCentered="1"/>
  <pageMargins left="0.43" right="0.46" top="0.33" bottom="0.25" header="0.31" footer="0.51181102362204722"/>
  <pageSetup paperSize="9" scale="7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tabColor theme="4"/>
    <pageSetUpPr fitToPage="1"/>
  </sheetPr>
  <dimension ref="A1:R56"/>
  <sheetViews>
    <sheetView showGridLines="0" zoomScale="85" zoomScaleNormal="85" workbookViewId="0">
      <pane xSplit="2" ySplit="2" topLeftCell="C12" activePane="bottomRight" state="frozen"/>
      <selection activeCell="A4" sqref="A4:H4"/>
      <selection pane="topRight" activeCell="A4" sqref="A4:H4"/>
      <selection pane="bottomLeft" activeCell="A4" sqref="A4:H4"/>
      <selection pane="bottomRight" activeCell="A4" sqref="A4:H4"/>
    </sheetView>
  </sheetViews>
  <sheetFormatPr defaultColWidth="9.1796875" defaultRowHeight="15.5" x14ac:dyDescent="0.35"/>
  <cols>
    <col min="1" max="1" width="3.453125" style="27" hidden="1" customWidth="1"/>
    <col min="2" max="2" width="22.7265625" style="51" customWidth="1"/>
    <col min="3" max="6" width="13" style="51" customWidth="1"/>
    <col min="7" max="8" width="13.54296875" style="51" customWidth="1"/>
    <col min="9" max="16384" width="9.1796875" style="51"/>
  </cols>
  <sheetData>
    <row r="1" spans="1:18" ht="39.75" customHeight="1" x14ac:dyDescent="0.35">
      <c r="B1" s="152"/>
      <c r="C1" s="153"/>
      <c r="D1" s="153"/>
      <c r="E1" s="153"/>
      <c r="F1" s="153"/>
      <c r="G1" s="153"/>
      <c r="H1" s="154"/>
    </row>
    <row r="2" spans="1:18" ht="50.15" customHeight="1" x14ac:dyDescent="0.35">
      <c r="B2" s="52"/>
      <c r="C2" s="21" t="s">
        <v>74</v>
      </c>
      <c r="D2" s="21" t="s">
        <v>75</v>
      </c>
      <c r="E2" s="21" t="s">
        <v>76</v>
      </c>
      <c r="F2" s="21" t="s">
        <v>77</v>
      </c>
      <c r="G2" s="21" t="s">
        <v>116</v>
      </c>
      <c r="H2" s="22" t="s">
        <v>1</v>
      </c>
    </row>
    <row r="3" spans="1:18" s="20" customFormat="1" ht="26.25" customHeight="1" x14ac:dyDescent="0.35">
      <c r="A3" s="25"/>
      <c r="B3" s="23" t="s">
        <v>80</v>
      </c>
      <c r="C3" s="53">
        <f t="shared" ref="C3:H3" si="0">C4+C44</f>
        <v>0</v>
      </c>
      <c r="D3" s="53">
        <f t="shared" si="0"/>
        <v>24.5</v>
      </c>
      <c r="E3" s="53">
        <f t="shared" si="0"/>
        <v>810.10666666666668</v>
      </c>
      <c r="F3" s="53">
        <f t="shared" si="0"/>
        <v>1797.3266666666671</v>
      </c>
      <c r="G3" s="53">
        <f t="shared" si="0"/>
        <v>7033.4750952380964</v>
      </c>
      <c r="H3" s="53">
        <f t="shared" si="0"/>
        <v>9665.4084285714289</v>
      </c>
      <c r="I3" s="24"/>
      <c r="J3" s="24"/>
      <c r="K3" s="24"/>
      <c r="L3" s="24"/>
      <c r="M3" s="24"/>
      <c r="N3" s="24"/>
      <c r="O3" s="24"/>
      <c r="P3" s="24"/>
      <c r="Q3" s="24"/>
      <c r="R3" s="24"/>
    </row>
    <row r="4" spans="1:18" s="23" customFormat="1" ht="26.25" customHeight="1" x14ac:dyDescent="0.35">
      <c r="A4" s="25"/>
      <c r="B4" s="23" t="s">
        <v>55</v>
      </c>
      <c r="C4" s="54">
        <f t="shared" ref="C4:H4" si="1">SUM(C5:C43)</f>
        <v>0</v>
      </c>
      <c r="D4" s="54">
        <f t="shared" si="1"/>
        <v>24.5</v>
      </c>
      <c r="E4" s="54">
        <f t="shared" si="1"/>
        <v>767.53666666666663</v>
      </c>
      <c r="F4" s="54">
        <f t="shared" si="1"/>
        <v>1769.666666666667</v>
      </c>
      <c r="G4" s="54">
        <f t="shared" si="1"/>
        <v>6860.2336666666679</v>
      </c>
      <c r="H4" s="54">
        <f t="shared" si="1"/>
        <v>9421.9369999999999</v>
      </c>
      <c r="J4" s="24"/>
      <c r="K4" s="24"/>
      <c r="L4" s="24"/>
      <c r="M4" s="24"/>
      <c r="N4" s="24"/>
      <c r="O4" s="24"/>
      <c r="P4" s="24"/>
      <c r="Q4" s="24"/>
    </row>
    <row r="5" spans="1:18" s="28" customFormat="1" ht="14" x14ac:dyDescent="0.35">
      <c r="A5" s="27">
        <v>51</v>
      </c>
      <c r="B5" s="28" t="s">
        <v>7</v>
      </c>
      <c r="C5" s="55">
        <v>0</v>
      </c>
      <c r="D5" s="55">
        <v>0</v>
      </c>
      <c r="E5" s="55">
        <v>8.4499999999999993</v>
      </c>
      <c r="F5" s="55">
        <v>26.9</v>
      </c>
      <c r="G5" s="55">
        <v>107.25</v>
      </c>
      <c r="H5" s="55">
        <v>142.6</v>
      </c>
      <c r="J5" s="24"/>
      <c r="K5" s="24"/>
      <c r="L5" s="24"/>
      <c r="M5" s="24"/>
      <c r="N5" s="24"/>
      <c r="O5" s="24"/>
      <c r="P5" s="24"/>
      <c r="Q5" s="24"/>
    </row>
    <row r="6" spans="1:18" s="28" customFormat="1" ht="14" x14ac:dyDescent="0.35">
      <c r="A6" s="27">
        <v>52</v>
      </c>
      <c r="B6" s="28" t="s">
        <v>8</v>
      </c>
      <c r="C6" s="55">
        <v>0</v>
      </c>
      <c r="D6" s="55">
        <v>0</v>
      </c>
      <c r="E6" s="55">
        <v>9</v>
      </c>
      <c r="F6" s="55">
        <v>14.75</v>
      </c>
      <c r="G6" s="55">
        <v>86</v>
      </c>
      <c r="H6" s="55">
        <v>109.75</v>
      </c>
      <c r="J6" s="24"/>
      <c r="K6" s="24"/>
      <c r="L6" s="24"/>
      <c r="M6" s="24"/>
      <c r="N6" s="24"/>
      <c r="O6" s="24"/>
      <c r="P6" s="24"/>
      <c r="Q6" s="24"/>
    </row>
    <row r="7" spans="1:18" s="28" customFormat="1" ht="14" x14ac:dyDescent="0.35">
      <c r="A7" s="27">
        <v>86</v>
      </c>
      <c r="B7" s="28" t="s">
        <v>9</v>
      </c>
      <c r="C7" s="55">
        <v>0</v>
      </c>
      <c r="D7" s="55">
        <v>0</v>
      </c>
      <c r="E7" s="55">
        <v>5</v>
      </c>
      <c r="F7" s="55">
        <v>10</v>
      </c>
      <c r="G7" s="55">
        <v>36</v>
      </c>
      <c r="H7" s="55">
        <v>51</v>
      </c>
      <c r="J7" s="24"/>
      <c r="K7" s="24"/>
      <c r="L7" s="24"/>
      <c r="M7" s="24"/>
      <c r="N7" s="24"/>
      <c r="O7" s="24"/>
      <c r="P7" s="24"/>
      <c r="Q7" s="24"/>
    </row>
    <row r="8" spans="1:18" s="28" customFormat="1" ht="14" x14ac:dyDescent="0.35">
      <c r="A8" s="27">
        <v>53</v>
      </c>
      <c r="B8" s="28" t="s">
        <v>10</v>
      </c>
      <c r="C8" s="55">
        <v>0</v>
      </c>
      <c r="D8" s="55">
        <v>0</v>
      </c>
      <c r="E8" s="55">
        <v>6.25</v>
      </c>
      <c r="F8" s="55">
        <v>18.920000000000002</v>
      </c>
      <c r="G8" s="55">
        <v>75.5</v>
      </c>
      <c r="H8" s="55">
        <v>100.67</v>
      </c>
      <c r="J8" s="24"/>
      <c r="K8" s="24"/>
      <c r="L8" s="24"/>
      <c r="M8" s="24"/>
      <c r="N8" s="24"/>
      <c r="O8" s="24"/>
      <c r="P8" s="24"/>
      <c r="Q8" s="24"/>
    </row>
    <row r="9" spans="1:18" s="28" customFormat="1" ht="14" x14ac:dyDescent="0.35">
      <c r="A9" s="27">
        <v>54</v>
      </c>
      <c r="B9" s="28" t="s">
        <v>11</v>
      </c>
      <c r="C9" s="55">
        <v>0</v>
      </c>
      <c r="D9" s="55">
        <v>0</v>
      </c>
      <c r="E9" s="55">
        <v>14.83</v>
      </c>
      <c r="F9" s="55">
        <v>28.53</v>
      </c>
      <c r="G9" s="55">
        <v>84.55</v>
      </c>
      <c r="H9" s="55">
        <v>127.91</v>
      </c>
      <c r="J9" s="24"/>
      <c r="K9" s="24"/>
      <c r="L9" s="24"/>
      <c r="M9" s="24"/>
      <c r="N9" s="24"/>
      <c r="O9" s="24"/>
      <c r="P9" s="24"/>
      <c r="Q9" s="24"/>
    </row>
    <row r="10" spans="1:18" s="28" customFormat="1" ht="14" x14ac:dyDescent="0.35">
      <c r="A10" s="27">
        <v>55</v>
      </c>
      <c r="B10" s="28" t="s">
        <v>12</v>
      </c>
      <c r="C10" s="55">
        <v>0</v>
      </c>
      <c r="D10" s="55">
        <v>0</v>
      </c>
      <c r="E10" s="55">
        <v>10.54</v>
      </c>
      <c r="F10" s="55">
        <v>30.19</v>
      </c>
      <c r="G10" s="55">
        <v>123.83</v>
      </c>
      <c r="H10" s="55">
        <v>164.56</v>
      </c>
      <c r="J10" s="24"/>
      <c r="K10" s="24"/>
      <c r="L10" s="24"/>
      <c r="M10" s="24"/>
      <c r="N10" s="24"/>
      <c r="O10" s="24"/>
      <c r="P10" s="24"/>
      <c r="Q10" s="24"/>
    </row>
    <row r="11" spans="1:18" s="28" customFormat="1" ht="14" x14ac:dyDescent="0.35">
      <c r="A11" s="27">
        <v>56</v>
      </c>
      <c r="B11" s="28" t="s">
        <v>13</v>
      </c>
      <c r="C11" s="55">
        <v>0</v>
      </c>
      <c r="D11" s="55">
        <v>0</v>
      </c>
      <c r="E11" s="55">
        <v>6</v>
      </c>
      <c r="F11" s="55">
        <v>13.5</v>
      </c>
      <c r="G11" s="55">
        <v>72</v>
      </c>
      <c r="H11" s="55">
        <v>91.5</v>
      </c>
      <c r="J11" s="24"/>
      <c r="K11" s="24"/>
      <c r="L11" s="24"/>
      <c r="M11" s="24"/>
      <c r="N11" s="24"/>
      <c r="O11" s="24"/>
      <c r="P11" s="24"/>
      <c r="Q11" s="24"/>
    </row>
    <row r="12" spans="1:18" s="28" customFormat="1" ht="14" x14ac:dyDescent="0.35">
      <c r="A12" s="27">
        <v>57</v>
      </c>
      <c r="B12" s="28" t="s">
        <v>14</v>
      </c>
      <c r="C12" s="55">
        <v>0</v>
      </c>
      <c r="D12" s="55">
        <v>15.75</v>
      </c>
      <c r="E12" s="55">
        <v>26.75</v>
      </c>
      <c r="F12" s="55">
        <v>44.5</v>
      </c>
      <c r="G12" s="55">
        <v>279.64999999999998</v>
      </c>
      <c r="H12" s="55">
        <v>366.65</v>
      </c>
      <c r="J12" s="24"/>
      <c r="K12" s="24"/>
      <c r="L12" s="24"/>
      <c r="M12" s="24"/>
      <c r="N12" s="24"/>
      <c r="O12" s="24"/>
      <c r="P12" s="24"/>
      <c r="Q12" s="24"/>
    </row>
    <row r="13" spans="1:18" s="28" customFormat="1" ht="14" x14ac:dyDescent="0.35">
      <c r="A13" s="27">
        <v>59</v>
      </c>
      <c r="B13" s="28" t="s">
        <v>15</v>
      </c>
      <c r="C13" s="55">
        <v>0</v>
      </c>
      <c r="D13" s="55">
        <v>0</v>
      </c>
      <c r="E13" s="55">
        <v>9.08</v>
      </c>
      <c r="F13" s="55">
        <v>67</v>
      </c>
      <c r="G13" s="55">
        <v>244</v>
      </c>
      <c r="H13" s="55">
        <v>320.08</v>
      </c>
      <c r="J13" s="24"/>
      <c r="K13" s="24"/>
      <c r="L13" s="24"/>
      <c r="M13" s="24"/>
      <c r="N13" s="24"/>
      <c r="O13" s="24"/>
      <c r="P13" s="24"/>
      <c r="Q13" s="24"/>
    </row>
    <row r="14" spans="1:18" s="28" customFormat="1" ht="14" x14ac:dyDescent="0.35">
      <c r="A14" s="27">
        <v>60</v>
      </c>
      <c r="B14" s="28" t="s">
        <v>16</v>
      </c>
      <c r="C14" s="55">
        <v>0</v>
      </c>
      <c r="D14" s="55">
        <v>0</v>
      </c>
      <c r="E14" s="55">
        <v>22</v>
      </c>
      <c r="F14" s="55">
        <v>42</v>
      </c>
      <c r="G14" s="55">
        <v>152</v>
      </c>
      <c r="H14" s="55">
        <v>216</v>
      </c>
      <c r="J14" s="24"/>
      <c r="K14" s="24"/>
      <c r="L14" s="24"/>
      <c r="M14" s="24"/>
      <c r="N14" s="24"/>
      <c r="O14" s="24"/>
      <c r="P14" s="24"/>
      <c r="Q14" s="24"/>
    </row>
    <row r="15" spans="1:18" s="28" customFormat="1" ht="14" x14ac:dyDescent="0.35">
      <c r="A15" s="27">
        <v>61</v>
      </c>
      <c r="B15" s="29" t="s">
        <v>56</v>
      </c>
      <c r="C15" s="55">
        <v>0</v>
      </c>
      <c r="D15" s="55">
        <v>0</v>
      </c>
      <c r="E15" s="55">
        <v>78.75</v>
      </c>
      <c r="F15" s="55">
        <v>183.05</v>
      </c>
      <c r="G15" s="55">
        <v>702.46</v>
      </c>
      <c r="H15" s="55">
        <v>964.26</v>
      </c>
      <c r="J15" s="24"/>
      <c r="K15" s="24"/>
      <c r="L15" s="24"/>
      <c r="M15" s="24"/>
      <c r="N15" s="24"/>
      <c r="O15" s="24"/>
      <c r="P15" s="24"/>
      <c r="Q15" s="24"/>
    </row>
    <row r="16" spans="1:18" s="28" customFormat="1" ht="14" x14ac:dyDescent="0.35">
      <c r="A16" s="27">
        <v>62</v>
      </c>
      <c r="B16" s="28" t="s">
        <v>115</v>
      </c>
      <c r="C16" s="55">
        <v>0</v>
      </c>
      <c r="D16" s="55">
        <v>0</v>
      </c>
      <c r="E16" s="55">
        <v>58.6</v>
      </c>
      <c r="F16" s="55">
        <v>93.05</v>
      </c>
      <c r="G16" s="55">
        <v>344.017</v>
      </c>
      <c r="H16" s="55">
        <v>495.66700000000003</v>
      </c>
      <c r="J16" s="24"/>
      <c r="K16" s="24"/>
      <c r="L16" s="24"/>
      <c r="M16" s="24"/>
      <c r="N16" s="24"/>
      <c r="O16" s="24"/>
      <c r="P16" s="24"/>
      <c r="Q16" s="24"/>
    </row>
    <row r="17" spans="1:17" s="28" customFormat="1" ht="14" x14ac:dyDescent="0.35">
      <c r="A17" s="27">
        <v>58</v>
      </c>
      <c r="B17" s="28" t="s">
        <v>19</v>
      </c>
      <c r="C17" s="55">
        <v>0</v>
      </c>
      <c r="D17" s="55">
        <v>0</v>
      </c>
      <c r="E17" s="55">
        <v>12</v>
      </c>
      <c r="F17" s="55">
        <v>30</v>
      </c>
      <c r="G17" s="55">
        <v>110</v>
      </c>
      <c r="H17" s="55">
        <v>152</v>
      </c>
      <c r="J17" s="24"/>
      <c r="K17" s="24"/>
      <c r="L17" s="24"/>
      <c r="M17" s="24"/>
      <c r="N17" s="24"/>
      <c r="O17" s="24"/>
      <c r="P17" s="24"/>
      <c r="Q17" s="24"/>
    </row>
    <row r="18" spans="1:17" s="28" customFormat="1" ht="14" x14ac:dyDescent="0.35">
      <c r="A18" s="27">
        <v>63</v>
      </c>
      <c r="B18" s="28" t="s">
        <v>20</v>
      </c>
      <c r="C18" s="55">
        <v>0</v>
      </c>
      <c r="D18" s="55">
        <v>0</v>
      </c>
      <c r="E18" s="55">
        <v>14</v>
      </c>
      <c r="F18" s="55">
        <v>32.82</v>
      </c>
      <c r="G18" s="55">
        <v>149</v>
      </c>
      <c r="H18" s="55">
        <v>195.82</v>
      </c>
      <c r="J18" s="24"/>
      <c r="K18" s="24"/>
      <c r="L18" s="24"/>
      <c r="M18" s="24"/>
      <c r="N18" s="24"/>
      <c r="O18" s="24"/>
      <c r="P18" s="24"/>
      <c r="Q18" s="24"/>
    </row>
    <row r="19" spans="1:17" s="28" customFormat="1" ht="14" x14ac:dyDescent="0.35">
      <c r="A19" s="27">
        <v>64</v>
      </c>
      <c r="B19" s="28" t="s">
        <v>21</v>
      </c>
      <c r="C19" s="55">
        <v>0</v>
      </c>
      <c r="D19" s="55">
        <v>5.5</v>
      </c>
      <c r="E19" s="55">
        <v>25.75</v>
      </c>
      <c r="F19" s="55">
        <v>72.25</v>
      </c>
      <c r="G19" s="55">
        <v>301.25</v>
      </c>
      <c r="H19" s="55">
        <v>404.75</v>
      </c>
      <c r="J19" s="24"/>
      <c r="K19" s="24"/>
      <c r="L19" s="24"/>
      <c r="M19" s="24"/>
      <c r="N19" s="24"/>
      <c r="O19" s="24"/>
      <c r="P19" s="24"/>
      <c r="Q19" s="24"/>
    </row>
    <row r="20" spans="1:17" s="28" customFormat="1" ht="14" x14ac:dyDescent="0.35">
      <c r="A20" s="27">
        <v>65</v>
      </c>
      <c r="B20" s="28" t="s">
        <v>22</v>
      </c>
      <c r="C20" s="55">
        <v>0</v>
      </c>
      <c r="D20" s="55">
        <v>0</v>
      </c>
      <c r="E20" s="55">
        <v>15</v>
      </c>
      <c r="F20" s="55">
        <v>34.15</v>
      </c>
      <c r="G20" s="55">
        <v>130.80000000000001</v>
      </c>
      <c r="H20" s="55">
        <v>179.95000000000002</v>
      </c>
      <c r="J20" s="24"/>
      <c r="K20" s="24"/>
      <c r="L20" s="24"/>
      <c r="M20" s="24"/>
      <c r="N20" s="24"/>
      <c r="O20" s="24"/>
      <c r="P20" s="24"/>
      <c r="Q20" s="24"/>
    </row>
    <row r="21" spans="1:17" s="28" customFormat="1" ht="14" x14ac:dyDescent="0.35">
      <c r="A21" s="27">
        <v>67</v>
      </c>
      <c r="B21" s="28" t="s">
        <v>25</v>
      </c>
      <c r="C21" s="55">
        <v>0</v>
      </c>
      <c r="D21" s="55">
        <v>2.25</v>
      </c>
      <c r="E21" s="55">
        <v>39.880000000000003</v>
      </c>
      <c r="F21" s="55">
        <v>77.88</v>
      </c>
      <c r="G21" s="55">
        <v>375.46</v>
      </c>
      <c r="H21" s="55">
        <v>495.46999999999997</v>
      </c>
      <c r="J21" s="24"/>
      <c r="K21" s="24"/>
      <c r="L21" s="24"/>
      <c r="M21" s="24"/>
      <c r="N21" s="24"/>
      <c r="O21" s="24"/>
      <c r="P21" s="24"/>
      <c r="Q21" s="24"/>
    </row>
    <row r="22" spans="1:17" s="28" customFormat="1" ht="14" x14ac:dyDescent="0.35">
      <c r="A22" s="27">
        <v>68</v>
      </c>
      <c r="B22" s="28" t="s">
        <v>57</v>
      </c>
      <c r="C22" s="55">
        <v>0</v>
      </c>
      <c r="D22" s="55">
        <v>0</v>
      </c>
      <c r="E22" s="55">
        <v>15.13</v>
      </c>
      <c r="F22" s="55">
        <v>48.92</v>
      </c>
      <c r="G22" s="55">
        <v>161</v>
      </c>
      <c r="H22" s="55">
        <v>225.05</v>
      </c>
      <c r="J22" s="24"/>
      <c r="K22" s="24"/>
      <c r="L22" s="24"/>
      <c r="M22" s="24"/>
      <c r="N22" s="24"/>
      <c r="O22" s="24"/>
      <c r="P22" s="24"/>
      <c r="Q22" s="24"/>
    </row>
    <row r="23" spans="1:17" s="28" customFormat="1" ht="14" x14ac:dyDescent="0.35">
      <c r="A23" s="27">
        <v>69</v>
      </c>
      <c r="B23" s="28" t="s">
        <v>27</v>
      </c>
      <c r="C23" s="55">
        <v>0</v>
      </c>
      <c r="D23" s="55">
        <v>0</v>
      </c>
      <c r="E23" s="55">
        <v>6.5</v>
      </c>
      <c r="F23" s="55">
        <v>32</v>
      </c>
      <c r="G23" s="55">
        <v>123.3</v>
      </c>
      <c r="H23" s="55">
        <v>161.80000000000001</v>
      </c>
      <c r="J23" s="24"/>
      <c r="K23" s="24"/>
      <c r="L23" s="24"/>
      <c r="M23" s="24"/>
      <c r="N23" s="24"/>
      <c r="O23" s="24"/>
      <c r="P23" s="24"/>
      <c r="Q23" s="24"/>
    </row>
    <row r="24" spans="1:17" s="28" customFormat="1" ht="14" x14ac:dyDescent="0.35">
      <c r="A24" s="27">
        <v>70</v>
      </c>
      <c r="B24" s="28" t="s">
        <v>28</v>
      </c>
      <c r="C24" s="55">
        <v>0</v>
      </c>
      <c r="D24" s="55">
        <v>0</v>
      </c>
      <c r="E24" s="55">
        <v>20</v>
      </c>
      <c r="F24" s="55">
        <v>60</v>
      </c>
      <c r="G24" s="55">
        <v>260</v>
      </c>
      <c r="H24" s="55">
        <v>340</v>
      </c>
      <c r="J24" s="24"/>
      <c r="K24" s="24"/>
      <c r="L24" s="24"/>
      <c r="M24" s="24"/>
      <c r="N24" s="24"/>
      <c r="O24" s="24"/>
      <c r="P24" s="24"/>
      <c r="Q24" s="24"/>
    </row>
    <row r="25" spans="1:17" s="28" customFormat="1" ht="14" x14ac:dyDescent="0.35">
      <c r="A25" s="27">
        <v>71</v>
      </c>
      <c r="B25" s="28" t="s">
        <v>58</v>
      </c>
      <c r="C25" s="55">
        <v>0</v>
      </c>
      <c r="D25" s="55">
        <v>0</v>
      </c>
      <c r="E25" s="55">
        <v>8.1999999999999993</v>
      </c>
      <c r="F25" s="55">
        <v>18.399999999999999</v>
      </c>
      <c r="G25" s="55">
        <v>53.41</v>
      </c>
      <c r="H25" s="55">
        <v>80.009999999999991</v>
      </c>
      <c r="J25" s="24"/>
      <c r="K25" s="24"/>
      <c r="L25" s="24"/>
      <c r="M25" s="24"/>
      <c r="N25" s="24"/>
      <c r="O25" s="24"/>
      <c r="P25" s="24"/>
      <c r="Q25" s="24"/>
    </row>
    <row r="26" spans="1:17" s="28" customFormat="1" ht="14" x14ac:dyDescent="0.35">
      <c r="A26" s="27">
        <v>73</v>
      </c>
      <c r="B26" s="28" t="s">
        <v>31</v>
      </c>
      <c r="C26" s="55">
        <v>0</v>
      </c>
      <c r="D26" s="55">
        <v>0</v>
      </c>
      <c r="E26" s="55">
        <v>29</v>
      </c>
      <c r="F26" s="55">
        <v>77</v>
      </c>
      <c r="G26" s="55">
        <v>343</v>
      </c>
      <c r="H26" s="55">
        <v>449</v>
      </c>
      <c r="J26" s="24"/>
      <c r="K26" s="24"/>
      <c r="L26" s="24"/>
      <c r="M26" s="24"/>
      <c r="N26" s="24"/>
      <c r="O26" s="24"/>
      <c r="P26" s="24"/>
      <c r="Q26" s="24"/>
    </row>
    <row r="27" spans="1:17" s="28" customFormat="1" ht="14" x14ac:dyDescent="0.35">
      <c r="A27" s="27">
        <v>74</v>
      </c>
      <c r="B27" s="28" t="s">
        <v>32</v>
      </c>
      <c r="C27" s="55">
        <v>0</v>
      </c>
      <c r="D27" s="55">
        <v>0</v>
      </c>
      <c r="E27" s="55">
        <v>22.6</v>
      </c>
      <c r="F27" s="55">
        <v>71.400000000000006</v>
      </c>
      <c r="G27" s="55">
        <v>163.19999999999999</v>
      </c>
      <c r="H27" s="55">
        <v>257.2</v>
      </c>
      <c r="J27" s="24"/>
      <c r="K27" s="24"/>
      <c r="L27" s="24"/>
      <c r="M27" s="24"/>
      <c r="N27" s="24"/>
      <c r="O27" s="24"/>
      <c r="P27" s="24"/>
      <c r="Q27" s="24"/>
    </row>
    <row r="28" spans="1:17" s="28" customFormat="1" ht="14" x14ac:dyDescent="0.35">
      <c r="A28" s="27">
        <v>75</v>
      </c>
      <c r="B28" s="28" t="s">
        <v>33</v>
      </c>
      <c r="C28" s="55">
        <v>0</v>
      </c>
      <c r="D28" s="55">
        <v>0</v>
      </c>
      <c r="E28" s="55">
        <v>11</v>
      </c>
      <c r="F28" s="55">
        <v>21</v>
      </c>
      <c r="G28" s="55">
        <v>96</v>
      </c>
      <c r="H28" s="55">
        <v>128</v>
      </c>
      <c r="J28" s="24"/>
      <c r="K28" s="24"/>
      <c r="L28" s="24"/>
      <c r="M28" s="24"/>
      <c r="N28" s="24"/>
      <c r="O28" s="24"/>
      <c r="P28" s="24"/>
      <c r="Q28" s="24"/>
    </row>
    <row r="29" spans="1:17" s="28" customFormat="1" ht="14" x14ac:dyDescent="0.35">
      <c r="A29" s="27">
        <v>76</v>
      </c>
      <c r="B29" s="28" t="s">
        <v>34</v>
      </c>
      <c r="C29" s="55">
        <v>0</v>
      </c>
      <c r="D29" s="55">
        <v>0</v>
      </c>
      <c r="E29" s="55">
        <v>42.44</v>
      </c>
      <c r="F29" s="55">
        <v>73.38</v>
      </c>
      <c r="G29" s="55">
        <v>286.61</v>
      </c>
      <c r="H29" s="55">
        <v>402.43</v>
      </c>
      <c r="J29" s="24"/>
      <c r="K29" s="24"/>
      <c r="L29" s="24"/>
      <c r="M29" s="24"/>
      <c r="N29" s="24"/>
      <c r="O29" s="24"/>
      <c r="P29" s="24"/>
      <c r="Q29" s="24"/>
    </row>
    <row r="30" spans="1:17" s="28" customFormat="1" ht="14" x14ac:dyDescent="0.35">
      <c r="A30" s="27">
        <v>79</v>
      </c>
      <c r="B30" s="28" t="s">
        <v>36</v>
      </c>
      <c r="C30" s="55">
        <v>0</v>
      </c>
      <c r="D30" s="55">
        <v>0</v>
      </c>
      <c r="E30" s="55">
        <v>39.5</v>
      </c>
      <c r="F30" s="55">
        <v>78</v>
      </c>
      <c r="G30" s="55">
        <v>321.25</v>
      </c>
      <c r="H30" s="55">
        <v>438.75</v>
      </c>
      <c r="J30" s="24"/>
      <c r="K30" s="24"/>
      <c r="L30" s="24"/>
      <c r="M30" s="24"/>
      <c r="N30" s="24"/>
      <c r="O30" s="24"/>
      <c r="P30" s="24"/>
      <c r="Q30" s="24"/>
    </row>
    <row r="31" spans="1:17" s="28" customFormat="1" ht="14" x14ac:dyDescent="0.35">
      <c r="A31" s="27"/>
      <c r="B31" s="67" t="s">
        <v>81</v>
      </c>
      <c r="C31" s="55">
        <v>0</v>
      </c>
      <c r="D31" s="55">
        <v>0</v>
      </c>
      <c r="E31" s="55">
        <v>0</v>
      </c>
      <c r="F31" s="55">
        <v>0</v>
      </c>
      <c r="G31" s="55">
        <v>0</v>
      </c>
      <c r="H31" s="55">
        <v>0</v>
      </c>
      <c r="J31" s="24"/>
      <c r="K31" s="24"/>
      <c r="L31" s="24"/>
      <c r="M31" s="24"/>
      <c r="N31" s="24"/>
      <c r="O31" s="24"/>
      <c r="P31" s="24"/>
      <c r="Q31" s="24"/>
    </row>
    <row r="32" spans="1:17" s="28" customFormat="1" ht="14" x14ac:dyDescent="0.35">
      <c r="A32" s="27">
        <v>80</v>
      </c>
      <c r="B32" s="28" t="s">
        <v>38</v>
      </c>
      <c r="C32" s="55">
        <v>0</v>
      </c>
      <c r="D32" s="55">
        <v>0</v>
      </c>
      <c r="E32" s="55">
        <v>29</v>
      </c>
      <c r="F32" s="55">
        <v>59</v>
      </c>
      <c r="G32" s="55">
        <v>212</v>
      </c>
      <c r="H32" s="55">
        <v>300</v>
      </c>
      <c r="J32" s="24"/>
      <c r="K32" s="24"/>
      <c r="L32" s="24"/>
      <c r="M32" s="24"/>
      <c r="N32" s="24"/>
      <c r="O32" s="24"/>
      <c r="P32" s="24"/>
      <c r="Q32" s="24"/>
    </row>
    <row r="33" spans="1:17" s="28" customFormat="1" ht="14" x14ac:dyDescent="0.35">
      <c r="A33" s="27">
        <v>81</v>
      </c>
      <c r="B33" s="28" t="s">
        <v>39</v>
      </c>
      <c r="C33" s="55">
        <v>0</v>
      </c>
      <c r="D33" s="55">
        <v>0</v>
      </c>
      <c r="E33" s="55">
        <v>7.5</v>
      </c>
      <c r="F33" s="55">
        <v>25</v>
      </c>
      <c r="G33" s="55">
        <v>116.75</v>
      </c>
      <c r="H33" s="55">
        <v>149.25</v>
      </c>
      <c r="J33" s="24"/>
      <c r="K33" s="24"/>
      <c r="L33" s="24"/>
      <c r="M33" s="24"/>
      <c r="N33" s="24"/>
      <c r="O33" s="24"/>
      <c r="P33" s="24"/>
      <c r="Q33" s="24"/>
    </row>
    <row r="34" spans="1:17" s="28" customFormat="1" ht="14" x14ac:dyDescent="0.35">
      <c r="A34" s="27">
        <v>83</v>
      </c>
      <c r="B34" s="28" t="s">
        <v>40</v>
      </c>
      <c r="C34" s="55">
        <v>0</v>
      </c>
      <c r="D34" s="55">
        <v>0</v>
      </c>
      <c r="E34" s="55">
        <v>11.7</v>
      </c>
      <c r="F34" s="55">
        <v>27.41</v>
      </c>
      <c r="G34" s="55">
        <v>80.099999999999994</v>
      </c>
      <c r="H34" s="55">
        <v>119.21</v>
      </c>
      <c r="J34" s="24"/>
      <c r="K34" s="24"/>
      <c r="L34" s="24"/>
      <c r="M34" s="24"/>
      <c r="N34" s="24"/>
      <c r="O34" s="24"/>
      <c r="P34" s="24"/>
      <c r="Q34" s="24"/>
    </row>
    <row r="35" spans="1:17" s="28" customFormat="1" ht="14" x14ac:dyDescent="0.35">
      <c r="A35" s="27">
        <v>84</v>
      </c>
      <c r="B35" s="28" t="s">
        <v>41</v>
      </c>
      <c r="C35" s="55">
        <v>0</v>
      </c>
      <c r="D35" s="55">
        <v>0</v>
      </c>
      <c r="E35" s="55">
        <v>17</v>
      </c>
      <c r="F35" s="55">
        <v>21.5</v>
      </c>
      <c r="G35" s="55">
        <v>100.5</v>
      </c>
      <c r="H35" s="55">
        <v>139</v>
      </c>
      <c r="J35" s="24"/>
      <c r="K35" s="24"/>
      <c r="L35" s="24"/>
      <c r="M35" s="24"/>
      <c r="N35" s="24"/>
      <c r="O35" s="24"/>
      <c r="P35" s="24"/>
      <c r="Q35" s="24"/>
    </row>
    <row r="36" spans="1:17" s="28" customFormat="1" ht="14" x14ac:dyDescent="0.35">
      <c r="A36" s="27">
        <v>85</v>
      </c>
      <c r="B36" s="28" t="s">
        <v>42</v>
      </c>
      <c r="C36" s="55">
        <v>0</v>
      </c>
      <c r="D36" s="55">
        <v>0</v>
      </c>
      <c r="E36" s="55">
        <v>20</v>
      </c>
      <c r="F36" s="55">
        <v>44</v>
      </c>
      <c r="G36" s="55">
        <v>141.93</v>
      </c>
      <c r="H36" s="55">
        <v>205.93</v>
      </c>
      <c r="J36" s="24"/>
      <c r="K36" s="24"/>
      <c r="L36" s="24"/>
      <c r="M36" s="24"/>
      <c r="N36" s="24"/>
      <c r="O36" s="24"/>
      <c r="P36" s="24"/>
      <c r="Q36" s="24"/>
    </row>
    <row r="37" spans="1:17" s="28" customFormat="1" ht="14" x14ac:dyDescent="0.35">
      <c r="A37" s="27">
        <v>87</v>
      </c>
      <c r="B37" s="28" t="s">
        <v>43</v>
      </c>
      <c r="C37" s="55">
        <v>0</v>
      </c>
      <c r="D37" s="55">
        <v>0</v>
      </c>
      <c r="E37" s="55">
        <v>22</v>
      </c>
      <c r="F37" s="55">
        <v>62</v>
      </c>
      <c r="G37" s="55">
        <v>258</v>
      </c>
      <c r="H37" s="55">
        <v>342</v>
      </c>
      <c r="J37" s="24"/>
      <c r="K37" s="24"/>
      <c r="L37" s="24"/>
      <c r="M37" s="24"/>
      <c r="N37" s="24"/>
      <c r="O37" s="24"/>
      <c r="P37" s="24"/>
      <c r="Q37" s="24"/>
    </row>
    <row r="38" spans="1:17" s="28" customFormat="1" ht="14" x14ac:dyDescent="0.35">
      <c r="A38" s="27">
        <v>90</v>
      </c>
      <c r="B38" s="28" t="s">
        <v>45</v>
      </c>
      <c r="C38" s="55">
        <v>0</v>
      </c>
      <c r="D38" s="55">
        <v>0</v>
      </c>
      <c r="E38" s="55">
        <v>27</v>
      </c>
      <c r="F38" s="55">
        <v>69</v>
      </c>
      <c r="G38" s="55">
        <v>259</v>
      </c>
      <c r="H38" s="55">
        <v>355</v>
      </c>
      <c r="J38" s="24"/>
      <c r="K38" s="24"/>
      <c r="L38" s="24"/>
      <c r="M38" s="24"/>
      <c r="N38" s="24"/>
      <c r="O38" s="24"/>
      <c r="P38" s="24"/>
      <c r="Q38" s="24"/>
    </row>
    <row r="39" spans="1:17" s="28" customFormat="1" ht="14" x14ac:dyDescent="0.35">
      <c r="A39" s="27">
        <v>91</v>
      </c>
      <c r="B39" s="28" t="s">
        <v>46</v>
      </c>
      <c r="C39" s="55">
        <v>0</v>
      </c>
      <c r="D39" s="55">
        <v>0</v>
      </c>
      <c r="E39" s="55">
        <v>29.92</v>
      </c>
      <c r="F39" s="55">
        <v>71.25</v>
      </c>
      <c r="G39" s="55">
        <v>243</v>
      </c>
      <c r="H39" s="55">
        <v>344.17</v>
      </c>
      <c r="J39" s="24"/>
      <c r="K39" s="24"/>
      <c r="L39" s="24"/>
      <c r="M39" s="24"/>
      <c r="N39" s="24"/>
      <c r="O39" s="24"/>
      <c r="P39" s="24"/>
      <c r="Q39" s="24"/>
    </row>
    <row r="40" spans="1:17" s="28" customFormat="1" ht="14" x14ac:dyDescent="0.35">
      <c r="A40" s="27">
        <v>92</v>
      </c>
      <c r="B40" s="28" t="s">
        <v>47</v>
      </c>
      <c r="C40" s="55">
        <v>0</v>
      </c>
      <c r="D40" s="55">
        <v>0</v>
      </c>
      <c r="E40" s="55">
        <v>12.75</v>
      </c>
      <c r="F40" s="55">
        <v>15.75</v>
      </c>
      <c r="G40" s="55">
        <v>60.75</v>
      </c>
      <c r="H40" s="55">
        <v>89.25</v>
      </c>
      <c r="J40" s="24"/>
      <c r="K40" s="24"/>
      <c r="L40" s="24"/>
      <c r="M40" s="24"/>
      <c r="N40" s="24"/>
      <c r="O40" s="24"/>
      <c r="P40" s="24"/>
      <c r="Q40" s="24"/>
    </row>
    <row r="41" spans="1:17" s="28" customFormat="1" ht="14" x14ac:dyDescent="0.35">
      <c r="A41" s="27">
        <v>94</v>
      </c>
      <c r="B41" s="28" t="s">
        <v>49</v>
      </c>
      <c r="C41" s="55">
        <v>0</v>
      </c>
      <c r="D41" s="55">
        <v>0</v>
      </c>
      <c r="E41" s="55">
        <v>12.416666666666668</v>
      </c>
      <c r="F41" s="55">
        <v>14.166666666666666</v>
      </c>
      <c r="G41" s="55">
        <v>55.166666666666664</v>
      </c>
      <c r="H41" s="55">
        <v>81.75</v>
      </c>
      <c r="J41" s="24"/>
      <c r="K41" s="24"/>
      <c r="L41" s="24"/>
      <c r="M41" s="24"/>
      <c r="N41" s="24"/>
      <c r="O41" s="24"/>
      <c r="P41" s="24"/>
      <c r="Q41" s="24"/>
    </row>
    <row r="42" spans="1:17" s="28" customFormat="1" ht="14" x14ac:dyDescent="0.35">
      <c r="A42" s="27">
        <v>96</v>
      </c>
      <c r="B42" s="28" t="s">
        <v>51</v>
      </c>
      <c r="C42" s="55">
        <v>0</v>
      </c>
      <c r="D42" s="55">
        <v>0</v>
      </c>
      <c r="E42" s="55">
        <v>16</v>
      </c>
      <c r="F42" s="55">
        <v>55</v>
      </c>
      <c r="G42" s="55">
        <v>127.5</v>
      </c>
      <c r="H42" s="55">
        <v>198.5</v>
      </c>
      <c r="J42" s="24"/>
      <c r="K42" s="24"/>
      <c r="L42" s="24"/>
      <c r="M42" s="24"/>
      <c r="N42" s="24"/>
      <c r="O42" s="24"/>
      <c r="P42" s="24"/>
      <c r="Q42" s="24"/>
    </row>
    <row r="43" spans="1:17" s="28" customFormat="1" ht="14" x14ac:dyDescent="0.35">
      <c r="A43" s="27">
        <v>72</v>
      </c>
      <c r="B43" s="28" t="s">
        <v>30</v>
      </c>
      <c r="C43" s="55">
        <v>0</v>
      </c>
      <c r="D43" s="55">
        <v>1</v>
      </c>
      <c r="E43" s="55">
        <v>6</v>
      </c>
      <c r="F43" s="55">
        <v>6</v>
      </c>
      <c r="G43" s="55">
        <v>24</v>
      </c>
      <c r="H43" s="55">
        <v>37</v>
      </c>
      <c r="J43" s="24"/>
      <c r="K43" s="24"/>
      <c r="L43" s="24"/>
      <c r="M43" s="24"/>
      <c r="N43" s="24"/>
      <c r="O43" s="24"/>
      <c r="P43" s="24"/>
      <c r="Q43" s="24"/>
    </row>
    <row r="44" spans="1:17" s="23" customFormat="1" ht="26.25" customHeight="1" x14ac:dyDescent="0.35">
      <c r="A44" s="25"/>
      <c r="B44" s="23" t="s">
        <v>59</v>
      </c>
      <c r="C44" s="56">
        <f>SUM(C45:C51)</f>
        <v>0</v>
      </c>
      <c r="D44" s="56">
        <f t="shared" ref="D44:H44" si="2">SUM(D45:D51)</f>
        <v>0</v>
      </c>
      <c r="E44" s="56">
        <f t="shared" si="2"/>
        <v>42.57</v>
      </c>
      <c r="F44" s="56">
        <f t="shared" si="2"/>
        <v>27.66</v>
      </c>
      <c r="G44" s="56">
        <f t="shared" si="2"/>
        <v>173.24142857142857</v>
      </c>
      <c r="H44" s="56">
        <f t="shared" si="2"/>
        <v>243.47142857142859</v>
      </c>
      <c r="J44" s="24"/>
      <c r="K44" s="24"/>
      <c r="L44" s="24"/>
      <c r="M44" s="24"/>
      <c r="N44" s="24"/>
      <c r="O44" s="24"/>
      <c r="P44" s="24"/>
      <c r="Q44" s="24"/>
    </row>
    <row r="45" spans="1:17" s="28" customFormat="1" ht="14" x14ac:dyDescent="0.35">
      <c r="A45" s="27">
        <v>66</v>
      </c>
      <c r="B45" s="28" t="s">
        <v>24</v>
      </c>
      <c r="C45" s="55">
        <v>0</v>
      </c>
      <c r="D45" s="55">
        <v>0</v>
      </c>
      <c r="E45" s="55">
        <v>1</v>
      </c>
      <c r="F45" s="55">
        <v>0</v>
      </c>
      <c r="G45" s="55">
        <v>5.5714285714285712</v>
      </c>
      <c r="H45" s="55">
        <v>6.5714285714285712</v>
      </c>
      <c r="J45" s="24"/>
      <c r="K45" s="24"/>
      <c r="L45" s="24"/>
      <c r="M45" s="24"/>
      <c r="N45" s="24"/>
      <c r="O45" s="24"/>
      <c r="P45" s="24"/>
      <c r="Q45" s="24"/>
    </row>
    <row r="46" spans="1:17" s="28" customFormat="1" ht="14" x14ac:dyDescent="0.35">
      <c r="A46" s="27">
        <v>78</v>
      </c>
      <c r="B46" s="28" t="s">
        <v>35</v>
      </c>
      <c r="C46" s="55">
        <v>0</v>
      </c>
      <c r="D46" s="55">
        <v>0</v>
      </c>
      <c r="E46" s="55">
        <v>14.65</v>
      </c>
      <c r="F46" s="55">
        <v>0.7</v>
      </c>
      <c r="G46" s="55">
        <v>38.5</v>
      </c>
      <c r="H46" s="55">
        <v>53.85</v>
      </c>
      <c r="J46" s="24"/>
      <c r="K46" s="24"/>
      <c r="L46" s="24"/>
      <c r="M46" s="24"/>
      <c r="N46" s="24"/>
      <c r="O46" s="24"/>
      <c r="P46" s="24"/>
      <c r="Q46" s="24"/>
    </row>
    <row r="47" spans="1:17" s="28" customFormat="1" ht="14" x14ac:dyDescent="0.35">
      <c r="A47" s="27">
        <v>89</v>
      </c>
      <c r="B47" s="28" t="s">
        <v>44</v>
      </c>
      <c r="C47" s="55">
        <v>0</v>
      </c>
      <c r="D47" s="55">
        <v>0</v>
      </c>
      <c r="E47" s="55">
        <v>8</v>
      </c>
      <c r="F47" s="55">
        <v>14</v>
      </c>
      <c r="G47" s="55">
        <v>45</v>
      </c>
      <c r="H47" s="55">
        <v>67</v>
      </c>
      <c r="J47" s="24"/>
      <c r="K47" s="24"/>
      <c r="L47" s="24"/>
      <c r="M47" s="24"/>
      <c r="N47" s="24"/>
      <c r="O47" s="24"/>
      <c r="P47" s="24"/>
      <c r="Q47" s="24"/>
    </row>
    <row r="48" spans="1:17" s="28" customFormat="1" ht="14" x14ac:dyDescent="0.35">
      <c r="A48" s="27">
        <v>93</v>
      </c>
      <c r="B48" s="28" t="s">
        <v>60</v>
      </c>
      <c r="C48" s="55">
        <v>0</v>
      </c>
      <c r="D48" s="55">
        <v>0</v>
      </c>
      <c r="E48" s="55">
        <v>4.75</v>
      </c>
      <c r="F48" s="55">
        <v>3.5</v>
      </c>
      <c r="G48" s="55">
        <v>26.25</v>
      </c>
      <c r="H48" s="55">
        <v>34.5</v>
      </c>
      <c r="J48" s="24"/>
      <c r="K48" s="24"/>
      <c r="L48" s="24"/>
      <c r="M48" s="24"/>
      <c r="N48" s="24"/>
      <c r="O48" s="24"/>
      <c r="P48" s="24"/>
      <c r="Q48" s="24"/>
    </row>
    <row r="49" spans="1:17" s="28" customFormat="1" ht="14" x14ac:dyDescent="0.35">
      <c r="A49" s="27">
        <v>95</v>
      </c>
      <c r="B49" s="28" t="s">
        <v>50</v>
      </c>
      <c r="C49" s="55">
        <v>0</v>
      </c>
      <c r="D49" s="55">
        <v>0</v>
      </c>
      <c r="E49" s="55">
        <v>6</v>
      </c>
      <c r="F49" s="55">
        <v>0</v>
      </c>
      <c r="G49" s="55">
        <v>0</v>
      </c>
      <c r="H49" s="55">
        <v>6</v>
      </c>
      <c r="J49" s="24"/>
      <c r="K49" s="24"/>
      <c r="L49" s="24"/>
      <c r="M49" s="24"/>
      <c r="N49" s="24"/>
      <c r="O49" s="24"/>
      <c r="P49" s="24"/>
      <c r="Q49" s="24"/>
    </row>
    <row r="50" spans="1:17" s="28" customFormat="1" ht="14" x14ac:dyDescent="0.35">
      <c r="A50" s="27">
        <v>97</v>
      </c>
      <c r="B50" s="28" t="s">
        <v>52</v>
      </c>
      <c r="C50" s="55">
        <v>0</v>
      </c>
      <c r="D50" s="55">
        <v>0</v>
      </c>
      <c r="E50" s="55">
        <v>8.17</v>
      </c>
      <c r="F50" s="55">
        <v>9.4600000000000009</v>
      </c>
      <c r="G50" s="55">
        <v>57.92</v>
      </c>
      <c r="H50" s="55">
        <v>75.550000000000011</v>
      </c>
      <c r="J50" s="24"/>
      <c r="K50" s="24"/>
      <c r="L50" s="24"/>
      <c r="M50" s="24"/>
      <c r="N50" s="24"/>
      <c r="O50" s="24"/>
      <c r="P50" s="24"/>
      <c r="Q50" s="24"/>
    </row>
    <row r="51" spans="1:17" s="28" customFormat="1" ht="14" x14ac:dyDescent="0.35">
      <c r="A51" s="28">
        <v>77</v>
      </c>
      <c r="B51" s="42" t="s">
        <v>23</v>
      </c>
      <c r="C51" s="55">
        <v>0</v>
      </c>
      <c r="D51" s="55">
        <v>0</v>
      </c>
      <c r="E51" s="55">
        <v>0</v>
      </c>
      <c r="F51" s="55">
        <v>0</v>
      </c>
      <c r="G51" s="55">
        <v>0</v>
      </c>
      <c r="H51" s="55">
        <v>0</v>
      </c>
      <c r="J51" s="24"/>
      <c r="K51" s="24"/>
      <c r="L51" s="24"/>
      <c r="M51" s="24"/>
      <c r="N51" s="24"/>
      <c r="O51" s="24"/>
      <c r="P51" s="24"/>
      <c r="Q51" s="24"/>
    </row>
    <row r="52" spans="1:17" s="62" customFormat="1" x14ac:dyDescent="0.35">
      <c r="A52" s="27"/>
      <c r="B52" s="51"/>
      <c r="C52" s="60"/>
      <c r="D52" s="60"/>
      <c r="E52" s="61"/>
      <c r="F52" s="61"/>
      <c r="G52" s="61"/>
      <c r="H52" s="61"/>
    </row>
    <row r="53" spans="1:17" s="28" customFormat="1" ht="12.5" x14ac:dyDescent="0.35">
      <c r="A53" s="27"/>
      <c r="F53" s="43"/>
    </row>
    <row r="54" spans="1:17" s="28" customFormat="1" ht="12.5" x14ac:dyDescent="0.35">
      <c r="A54" s="27"/>
      <c r="B54" s="63" t="s">
        <v>71</v>
      </c>
      <c r="C54" s="43"/>
    </row>
    <row r="55" spans="1:17" x14ac:dyDescent="0.35">
      <c r="G55" s="59"/>
      <c r="H55" s="59"/>
    </row>
    <row r="56" spans="1:17" x14ac:dyDescent="0.35">
      <c r="F56" s="59"/>
    </row>
  </sheetData>
  <mergeCells count="1">
    <mergeCell ref="B1:H1"/>
  </mergeCells>
  <printOptions horizontalCentered="1" verticalCentered="1"/>
  <pageMargins left="0.43" right="0.46" top="0.33" bottom="0.25" header="0.31" footer="0.51181102362204722"/>
  <pageSetup paperSize="9" scale="7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8">
    <tabColor theme="4"/>
    <pageSetUpPr fitToPage="1"/>
  </sheetPr>
  <dimension ref="A1:R56"/>
  <sheetViews>
    <sheetView showGridLines="0" zoomScale="85" zoomScaleNormal="85" workbookViewId="0">
      <pane xSplit="2" ySplit="2" topLeftCell="C3" activePane="bottomRight" state="frozen"/>
      <selection activeCell="A4" sqref="A4:H4"/>
      <selection pane="topRight" activeCell="A4" sqref="A4:H4"/>
      <selection pane="bottomLeft" activeCell="A4" sqref="A4:H4"/>
      <selection pane="bottomRight" activeCell="A4" sqref="A4:H4"/>
    </sheetView>
  </sheetViews>
  <sheetFormatPr defaultColWidth="9.1796875" defaultRowHeight="15.5" x14ac:dyDescent="0.35"/>
  <cols>
    <col min="1" max="1" width="3.453125" style="27" hidden="1" customWidth="1"/>
    <col min="2" max="2" width="22.7265625" style="51" customWidth="1"/>
    <col min="3" max="6" width="13" style="51" customWidth="1"/>
    <col min="7" max="8" width="13.54296875" style="51" customWidth="1"/>
    <col min="9" max="16384" width="9.1796875" style="51"/>
  </cols>
  <sheetData>
    <row r="1" spans="1:18" ht="39.75" customHeight="1" x14ac:dyDescent="0.35">
      <c r="B1" s="152"/>
      <c r="C1" s="153"/>
      <c r="D1" s="153"/>
      <c r="E1" s="153"/>
      <c r="F1" s="153"/>
      <c r="G1" s="153"/>
      <c r="H1" s="154"/>
    </row>
    <row r="2" spans="1:18" ht="30" customHeight="1" x14ac:dyDescent="0.35">
      <c r="B2" s="52"/>
      <c r="C2" s="21" t="s">
        <v>74</v>
      </c>
      <c r="D2" s="21" t="s">
        <v>75</v>
      </c>
      <c r="E2" s="21" t="s">
        <v>76</v>
      </c>
      <c r="F2" s="21" t="s">
        <v>77</v>
      </c>
      <c r="G2" s="21" t="s">
        <v>78</v>
      </c>
      <c r="H2" s="22" t="s">
        <v>1</v>
      </c>
    </row>
    <row r="3" spans="1:18" s="20" customFormat="1" ht="26.25" customHeight="1" x14ac:dyDescent="0.35">
      <c r="A3" s="25"/>
      <c r="B3" s="23" t="s">
        <v>80</v>
      </c>
      <c r="C3" s="53">
        <f t="shared" ref="C3:H3" si="0">C4+C44</f>
        <v>12</v>
      </c>
      <c r="D3" s="53">
        <f t="shared" si="0"/>
        <v>45.64</v>
      </c>
      <c r="E3" s="53">
        <f t="shared" si="0"/>
        <v>202.78</v>
      </c>
      <c r="F3" s="53">
        <f t="shared" si="0"/>
        <v>228.63249999999999</v>
      </c>
      <c r="G3" s="53">
        <f t="shared" si="0"/>
        <v>571.72</v>
      </c>
      <c r="H3" s="53">
        <f t="shared" si="0"/>
        <v>1060.7725</v>
      </c>
      <c r="I3" s="24"/>
      <c r="J3" s="24"/>
      <c r="K3" s="24"/>
      <c r="L3" s="24"/>
      <c r="M3" s="24"/>
      <c r="N3" s="24"/>
      <c r="O3" s="24"/>
      <c r="P3" s="24"/>
      <c r="Q3" s="24"/>
      <c r="R3" s="24"/>
    </row>
    <row r="4" spans="1:18" s="23" customFormat="1" ht="26.25" customHeight="1" x14ac:dyDescent="0.35">
      <c r="A4" s="25"/>
      <c r="B4" s="23" t="s">
        <v>55</v>
      </c>
      <c r="C4" s="54">
        <f t="shared" ref="C4:H4" si="1">SUM(C5:C43)</f>
        <v>9</v>
      </c>
      <c r="D4" s="54">
        <f t="shared" si="1"/>
        <v>37.64</v>
      </c>
      <c r="E4" s="54">
        <f t="shared" si="1"/>
        <v>155.78</v>
      </c>
      <c r="F4" s="54">
        <f t="shared" si="1"/>
        <v>170.32</v>
      </c>
      <c r="G4" s="54">
        <f t="shared" si="1"/>
        <v>392.52</v>
      </c>
      <c r="H4" s="54">
        <f t="shared" si="1"/>
        <v>765.26</v>
      </c>
      <c r="J4" s="24"/>
      <c r="K4" s="24"/>
      <c r="L4" s="24"/>
      <c r="M4" s="24"/>
      <c r="N4" s="24"/>
      <c r="O4" s="24"/>
      <c r="P4" s="24"/>
      <c r="Q4" s="24"/>
    </row>
    <row r="5" spans="1:18" s="28" customFormat="1" ht="14" x14ac:dyDescent="0.35">
      <c r="A5" s="27">
        <v>51</v>
      </c>
      <c r="B5" s="28" t="s">
        <v>7</v>
      </c>
      <c r="C5" s="55">
        <v>1</v>
      </c>
      <c r="D5" s="55">
        <v>1</v>
      </c>
      <c r="E5" s="55">
        <v>10</v>
      </c>
      <c r="F5" s="55">
        <v>8.5</v>
      </c>
      <c r="G5" s="55">
        <v>13.31</v>
      </c>
      <c r="H5" s="55">
        <v>33.81</v>
      </c>
      <c r="J5" s="24"/>
      <c r="K5" s="24"/>
      <c r="L5" s="24"/>
      <c r="M5" s="24"/>
      <c r="N5" s="24"/>
      <c r="O5" s="24"/>
      <c r="P5" s="24"/>
      <c r="Q5" s="24"/>
    </row>
    <row r="6" spans="1:18" s="28" customFormat="1" ht="14" x14ac:dyDescent="0.35">
      <c r="A6" s="27">
        <v>52</v>
      </c>
      <c r="B6" s="28" t="s">
        <v>8</v>
      </c>
      <c r="C6" s="55">
        <v>0</v>
      </c>
      <c r="D6" s="55">
        <v>1</v>
      </c>
      <c r="E6" s="55">
        <v>6</v>
      </c>
      <c r="F6" s="55">
        <v>3.5</v>
      </c>
      <c r="G6" s="55">
        <v>10.5</v>
      </c>
      <c r="H6" s="55">
        <v>21</v>
      </c>
      <c r="J6" s="24"/>
      <c r="K6" s="24"/>
      <c r="L6" s="24"/>
      <c r="M6" s="24"/>
      <c r="N6" s="24"/>
      <c r="O6" s="24"/>
      <c r="P6" s="24"/>
      <c r="Q6" s="24"/>
    </row>
    <row r="7" spans="1:18" s="28" customFormat="1" ht="14" x14ac:dyDescent="0.35">
      <c r="A7" s="27">
        <v>86</v>
      </c>
      <c r="B7" s="28" t="s">
        <v>9</v>
      </c>
      <c r="C7" s="55">
        <v>1</v>
      </c>
      <c r="D7" s="55">
        <v>2</v>
      </c>
      <c r="E7" s="55">
        <v>4</v>
      </c>
      <c r="F7" s="55">
        <v>11.82</v>
      </c>
      <c r="G7" s="55">
        <v>18.88</v>
      </c>
      <c r="H7" s="55">
        <v>37.700000000000003</v>
      </c>
      <c r="J7" s="24"/>
      <c r="K7" s="24"/>
      <c r="L7" s="24"/>
      <c r="M7" s="24"/>
      <c r="N7" s="24"/>
      <c r="O7" s="24"/>
      <c r="P7" s="24"/>
      <c r="Q7" s="24"/>
    </row>
    <row r="8" spans="1:18" s="28" customFormat="1" ht="14" x14ac:dyDescent="0.35">
      <c r="A8" s="27">
        <v>53</v>
      </c>
      <c r="B8" s="28" t="s">
        <v>10</v>
      </c>
      <c r="C8" s="55">
        <v>0</v>
      </c>
      <c r="D8" s="55">
        <v>0</v>
      </c>
      <c r="E8" s="55">
        <v>0</v>
      </c>
      <c r="F8" s="55">
        <v>0</v>
      </c>
      <c r="G8" s="55">
        <v>0</v>
      </c>
      <c r="H8" s="55">
        <v>0</v>
      </c>
      <c r="J8" s="24"/>
      <c r="K8" s="24"/>
      <c r="L8" s="24"/>
      <c r="M8" s="24"/>
      <c r="N8" s="24"/>
      <c r="O8" s="24"/>
      <c r="P8" s="24"/>
      <c r="Q8" s="24"/>
    </row>
    <row r="9" spans="1:18" s="28" customFormat="1" ht="14" x14ac:dyDescent="0.35">
      <c r="A9" s="27">
        <v>54</v>
      </c>
      <c r="B9" s="28" t="s">
        <v>11</v>
      </c>
      <c r="C9" s="55">
        <v>1</v>
      </c>
      <c r="D9" s="55">
        <v>2</v>
      </c>
      <c r="E9" s="55">
        <v>6.18</v>
      </c>
      <c r="F9" s="55">
        <v>9.5</v>
      </c>
      <c r="G9" s="55">
        <v>21.5</v>
      </c>
      <c r="H9" s="55">
        <v>40.18</v>
      </c>
      <c r="J9" s="24"/>
      <c r="K9" s="24"/>
      <c r="L9" s="24"/>
      <c r="M9" s="24"/>
      <c r="N9" s="24"/>
      <c r="O9" s="24"/>
      <c r="P9" s="24"/>
      <c r="Q9" s="24"/>
    </row>
    <row r="10" spans="1:18" s="28" customFormat="1" ht="14" x14ac:dyDescent="0.35">
      <c r="A10" s="27">
        <v>55</v>
      </c>
      <c r="B10" s="28" t="s">
        <v>12</v>
      </c>
      <c r="C10" s="55">
        <v>0</v>
      </c>
      <c r="D10" s="55">
        <v>0</v>
      </c>
      <c r="E10" s="55">
        <v>0</v>
      </c>
      <c r="F10" s="55">
        <v>0</v>
      </c>
      <c r="G10" s="55">
        <v>0</v>
      </c>
      <c r="H10" s="55">
        <v>0</v>
      </c>
      <c r="J10" s="24"/>
      <c r="K10" s="24"/>
      <c r="L10" s="24"/>
      <c r="M10" s="24"/>
      <c r="N10" s="24"/>
      <c r="O10" s="24"/>
      <c r="P10" s="24"/>
      <c r="Q10" s="24"/>
    </row>
    <row r="11" spans="1:18" s="28" customFormat="1" ht="14" x14ac:dyDescent="0.35">
      <c r="A11" s="27">
        <v>56</v>
      </c>
      <c r="B11" s="28" t="s">
        <v>13</v>
      </c>
      <c r="C11" s="55">
        <v>0</v>
      </c>
      <c r="D11" s="55">
        <v>0</v>
      </c>
      <c r="E11" s="55">
        <v>4.5</v>
      </c>
      <c r="F11" s="55">
        <v>8.5</v>
      </c>
      <c r="G11" s="55">
        <v>8</v>
      </c>
      <c r="H11" s="55">
        <v>21</v>
      </c>
      <c r="J11" s="24"/>
      <c r="K11" s="24"/>
      <c r="L11" s="24"/>
      <c r="M11" s="24"/>
      <c r="N11" s="24"/>
      <c r="O11" s="24"/>
      <c r="P11" s="24"/>
      <c r="Q11" s="24"/>
    </row>
    <row r="12" spans="1:18" s="28" customFormat="1" ht="14" x14ac:dyDescent="0.35">
      <c r="A12" s="27">
        <v>57</v>
      </c>
      <c r="B12" s="28" t="s">
        <v>14</v>
      </c>
      <c r="C12" s="55">
        <v>0</v>
      </c>
      <c r="D12" s="55">
        <v>0</v>
      </c>
      <c r="E12" s="55">
        <v>2</v>
      </c>
      <c r="F12" s="55">
        <v>4</v>
      </c>
      <c r="G12" s="55">
        <v>9.3800000000000008</v>
      </c>
      <c r="H12" s="55">
        <v>15.38</v>
      </c>
      <c r="J12" s="24"/>
      <c r="K12" s="24"/>
      <c r="L12" s="24"/>
      <c r="M12" s="24"/>
      <c r="N12" s="24"/>
      <c r="O12" s="24"/>
      <c r="P12" s="24"/>
      <c r="Q12" s="24"/>
    </row>
    <row r="13" spans="1:18" s="28" customFormat="1" ht="14" x14ac:dyDescent="0.35">
      <c r="A13" s="27">
        <v>59</v>
      </c>
      <c r="B13" s="28" t="s">
        <v>15</v>
      </c>
      <c r="C13" s="55">
        <v>0</v>
      </c>
      <c r="D13" s="55">
        <v>0</v>
      </c>
      <c r="E13" s="55">
        <v>0</v>
      </c>
      <c r="F13" s="55">
        <v>0</v>
      </c>
      <c r="G13" s="55">
        <v>0</v>
      </c>
      <c r="H13" s="55">
        <v>0</v>
      </c>
      <c r="J13" s="24"/>
      <c r="K13" s="24"/>
      <c r="L13" s="24"/>
      <c r="M13" s="24"/>
      <c r="N13" s="24"/>
      <c r="O13" s="24"/>
      <c r="P13" s="24"/>
      <c r="Q13" s="24"/>
    </row>
    <row r="14" spans="1:18" s="28" customFormat="1" ht="14" x14ac:dyDescent="0.35">
      <c r="A14" s="27">
        <v>60</v>
      </c>
      <c r="B14" s="28" t="s">
        <v>16</v>
      </c>
      <c r="C14" s="55">
        <v>0</v>
      </c>
      <c r="D14" s="55">
        <v>1</v>
      </c>
      <c r="E14" s="55">
        <v>5</v>
      </c>
      <c r="F14" s="55">
        <v>4</v>
      </c>
      <c r="G14" s="55">
        <v>16</v>
      </c>
      <c r="H14" s="55">
        <v>26</v>
      </c>
      <c r="J14" s="24"/>
      <c r="K14" s="24"/>
      <c r="L14" s="24"/>
      <c r="M14" s="24"/>
      <c r="N14" s="24"/>
      <c r="O14" s="24"/>
      <c r="P14" s="24"/>
      <c r="Q14" s="24"/>
    </row>
    <row r="15" spans="1:18" s="28" customFormat="1" ht="14" x14ac:dyDescent="0.35">
      <c r="A15" s="27">
        <v>61</v>
      </c>
      <c r="B15" s="29" t="s">
        <v>56</v>
      </c>
      <c r="C15" s="55">
        <v>0</v>
      </c>
      <c r="D15" s="55">
        <v>1.6400000000000001</v>
      </c>
      <c r="E15" s="55">
        <v>7</v>
      </c>
      <c r="F15" s="55">
        <v>9.5</v>
      </c>
      <c r="G15" s="55">
        <v>12.5</v>
      </c>
      <c r="H15" s="55">
        <v>30.64</v>
      </c>
      <c r="J15" s="24"/>
      <c r="K15" s="24"/>
      <c r="L15" s="24"/>
      <c r="M15" s="24"/>
      <c r="N15" s="24"/>
      <c r="O15" s="24"/>
      <c r="P15" s="24"/>
      <c r="Q15" s="24"/>
    </row>
    <row r="16" spans="1:18" s="28" customFormat="1" ht="14" x14ac:dyDescent="0.35">
      <c r="A16" s="27">
        <v>62</v>
      </c>
      <c r="B16" s="28" t="s">
        <v>115</v>
      </c>
      <c r="C16" s="55">
        <v>0</v>
      </c>
      <c r="D16" s="55">
        <v>3</v>
      </c>
      <c r="E16" s="55">
        <v>7</v>
      </c>
      <c r="F16" s="55">
        <v>8</v>
      </c>
      <c r="G16" s="55">
        <v>17.5</v>
      </c>
      <c r="H16" s="55">
        <v>35.5</v>
      </c>
      <c r="J16" s="24"/>
      <c r="K16" s="24"/>
      <c r="L16" s="24"/>
      <c r="M16" s="24"/>
      <c r="N16" s="24"/>
      <c r="O16" s="24"/>
      <c r="P16" s="24"/>
      <c r="Q16" s="24"/>
    </row>
    <row r="17" spans="1:17" s="28" customFormat="1" ht="14" x14ac:dyDescent="0.35">
      <c r="A17" s="27">
        <v>58</v>
      </c>
      <c r="B17" s="28" t="s">
        <v>19</v>
      </c>
      <c r="C17" s="55">
        <v>0</v>
      </c>
      <c r="D17" s="55">
        <v>1</v>
      </c>
      <c r="E17" s="55">
        <v>6.6</v>
      </c>
      <c r="F17" s="55">
        <v>4</v>
      </c>
      <c r="G17" s="55">
        <v>9</v>
      </c>
      <c r="H17" s="55">
        <v>20.6</v>
      </c>
      <c r="J17" s="24"/>
      <c r="K17" s="24"/>
      <c r="L17" s="24"/>
      <c r="M17" s="24"/>
      <c r="N17" s="24"/>
      <c r="O17" s="24"/>
      <c r="P17" s="24"/>
      <c r="Q17" s="24"/>
    </row>
    <row r="18" spans="1:17" s="28" customFormat="1" ht="14" x14ac:dyDescent="0.35">
      <c r="A18" s="27">
        <v>63</v>
      </c>
      <c r="B18" s="28" t="s">
        <v>20</v>
      </c>
      <c r="C18" s="55">
        <v>1</v>
      </c>
      <c r="D18" s="55">
        <v>1</v>
      </c>
      <c r="E18" s="55">
        <v>6</v>
      </c>
      <c r="F18" s="55">
        <v>10</v>
      </c>
      <c r="G18" s="55">
        <v>20</v>
      </c>
      <c r="H18" s="55">
        <v>38</v>
      </c>
      <c r="J18" s="24"/>
      <c r="K18" s="24"/>
      <c r="L18" s="24"/>
      <c r="M18" s="24"/>
      <c r="N18" s="24"/>
      <c r="O18" s="24"/>
      <c r="P18" s="24"/>
      <c r="Q18" s="24"/>
    </row>
    <row r="19" spans="1:17" s="28" customFormat="1" ht="14" x14ac:dyDescent="0.35">
      <c r="A19" s="27">
        <v>64</v>
      </c>
      <c r="B19" s="28" t="s">
        <v>21</v>
      </c>
      <c r="C19" s="55">
        <v>1</v>
      </c>
      <c r="D19" s="55">
        <v>0</v>
      </c>
      <c r="E19" s="55">
        <v>8</v>
      </c>
      <c r="F19" s="55">
        <v>4</v>
      </c>
      <c r="G19" s="55">
        <v>19.32</v>
      </c>
      <c r="H19" s="55">
        <v>32.32</v>
      </c>
      <c r="J19" s="24"/>
      <c r="K19" s="24"/>
      <c r="L19" s="24"/>
      <c r="M19" s="24"/>
      <c r="N19" s="24"/>
      <c r="O19" s="24"/>
      <c r="P19" s="24"/>
      <c r="Q19" s="24"/>
    </row>
    <row r="20" spans="1:17" s="28" customFormat="1" ht="14" x14ac:dyDescent="0.35">
      <c r="A20" s="27">
        <v>65</v>
      </c>
      <c r="B20" s="28" t="s">
        <v>22</v>
      </c>
      <c r="C20" s="55">
        <v>0</v>
      </c>
      <c r="D20" s="55">
        <v>1</v>
      </c>
      <c r="E20" s="55">
        <v>4</v>
      </c>
      <c r="F20" s="55">
        <v>4</v>
      </c>
      <c r="G20" s="55">
        <v>12</v>
      </c>
      <c r="H20" s="55">
        <v>21</v>
      </c>
      <c r="J20" s="24"/>
      <c r="K20" s="24"/>
      <c r="L20" s="24"/>
      <c r="M20" s="24"/>
      <c r="N20" s="24"/>
      <c r="O20" s="24"/>
      <c r="P20" s="24"/>
      <c r="Q20" s="24"/>
    </row>
    <row r="21" spans="1:17" s="28" customFormat="1" ht="14" x14ac:dyDescent="0.35">
      <c r="A21" s="27">
        <v>67</v>
      </c>
      <c r="B21" s="28" t="s">
        <v>25</v>
      </c>
      <c r="C21" s="55">
        <v>1</v>
      </c>
      <c r="D21" s="55">
        <v>3</v>
      </c>
      <c r="E21" s="55">
        <v>4</v>
      </c>
      <c r="F21" s="55">
        <v>8.5</v>
      </c>
      <c r="G21" s="55">
        <v>16</v>
      </c>
      <c r="H21" s="55">
        <v>32.5</v>
      </c>
      <c r="J21" s="24"/>
      <c r="K21" s="24"/>
      <c r="L21" s="24"/>
      <c r="M21" s="24"/>
      <c r="N21" s="24"/>
      <c r="O21" s="24"/>
      <c r="P21" s="24"/>
      <c r="Q21" s="24"/>
    </row>
    <row r="22" spans="1:17" s="28" customFormat="1" ht="14" x14ac:dyDescent="0.35">
      <c r="A22" s="27">
        <v>68</v>
      </c>
      <c r="B22" s="28" t="s">
        <v>57</v>
      </c>
      <c r="C22" s="55">
        <v>0</v>
      </c>
      <c r="D22" s="55">
        <v>1</v>
      </c>
      <c r="E22" s="55">
        <v>2</v>
      </c>
      <c r="F22" s="55">
        <v>5.5</v>
      </c>
      <c r="G22" s="55">
        <v>10.38</v>
      </c>
      <c r="H22" s="55">
        <v>18.880000000000003</v>
      </c>
      <c r="J22" s="24"/>
      <c r="K22" s="24"/>
      <c r="L22" s="24"/>
      <c r="M22" s="24"/>
      <c r="N22" s="24"/>
      <c r="O22" s="24"/>
      <c r="P22" s="24"/>
      <c r="Q22" s="24"/>
    </row>
    <row r="23" spans="1:17" s="28" customFormat="1" ht="14" x14ac:dyDescent="0.35">
      <c r="A23" s="27">
        <v>69</v>
      </c>
      <c r="B23" s="28" t="s">
        <v>27</v>
      </c>
      <c r="C23" s="55">
        <v>1</v>
      </c>
      <c r="D23" s="55">
        <v>1</v>
      </c>
      <c r="E23" s="55">
        <v>6.5</v>
      </c>
      <c r="F23" s="55">
        <v>2</v>
      </c>
      <c r="G23" s="55">
        <v>13</v>
      </c>
      <c r="H23" s="55">
        <v>23.5</v>
      </c>
      <c r="J23" s="24"/>
      <c r="K23" s="24"/>
      <c r="L23" s="24"/>
      <c r="M23" s="24"/>
      <c r="N23" s="24"/>
      <c r="O23" s="24"/>
      <c r="P23" s="24"/>
      <c r="Q23" s="24"/>
    </row>
    <row r="24" spans="1:17" s="28" customFormat="1" ht="14" x14ac:dyDescent="0.35">
      <c r="A24" s="27">
        <v>70</v>
      </c>
      <c r="B24" s="28" t="s">
        <v>28</v>
      </c>
      <c r="C24" s="55">
        <v>0</v>
      </c>
      <c r="D24" s="55">
        <v>0</v>
      </c>
      <c r="E24" s="55">
        <v>6</v>
      </c>
      <c r="F24" s="55">
        <v>8</v>
      </c>
      <c r="G24" s="55">
        <v>11</v>
      </c>
      <c r="H24" s="55">
        <v>25</v>
      </c>
      <c r="J24" s="24"/>
      <c r="K24" s="24"/>
      <c r="L24" s="24"/>
      <c r="M24" s="24"/>
      <c r="N24" s="24"/>
      <c r="O24" s="24"/>
      <c r="P24" s="24"/>
      <c r="Q24" s="24"/>
    </row>
    <row r="25" spans="1:17" s="28" customFormat="1" ht="14" x14ac:dyDescent="0.35">
      <c r="A25" s="27">
        <v>71</v>
      </c>
      <c r="B25" s="28" t="s">
        <v>58</v>
      </c>
      <c r="C25" s="55">
        <v>0</v>
      </c>
      <c r="D25" s="55">
        <v>0</v>
      </c>
      <c r="E25" s="55">
        <v>0</v>
      </c>
      <c r="F25" s="55">
        <v>0</v>
      </c>
      <c r="G25" s="55">
        <v>0</v>
      </c>
      <c r="H25" s="55">
        <v>0</v>
      </c>
      <c r="J25" s="24"/>
      <c r="K25" s="24"/>
      <c r="L25" s="24"/>
      <c r="M25" s="24"/>
      <c r="N25" s="24"/>
      <c r="O25" s="24"/>
      <c r="P25" s="24"/>
      <c r="Q25" s="24"/>
    </row>
    <row r="26" spans="1:17" s="28" customFormat="1" ht="14" x14ac:dyDescent="0.35">
      <c r="A26" s="27">
        <v>73</v>
      </c>
      <c r="B26" s="28" t="s">
        <v>31</v>
      </c>
      <c r="C26" s="55">
        <v>0</v>
      </c>
      <c r="D26" s="55">
        <v>2</v>
      </c>
      <c r="E26" s="55">
        <v>3</v>
      </c>
      <c r="F26" s="55">
        <v>12</v>
      </c>
      <c r="G26" s="55">
        <v>21</v>
      </c>
      <c r="H26" s="55">
        <v>38</v>
      </c>
      <c r="J26" s="24"/>
      <c r="K26" s="24"/>
      <c r="L26" s="24"/>
      <c r="M26" s="24"/>
      <c r="N26" s="24"/>
      <c r="O26" s="24"/>
      <c r="P26" s="24"/>
      <c r="Q26" s="24"/>
    </row>
    <row r="27" spans="1:17" s="28" customFormat="1" ht="14" x14ac:dyDescent="0.35">
      <c r="A27" s="27">
        <v>74</v>
      </c>
      <c r="B27" s="28" t="s">
        <v>32</v>
      </c>
      <c r="C27" s="55">
        <v>0</v>
      </c>
      <c r="D27" s="55">
        <v>0</v>
      </c>
      <c r="E27" s="55">
        <v>0</v>
      </c>
      <c r="F27" s="55">
        <v>0</v>
      </c>
      <c r="G27" s="55">
        <v>0</v>
      </c>
      <c r="H27" s="55">
        <v>0</v>
      </c>
      <c r="J27" s="24"/>
      <c r="K27" s="24"/>
      <c r="L27" s="24"/>
      <c r="M27" s="24"/>
      <c r="N27" s="24"/>
      <c r="O27" s="24"/>
      <c r="P27" s="24"/>
      <c r="Q27" s="24"/>
    </row>
    <row r="28" spans="1:17" s="28" customFormat="1" ht="14" x14ac:dyDescent="0.35">
      <c r="A28" s="27">
        <v>75</v>
      </c>
      <c r="B28" s="28" t="s">
        <v>33</v>
      </c>
      <c r="C28" s="55">
        <v>0</v>
      </c>
      <c r="D28" s="55">
        <v>1</v>
      </c>
      <c r="E28" s="55">
        <v>5</v>
      </c>
      <c r="F28" s="55">
        <v>8</v>
      </c>
      <c r="G28" s="55">
        <v>12</v>
      </c>
      <c r="H28" s="55">
        <v>26</v>
      </c>
      <c r="J28" s="24"/>
      <c r="K28" s="24"/>
      <c r="L28" s="24"/>
      <c r="M28" s="24"/>
      <c r="N28" s="24"/>
      <c r="O28" s="24"/>
      <c r="P28" s="24"/>
      <c r="Q28" s="24"/>
    </row>
    <row r="29" spans="1:17" s="28" customFormat="1" ht="14" x14ac:dyDescent="0.35">
      <c r="A29" s="27">
        <v>76</v>
      </c>
      <c r="B29" s="28" t="s">
        <v>34</v>
      </c>
      <c r="C29" s="55">
        <v>0</v>
      </c>
      <c r="D29" s="55">
        <v>1</v>
      </c>
      <c r="E29" s="55">
        <v>5</v>
      </c>
      <c r="F29" s="55">
        <v>0</v>
      </c>
      <c r="G29" s="55">
        <v>11</v>
      </c>
      <c r="H29" s="55">
        <v>17</v>
      </c>
      <c r="J29" s="24"/>
      <c r="K29" s="24"/>
      <c r="L29" s="24"/>
      <c r="M29" s="24"/>
      <c r="N29" s="24"/>
      <c r="O29" s="24"/>
      <c r="P29" s="24"/>
      <c r="Q29" s="24"/>
    </row>
    <row r="30" spans="1:17" s="28" customFormat="1" ht="14" x14ac:dyDescent="0.35">
      <c r="A30" s="27">
        <v>79</v>
      </c>
      <c r="B30" s="28" t="s">
        <v>36</v>
      </c>
      <c r="C30" s="55">
        <v>0</v>
      </c>
      <c r="D30" s="55">
        <v>1</v>
      </c>
      <c r="E30" s="55">
        <v>4</v>
      </c>
      <c r="F30" s="55">
        <v>4</v>
      </c>
      <c r="G30" s="55">
        <v>16</v>
      </c>
      <c r="H30" s="55">
        <v>25</v>
      </c>
      <c r="J30" s="24"/>
      <c r="K30" s="24"/>
      <c r="L30" s="24"/>
      <c r="M30" s="24"/>
      <c r="N30" s="24"/>
      <c r="O30" s="24"/>
      <c r="P30" s="24"/>
      <c r="Q30" s="24"/>
    </row>
    <row r="31" spans="1:17" s="28" customFormat="1" ht="14" x14ac:dyDescent="0.35">
      <c r="A31" s="27"/>
      <c r="B31" s="67" t="s">
        <v>81</v>
      </c>
      <c r="C31" s="55">
        <v>1</v>
      </c>
      <c r="D31" s="55">
        <v>5</v>
      </c>
      <c r="E31" s="55">
        <v>15</v>
      </c>
      <c r="F31" s="55">
        <v>0</v>
      </c>
      <c r="G31" s="55">
        <v>36</v>
      </c>
      <c r="H31" s="55">
        <v>57</v>
      </c>
      <c r="J31" s="24"/>
      <c r="K31" s="24"/>
      <c r="L31" s="24"/>
      <c r="M31" s="24"/>
      <c r="N31" s="24"/>
      <c r="O31" s="24"/>
      <c r="P31" s="24"/>
      <c r="Q31" s="24"/>
    </row>
    <row r="32" spans="1:17" s="28" customFormat="1" ht="14" x14ac:dyDescent="0.35">
      <c r="A32" s="27">
        <v>80</v>
      </c>
      <c r="B32" s="28" t="s">
        <v>38</v>
      </c>
      <c r="C32" s="55">
        <v>0</v>
      </c>
      <c r="D32" s="55">
        <v>1</v>
      </c>
      <c r="E32" s="55">
        <v>1</v>
      </c>
      <c r="F32" s="55">
        <v>6</v>
      </c>
      <c r="G32" s="55">
        <v>6</v>
      </c>
      <c r="H32" s="55">
        <v>14</v>
      </c>
      <c r="J32" s="24"/>
      <c r="K32" s="24"/>
      <c r="L32" s="24"/>
      <c r="M32" s="24"/>
      <c r="N32" s="24"/>
      <c r="O32" s="24"/>
      <c r="P32" s="24"/>
      <c r="Q32" s="24"/>
    </row>
    <row r="33" spans="1:17" s="28" customFormat="1" ht="14" x14ac:dyDescent="0.35">
      <c r="A33" s="27">
        <v>81</v>
      </c>
      <c r="B33" s="28" t="s">
        <v>39</v>
      </c>
      <c r="C33" s="55">
        <v>0</v>
      </c>
      <c r="D33" s="55">
        <v>0</v>
      </c>
      <c r="E33" s="55">
        <v>3</v>
      </c>
      <c r="F33" s="55">
        <v>4</v>
      </c>
      <c r="G33" s="55">
        <v>6</v>
      </c>
      <c r="H33" s="55">
        <v>13</v>
      </c>
      <c r="J33" s="24"/>
      <c r="K33" s="24"/>
      <c r="L33" s="24"/>
      <c r="M33" s="24"/>
      <c r="N33" s="24"/>
      <c r="O33" s="24"/>
      <c r="P33" s="24"/>
      <c r="Q33" s="24"/>
    </row>
    <row r="34" spans="1:17" s="28" customFormat="1" ht="14" x14ac:dyDescent="0.35">
      <c r="A34" s="27">
        <v>83</v>
      </c>
      <c r="B34" s="28" t="s">
        <v>40</v>
      </c>
      <c r="C34" s="55">
        <v>0</v>
      </c>
      <c r="D34" s="55">
        <v>1</v>
      </c>
      <c r="E34" s="55">
        <v>4</v>
      </c>
      <c r="F34" s="55">
        <v>4</v>
      </c>
      <c r="G34" s="55">
        <v>8</v>
      </c>
      <c r="H34" s="55">
        <v>17</v>
      </c>
      <c r="J34" s="24"/>
      <c r="K34" s="24"/>
      <c r="L34" s="24"/>
      <c r="M34" s="24"/>
      <c r="N34" s="24"/>
      <c r="O34" s="24"/>
      <c r="P34" s="24"/>
      <c r="Q34" s="24"/>
    </row>
    <row r="35" spans="1:17" s="28" customFormat="1" ht="14" x14ac:dyDescent="0.35">
      <c r="A35" s="27">
        <v>84</v>
      </c>
      <c r="B35" s="28" t="s">
        <v>41</v>
      </c>
      <c r="C35" s="55">
        <v>1</v>
      </c>
      <c r="D35" s="55">
        <v>2</v>
      </c>
      <c r="E35" s="55">
        <v>5</v>
      </c>
      <c r="F35" s="55">
        <v>6</v>
      </c>
      <c r="G35" s="55">
        <v>12.25</v>
      </c>
      <c r="H35" s="55">
        <v>26.25</v>
      </c>
      <c r="J35" s="24"/>
      <c r="K35" s="24"/>
      <c r="L35" s="24"/>
      <c r="M35" s="24"/>
      <c r="N35" s="24"/>
      <c r="O35" s="24"/>
      <c r="P35" s="24"/>
      <c r="Q35" s="24"/>
    </row>
    <row r="36" spans="1:17" s="28" customFormat="1" ht="14" x14ac:dyDescent="0.35">
      <c r="A36" s="27">
        <v>85</v>
      </c>
      <c r="B36" s="28" t="s">
        <v>42</v>
      </c>
      <c r="C36" s="55">
        <v>0</v>
      </c>
      <c r="D36" s="55">
        <v>0</v>
      </c>
      <c r="E36" s="55">
        <v>0</v>
      </c>
      <c r="F36" s="55">
        <v>0</v>
      </c>
      <c r="G36" s="55">
        <v>0</v>
      </c>
      <c r="H36" s="55">
        <v>0</v>
      </c>
      <c r="J36" s="24"/>
      <c r="K36" s="24"/>
      <c r="L36" s="24"/>
      <c r="M36" s="24"/>
      <c r="N36" s="24"/>
      <c r="O36" s="24"/>
      <c r="P36" s="24"/>
      <c r="Q36" s="24"/>
    </row>
    <row r="37" spans="1:17" s="28" customFormat="1" ht="14" x14ac:dyDescent="0.35">
      <c r="A37" s="27">
        <v>87</v>
      </c>
      <c r="B37" s="28" t="s">
        <v>43</v>
      </c>
      <c r="C37" s="55">
        <v>0</v>
      </c>
      <c r="D37" s="55">
        <v>1</v>
      </c>
      <c r="E37" s="55">
        <v>5</v>
      </c>
      <c r="F37" s="55">
        <v>4</v>
      </c>
      <c r="G37" s="55">
        <v>9</v>
      </c>
      <c r="H37" s="55">
        <v>19</v>
      </c>
      <c r="J37" s="24"/>
      <c r="K37" s="24"/>
      <c r="L37" s="24"/>
      <c r="M37" s="24"/>
      <c r="N37" s="24"/>
      <c r="O37" s="24"/>
      <c r="P37" s="24"/>
      <c r="Q37" s="24"/>
    </row>
    <row r="38" spans="1:17" s="28" customFormat="1" ht="14" x14ac:dyDescent="0.35">
      <c r="A38" s="27">
        <v>90</v>
      </c>
      <c r="B38" s="28" t="s">
        <v>45</v>
      </c>
      <c r="C38" s="55">
        <v>0</v>
      </c>
      <c r="D38" s="55">
        <v>0</v>
      </c>
      <c r="E38" s="55">
        <v>0</v>
      </c>
      <c r="F38" s="55">
        <v>0</v>
      </c>
      <c r="G38" s="55">
        <v>0</v>
      </c>
      <c r="H38" s="55">
        <v>0</v>
      </c>
      <c r="J38" s="24"/>
      <c r="K38" s="24"/>
      <c r="L38" s="24"/>
      <c r="M38" s="24"/>
      <c r="N38" s="24"/>
      <c r="O38" s="24"/>
      <c r="P38" s="24"/>
      <c r="Q38" s="24"/>
    </row>
    <row r="39" spans="1:17" s="28" customFormat="1" ht="14" x14ac:dyDescent="0.35">
      <c r="A39" s="27">
        <v>91</v>
      </c>
      <c r="B39" s="28" t="s">
        <v>46</v>
      </c>
      <c r="C39" s="55">
        <v>0</v>
      </c>
      <c r="D39" s="55">
        <v>0</v>
      </c>
      <c r="E39" s="55">
        <v>0</v>
      </c>
      <c r="F39" s="55">
        <v>0</v>
      </c>
      <c r="G39" s="55">
        <v>0</v>
      </c>
      <c r="H39" s="55">
        <v>0</v>
      </c>
      <c r="J39" s="24"/>
      <c r="K39" s="24"/>
      <c r="L39" s="24"/>
      <c r="M39" s="24"/>
      <c r="N39" s="24"/>
      <c r="O39" s="24"/>
      <c r="P39" s="24"/>
      <c r="Q39" s="24"/>
    </row>
    <row r="40" spans="1:17" s="28" customFormat="1" ht="14" x14ac:dyDescent="0.35">
      <c r="A40" s="27">
        <v>92</v>
      </c>
      <c r="B40" s="28" t="s">
        <v>47</v>
      </c>
      <c r="C40" s="55">
        <v>0</v>
      </c>
      <c r="D40" s="55">
        <v>2</v>
      </c>
      <c r="E40" s="55">
        <v>5</v>
      </c>
      <c r="F40" s="55">
        <v>5</v>
      </c>
      <c r="G40" s="55">
        <v>11</v>
      </c>
      <c r="H40" s="55">
        <v>23</v>
      </c>
      <c r="J40" s="24"/>
      <c r="K40" s="24"/>
      <c r="L40" s="24"/>
      <c r="M40" s="24"/>
      <c r="N40" s="24"/>
      <c r="O40" s="24"/>
      <c r="P40" s="24"/>
      <c r="Q40" s="24"/>
    </row>
    <row r="41" spans="1:17" s="28" customFormat="1" ht="14" x14ac:dyDescent="0.35">
      <c r="A41" s="27">
        <v>94</v>
      </c>
      <c r="B41" s="28" t="s">
        <v>49</v>
      </c>
      <c r="C41" s="55">
        <v>0</v>
      </c>
      <c r="D41" s="55">
        <v>1</v>
      </c>
      <c r="E41" s="55">
        <v>6</v>
      </c>
      <c r="F41" s="55">
        <v>4</v>
      </c>
      <c r="G41" s="55">
        <v>6</v>
      </c>
      <c r="H41" s="55">
        <v>17</v>
      </c>
      <c r="J41" s="24"/>
      <c r="K41" s="24"/>
      <c r="L41" s="24"/>
      <c r="M41" s="24"/>
      <c r="N41" s="24"/>
      <c r="O41" s="24"/>
      <c r="P41" s="24"/>
      <c r="Q41" s="24"/>
    </row>
    <row r="42" spans="1:17" s="28" customFormat="1" ht="14" x14ac:dyDescent="0.35">
      <c r="A42" s="27">
        <v>96</v>
      </c>
      <c r="B42" s="28" t="s">
        <v>51</v>
      </c>
      <c r="C42" s="55">
        <v>0</v>
      </c>
      <c r="D42" s="55">
        <v>0</v>
      </c>
      <c r="E42" s="55">
        <v>0</v>
      </c>
      <c r="F42" s="55">
        <v>0</v>
      </c>
      <c r="G42" s="55">
        <v>0</v>
      </c>
      <c r="H42" s="55">
        <v>0</v>
      </c>
      <c r="J42" s="24"/>
      <c r="K42" s="24"/>
      <c r="L42" s="24"/>
      <c r="M42" s="24"/>
      <c r="N42" s="24"/>
      <c r="O42" s="24"/>
      <c r="P42" s="24"/>
      <c r="Q42" s="24"/>
    </row>
    <row r="43" spans="1:17" s="28" customFormat="1" ht="14" x14ac:dyDescent="0.35">
      <c r="A43" s="27">
        <v>72</v>
      </c>
      <c r="B43" s="28" t="s">
        <v>30</v>
      </c>
      <c r="C43" s="55">
        <v>0</v>
      </c>
      <c r="D43" s="55">
        <v>0</v>
      </c>
      <c r="E43" s="55">
        <v>0</v>
      </c>
      <c r="F43" s="55">
        <v>0</v>
      </c>
      <c r="G43" s="55">
        <v>0</v>
      </c>
      <c r="H43" s="55">
        <v>0</v>
      </c>
      <c r="J43" s="24"/>
      <c r="K43" s="24"/>
      <c r="L43" s="24"/>
      <c r="M43" s="24"/>
      <c r="N43" s="24"/>
      <c r="O43" s="24"/>
      <c r="P43" s="24"/>
      <c r="Q43" s="24"/>
    </row>
    <row r="44" spans="1:17" s="23" customFormat="1" ht="26.25" customHeight="1" x14ac:dyDescent="0.35">
      <c r="A44" s="25"/>
      <c r="B44" s="23" t="s">
        <v>59</v>
      </c>
      <c r="C44" s="56">
        <f>SUM(C45:C51)</f>
        <v>3</v>
      </c>
      <c r="D44" s="56">
        <f t="shared" ref="D44:H44" si="2">SUM(D45:D51)</f>
        <v>8</v>
      </c>
      <c r="E44" s="56">
        <f t="shared" si="2"/>
        <v>47</v>
      </c>
      <c r="F44" s="56">
        <f t="shared" si="2"/>
        <v>58.3125</v>
      </c>
      <c r="G44" s="56">
        <f t="shared" si="2"/>
        <v>179.20000000000002</v>
      </c>
      <c r="H44" s="56">
        <f t="shared" si="2"/>
        <v>295.51250000000005</v>
      </c>
      <c r="J44" s="24"/>
      <c r="K44" s="24"/>
      <c r="L44" s="24"/>
      <c r="M44" s="24"/>
      <c r="N44" s="24"/>
      <c r="O44" s="24"/>
      <c r="P44" s="24"/>
      <c r="Q44" s="24"/>
    </row>
    <row r="45" spans="1:17" s="28" customFormat="1" ht="14" x14ac:dyDescent="0.35">
      <c r="A45" s="27">
        <v>66</v>
      </c>
      <c r="B45" s="28" t="s">
        <v>24</v>
      </c>
      <c r="C45" s="55">
        <v>0</v>
      </c>
      <c r="D45" s="55">
        <v>0</v>
      </c>
      <c r="E45" s="55">
        <v>0</v>
      </c>
      <c r="F45" s="55">
        <v>0</v>
      </c>
      <c r="G45" s="55">
        <v>0</v>
      </c>
      <c r="H45" s="55">
        <v>0</v>
      </c>
      <c r="J45" s="24"/>
      <c r="K45" s="24"/>
      <c r="L45" s="24"/>
      <c r="M45" s="24"/>
      <c r="N45" s="24"/>
      <c r="O45" s="24"/>
      <c r="P45" s="24"/>
      <c r="Q45" s="24"/>
    </row>
    <row r="46" spans="1:17" s="28" customFormat="1" ht="14" x14ac:dyDescent="0.35">
      <c r="A46" s="27">
        <v>78</v>
      </c>
      <c r="B46" s="28" t="s">
        <v>35</v>
      </c>
      <c r="C46" s="55">
        <v>0</v>
      </c>
      <c r="D46" s="55">
        <v>0</v>
      </c>
      <c r="E46" s="55">
        <v>10</v>
      </c>
      <c r="F46" s="55">
        <v>4</v>
      </c>
      <c r="G46" s="55">
        <v>17</v>
      </c>
      <c r="H46" s="55">
        <v>31</v>
      </c>
      <c r="J46" s="24"/>
      <c r="K46" s="24"/>
      <c r="L46" s="24"/>
      <c r="M46" s="24"/>
      <c r="N46" s="24"/>
      <c r="O46" s="24"/>
      <c r="P46" s="24"/>
      <c r="Q46" s="24"/>
    </row>
    <row r="47" spans="1:17" s="28" customFormat="1" ht="14" x14ac:dyDescent="0.35">
      <c r="A47" s="27">
        <v>89</v>
      </c>
      <c r="B47" s="28" t="s">
        <v>44</v>
      </c>
      <c r="C47" s="55">
        <v>0</v>
      </c>
      <c r="D47" s="55">
        <v>2</v>
      </c>
      <c r="E47" s="55">
        <v>5</v>
      </c>
      <c r="F47" s="55">
        <v>8</v>
      </c>
      <c r="G47" s="55">
        <v>9.92</v>
      </c>
      <c r="H47" s="55">
        <v>24.92</v>
      </c>
      <c r="J47" s="24"/>
      <c r="K47" s="24"/>
      <c r="L47" s="24"/>
      <c r="M47" s="24"/>
      <c r="N47" s="24"/>
      <c r="O47" s="24"/>
      <c r="P47" s="24"/>
      <c r="Q47" s="24"/>
    </row>
    <row r="48" spans="1:17" s="28" customFormat="1" ht="14" x14ac:dyDescent="0.35">
      <c r="A48" s="27">
        <v>93</v>
      </c>
      <c r="B48" s="28" t="s">
        <v>60</v>
      </c>
      <c r="C48" s="55">
        <v>0</v>
      </c>
      <c r="D48" s="55">
        <v>1</v>
      </c>
      <c r="E48" s="55">
        <v>5</v>
      </c>
      <c r="F48" s="55">
        <v>4.8125</v>
      </c>
      <c r="G48" s="55">
        <v>18</v>
      </c>
      <c r="H48" s="55">
        <v>28.8125</v>
      </c>
      <c r="J48" s="24"/>
      <c r="K48" s="24"/>
      <c r="L48" s="24"/>
      <c r="M48" s="24"/>
      <c r="N48" s="24"/>
      <c r="O48" s="24"/>
      <c r="P48" s="24"/>
      <c r="Q48" s="24"/>
    </row>
    <row r="49" spans="1:17" s="28" customFormat="1" ht="14" x14ac:dyDescent="0.35">
      <c r="A49" s="27">
        <v>95</v>
      </c>
      <c r="B49" s="28" t="s">
        <v>50</v>
      </c>
      <c r="C49" s="55">
        <v>2</v>
      </c>
      <c r="D49" s="55">
        <v>2</v>
      </c>
      <c r="E49" s="55">
        <v>13</v>
      </c>
      <c r="F49" s="55">
        <v>5.5</v>
      </c>
      <c r="G49" s="55">
        <v>35.1</v>
      </c>
      <c r="H49" s="55">
        <v>57.6</v>
      </c>
      <c r="J49" s="24"/>
      <c r="K49" s="24"/>
      <c r="L49" s="24"/>
      <c r="M49" s="24"/>
      <c r="N49" s="24"/>
      <c r="O49" s="24"/>
      <c r="P49" s="24"/>
      <c r="Q49" s="24"/>
    </row>
    <row r="50" spans="1:17" s="28" customFormat="1" ht="14" x14ac:dyDescent="0.35">
      <c r="A50" s="27">
        <v>97</v>
      </c>
      <c r="B50" s="28" t="s">
        <v>52</v>
      </c>
      <c r="C50" s="55">
        <v>0</v>
      </c>
      <c r="D50" s="55">
        <v>1</v>
      </c>
      <c r="E50" s="55">
        <v>7</v>
      </c>
      <c r="F50" s="55">
        <v>9</v>
      </c>
      <c r="G50" s="55">
        <v>28</v>
      </c>
      <c r="H50" s="55">
        <v>45</v>
      </c>
      <c r="J50" s="24"/>
      <c r="K50" s="24"/>
      <c r="L50" s="24"/>
      <c r="M50" s="24"/>
      <c r="N50" s="24"/>
      <c r="O50" s="24"/>
      <c r="P50" s="24"/>
      <c r="Q50" s="24"/>
    </row>
    <row r="51" spans="1:17" s="28" customFormat="1" ht="14" x14ac:dyDescent="0.35">
      <c r="A51" s="28">
        <v>77</v>
      </c>
      <c r="B51" s="42" t="s">
        <v>23</v>
      </c>
      <c r="C51" s="55">
        <v>1</v>
      </c>
      <c r="D51" s="55">
        <v>2</v>
      </c>
      <c r="E51" s="55">
        <v>7</v>
      </c>
      <c r="F51" s="55">
        <v>27</v>
      </c>
      <c r="G51" s="55">
        <v>71.180000000000007</v>
      </c>
      <c r="H51" s="55">
        <v>108.18</v>
      </c>
      <c r="J51" s="24"/>
      <c r="K51" s="24"/>
      <c r="L51" s="24"/>
      <c r="M51" s="24"/>
      <c r="N51" s="24"/>
      <c r="O51" s="24"/>
      <c r="P51" s="24"/>
      <c r="Q51" s="24"/>
    </row>
    <row r="52" spans="1:17" s="62" customFormat="1" x14ac:dyDescent="0.35">
      <c r="A52" s="27"/>
      <c r="B52" s="51"/>
      <c r="C52" s="60"/>
      <c r="D52" s="60"/>
      <c r="E52" s="61"/>
      <c r="F52" s="61"/>
      <c r="G52" s="61"/>
      <c r="H52" s="61"/>
    </row>
    <row r="53" spans="1:17" s="28" customFormat="1" ht="12.5" x14ac:dyDescent="0.35">
      <c r="A53" s="27"/>
      <c r="F53" s="43"/>
    </row>
    <row r="54" spans="1:17" s="28" customFormat="1" ht="12.5" x14ac:dyDescent="0.35">
      <c r="A54" s="27"/>
      <c r="B54" s="63" t="s">
        <v>71</v>
      </c>
      <c r="C54" s="43"/>
    </row>
    <row r="55" spans="1:17" x14ac:dyDescent="0.35">
      <c r="G55" s="59"/>
      <c r="H55" s="59"/>
    </row>
    <row r="56" spans="1:17" x14ac:dyDescent="0.35">
      <c r="F56" s="59"/>
    </row>
  </sheetData>
  <mergeCells count="1">
    <mergeCell ref="B1:H1"/>
  </mergeCells>
  <printOptions horizontalCentered="1" verticalCentered="1"/>
  <pageMargins left="0.43" right="0.46" top="0.33" bottom="0.25" header="0.31" footer="0.51181102362204722"/>
  <pageSetup paperSize="9" scale="7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1DDB3-A475-4124-BBD9-5C71248B6332}">
  <dimension ref="A1:J51"/>
  <sheetViews>
    <sheetView workbookViewId="0">
      <selection activeCell="A4" sqref="A4:H4"/>
    </sheetView>
  </sheetViews>
  <sheetFormatPr defaultColWidth="8.7265625" defaultRowHeight="14.5" x14ac:dyDescent="0.35"/>
  <cols>
    <col min="1" max="1" width="3.81640625" customWidth="1"/>
    <col min="2" max="2" width="15.1796875" style="5" bestFit="1" customWidth="1"/>
    <col min="3" max="3" width="12.54296875" style="5" bestFit="1" customWidth="1"/>
    <col min="4" max="4" width="14.1796875" style="5" bestFit="1" customWidth="1"/>
    <col min="5" max="5" width="14.54296875" style="5" bestFit="1" customWidth="1"/>
    <col min="6" max="6" width="14.1796875" style="5" bestFit="1" customWidth="1"/>
    <col min="7" max="7" width="13.1796875" style="5" bestFit="1" customWidth="1"/>
    <col min="8" max="8" width="23.453125" style="5" bestFit="1" customWidth="1"/>
    <col min="9" max="9" width="9.81640625" style="5" bestFit="1" customWidth="1"/>
    <col min="10" max="16384" width="8.7265625" style="5"/>
  </cols>
  <sheetData>
    <row r="1" spans="1:10" customFormat="1" ht="18" x14ac:dyDescent="0.35">
      <c r="A1" s="141"/>
      <c r="B1" s="155"/>
      <c r="C1" s="155"/>
      <c r="D1" s="155"/>
      <c r="E1" s="155"/>
      <c r="F1" s="155"/>
      <c r="G1" s="155"/>
      <c r="H1" s="155"/>
      <c r="I1" s="155"/>
      <c r="J1" s="155"/>
    </row>
    <row r="2" spans="1:10" x14ac:dyDescent="0.35">
      <c r="B2" s="142"/>
      <c r="C2" s="142" t="s">
        <v>72</v>
      </c>
      <c r="D2" s="142" t="s">
        <v>73</v>
      </c>
      <c r="E2" s="142" t="s">
        <v>74</v>
      </c>
      <c r="F2" s="142" t="s">
        <v>75</v>
      </c>
      <c r="G2" s="142" t="s">
        <v>76</v>
      </c>
      <c r="H2" s="142" t="s">
        <v>77</v>
      </c>
      <c r="I2" s="142" t="s">
        <v>78</v>
      </c>
      <c r="J2" s="142" t="s">
        <v>1</v>
      </c>
    </row>
    <row r="3" spans="1:10" x14ac:dyDescent="0.35">
      <c r="A3" s="27"/>
      <c r="B3" s="143" t="s">
        <v>80</v>
      </c>
      <c r="C3" s="143">
        <f>SUMPRODUCT(('2019a'!$C$2:$C$323='(2019a)'!C$2)*('2019a'!$D$2:$D$323))</f>
        <v>121</v>
      </c>
      <c r="D3" s="143">
        <f>SUMPRODUCT(('2019a'!$C$2:$C$323='(2019a)'!D$2)*('2019a'!$D$2:$D$323))</f>
        <v>172</v>
      </c>
      <c r="E3" s="143">
        <f>SUMPRODUCT(('2019a'!$C$2:$C$323='(2019a)'!E$2)*('2019a'!$D$2:$D$323))</f>
        <v>467.91</v>
      </c>
      <c r="F3" s="143">
        <f>SUMPRODUCT(('2019a'!$C$2:$C$323='(2019a)'!F$2)*('2019a'!$D$2:$D$323))</f>
        <v>1222.5999999999999</v>
      </c>
      <c r="G3" s="143">
        <f>SUMPRODUCT(('2019a'!$C$2:$C$323='(2019a)'!G$2)*('2019a'!$D$2:$D$323))</f>
        <v>3635.0699999999997</v>
      </c>
      <c r="H3" s="143">
        <f>SUMPRODUCT(('2019a'!$C$2:$C$323='(2019a)'!H$2)*('2019a'!$D$2:$D$323))</f>
        <v>3329.34</v>
      </c>
      <c r="I3" s="143">
        <f>SUMPRODUCT(('2019a'!$C$2:$C$323='(2019a)'!I$2)*('2019a'!$D$2:$D$323))</f>
        <v>13722.525</v>
      </c>
      <c r="J3" s="143">
        <f>SUM(C3:I3)</f>
        <v>22670.445</v>
      </c>
    </row>
    <row r="4" spans="1:10" x14ac:dyDescent="0.35">
      <c r="A4" s="27"/>
      <c r="B4" s="143" t="s">
        <v>55</v>
      </c>
      <c r="C4" s="143">
        <f>SUM(C5:C43)</f>
        <v>100</v>
      </c>
      <c r="D4" s="143">
        <f t="shared" ref="D4:J4" si="0">SUM(D5:D43)</f>
        <v>119</v>
      </c>
      <c r="E4" s="143">
        <f t="shared" si="0"/>
        <v>329.91</v>
      </c>
      <c r="F4" s="143">
        <f t="shared" si="0"/>
        <v>846.6</v>
      </c>
      <c r="G4" s="143">
        <f t="shared" si="0"/>
        <v>2030.71</v>
      </c>
      <c r="H4" s="143">
        <f t="shared" si="0"/>
        <v>1990.63</v>
      </c>
      <c r="I4" s="143">
        <f t="shared" si="0"/>
        <v>7106.494999999999</v>
      </c>
      <c r="J4" s="143">
        <f t="shared" si="0"/>
        <v>12523.344999999999</v>
      </c>
    </row>
    <row r="5" spans="1:10" x14ac:dyDescent="0.35">
      <c r="A5" s="27"/>
      <c r="B5" s="143" t="s">
        <v>7</v>
      </c>
      <c r="C5" s="143">
        <f>SUMPRODUCT(('2019a'!$B$2:$B$323='(2019a)'!$B5)*('2019a'!$C$2:$C$323='(2019a)'!C$2)*('2019a'!$D$2:$D$323))</f>
        <v>4</v>
      </c>
      <c r="D5" s="143">
        <f>SUMPRODUCT(('2019a'!$B$2:$B$323='(2019a)'!$B5)*('2019a'!$C$2:$C$323='(2019a)'!D$2)*('2019a'!$D$2:$D$323))</f>
        <v>4</v>
      </c>
      <c r="E5" s="143">
        <f>SUMPRODUCT(('2019a'!$B$2:$B$323='(2019a)'!$B5)*('2019a'!$C$2:$C$323='(2019a)'!E$2)*('2019a'!$D$2:$D$323))</f>
        <v>7</v>
      </c>
      <c r="F5" s="143">
        <f>SUMPRODUCT(('2019a'!$B$2:$B$323='(2019a)'!$B5)*('2019a'!$C$2:$C$323='(2019a)'!F$2)*('2019a'!$D$2:$D$323))</f>
        <v>19</v>
      </c>
      <c r="G5" s="143">
        <f>SUMPRODUCT(('2019a'!$B$2:$B$323='(2019a)'!$B5)*('2019a'!$C$2:$C$323='(2019a)'!G$2)*('2019a'!$D$2:$D$323))</f>
        <v>76.02</v>
      </c>
      <c r="H5" s="143">
        <f>SUMPRODUCT(('2019a'!$B$2:$B$323='(2019a)'!$B5)*('2019a'!$C$2:$C$323='(2019a)'!H$2)*('2019a'!$D$2:$D$323))</f>
        <v>60.5</v>
      </c>
      <c r="I5" s="143">
        <f>SUMPRODUCT(('2019a'!$B$2:$B$323='(2019a)'!$B5)*('2019a'!$C$2:$C$323='(2019a)'!I$2)*('2019a'!$D$2:$D$323))</f>
        <v>295.41000000000003</v>
      </c>
      <c r="J5" s="143">
        <f>SUM(C5:I5)</f>
        <v>465.93</v>
      </c>
    </row>
    <row r="6" spans="1:10" x14ac:dyDescent="0.35">
      <c r="A6" s="27"/>
      <c r="B6" s="143" t="s">
        <v>8</v>
      </c>
      <c r="C6" s="143">
        <f>SUMPRODUCT(('2019a'!$B$2:$B$323='(2019a)'!$B6)*('2019a'!$C$2:$C$323='(2019a)'!C$2)*('2019a'!$D$2:$D$323))</f>
        <v>2</v>
      </c>
      <c r="D6" s="143">
        <f>SUMPRODUCT(('2019a'!$B$2:$B$323='(2019a)'!$B6)*('2019a'!$C$2:$C$323='(2019a)'!D$2)*('2019a'!$D$2:$D$323))</f>
        <v>4</v>
      </c>
      <c r="E6" s="143">
        <f>SUMPRODUCT(('2019a'!$B$2:$B$323='(2019a)'!$B6)*('2019a'!$C$2:$C$323='(2019a)'!E$2)*('2019a'!$D$2:$D$323))</f>
        <v>10</v>
      </c>
      <c r="F6" s="143">
        <f>SUMPRODUCT(('2019a'!$B$2:$B$323='(2019a)'!$B6)*('2019a'!$C$2:$C$323='(2019a)'!F$2)*('2019a'!$D$2:$D$323))</f>
        <v>13</v>
      </c>
      <c r="G6" s="143">
        <f>SUMPRODUCT(('2019a'!$B$2:$B$323='(2019a)'!$B6)*('2019a'!$C$2:$C$323='(2019a)'!G$2)*('2019a'!$D$2:$D$323))</f>
        <v>37</v>
      </c>
      <c r="H6" s="143">
        <f>SUMPRODUCT(('2019a'!$B$2:$B$323='(2019a)'!$B6)*('2019a'!$C$2:$C$323='(2019a)'!H$2)*('2019a'!$D$2:$D$323))</f>
        <v>45</v>
      </c>
      <c r="I6" s="143">
        <f>SUMPRODUCT(('2019a'!$B$2:$B$323='(2019a)'!$B6)*('2019a'!$C$2:$C$323='(2019a)'!I$2)*('2019a'!$D$2:$D$323))</f>
        <v>170</v>
      </c>
      <c r="J6" s="143">
        <f t="shared" ref="J6:J43" si="1">SUM(C6:I6)</f>
        <v>281</v>
      </c>
    </row>
    <row r="7" spans="1:10" x14ac:dyDescent="0.35">
      <c r="A7" s="27"/>
      <c r="B7" s="143" t="s">
        <v>9</v>
      </c>
      <c r="C7" s="143">
        <f>SUMPRODUCT(('2019a'!$B$2:$B$323='(2019a)'!$B7)*('2019a'!$C$2:$C$323='(2019a)'!C$2)*('2019a'!$D$2:$D$323))</f>
        <v>3</v>
      </c>
      <c r="D7" s="143">
        <f>SUMPRODUCT(('2019a'!$B$2:$B$323='(2019a)'!$B7)*('2019a'!$C$2:$C$323='(2019a)'!D$2)*('2019a'!$D$2:$D$323))</f>
        <v>2</v>
      </c>
      <c r="E7" s="143">
        <f>SUMPRODUCT(('2019a'!$B$2:$B$323='(2019a)'!$B7)*('2019a'!$C$2:$C$323='(2019a)'!E$2)*('2019a'!$D$2:$D$323))</f>
        <v>6</v>
      </c>
      <c r="F7" s="143">
        <f>SUMPRODUCT(('2019a'!$B$2:$B$323='(2019a)'!$B7)*('2019a'!$C$2:$C$323='(2019a)'!F$2)*('2019a'!$D$2:$D$323))</f>
        <v>17</v>
      </c>
      <c r="G7" s="143">
        <f>SUMPRODUCT(('2019a'!$B$2:$B$323='(2019a)'!$B7)*('2019a'!$C$2:$C$323='(2019a)'!G$2)*('2019a'!$D$2:$D$323))</f>
        <v>54</v>
      </c>
      <c r="H7" s="143">
        <f>SUMPRODUCT(('2019a'!$B$2:$B$323='(2019a)'!$B7)*('2019a'!$C$2:$C$323='(2019a)'!H$2)*('2019a'!$D$2:$D$323))</f>
        <v>61</v>
      </c>
      <c r="I7" s="143">
        <f>SUMPRODUCT(('2019a'!$B$2:$B$323='(2019a)'!$B7)*('2019a'!$C$2:$C$323='(2019a)'!I$2)*('2019a'!$D$2:$D$323))</f>
        <v>223</v>
      </c>
      <c r="J7" s="143">
        <f t="shared" si="1"/>
        <v>366</v>
      </c>
    </row>
    <row r="8" spans="1:10" x14ac:dyDescent="0.35">
      <c r="A8" s="27"/>
      <c r="B8" s="143" t="s">
        <v>10</v>
      </c>
      <c r="C8" s="143">
        <f>SUMPRODUCT(('2019a'!$B$2:$B$323='(2019a)'!$B8)*('2019a'!$C$2:$C$323='(2019a)'!C$2)*('2019a'!$D$2:$D$323))</f>
        <v>2</v>
      </c>
      <c r="D8" s="143">
        <f>SUMPRODUCT(('2019a'!$B$2:$B$323='(2019a)'!$B8)*('2019a'!$C$2:$C$323='(2019a)'!D$2)*('2019a'!$D$2:$D$323))</f>
        <v>2</v>
      </c>
      <c r="E8" s="143">
        <f>SUMPRODUCT(('2019a'!$B$2:$B$323='(2019a)'!$B8)*('2019a'!$C$2:$C$323='(2019a)'!E$2)*('2019a'!$D$2:$D$323))</f>
        <v>6</v>
      </c>
      <c r="F8" s="143">
        <f>SUMPRODUCT(('2019a'!$B$2:$B$323='(2019a)'!$B8)*('2019a'!$C$2:$C$323='(2019a)'!F$2)*('2019a'!$D$2:$D$323))</f>
        <v>22</v>
      </c>
      <c r="G8" s="143">
        <f>SUMPRODUCT(('2019a'!$B$2:$B$323='(2019a)'!$B8)*('2019a'!$C$2:$C$323='(2019a)'!G$2)*('2019a'!$D$2:$D$323))</f>
        <v>34</v>
      </c>
      <c r="H8" s="143">
        <f>SUMPRODUCT(('2019a'!$B$2:$B$323='(2019a)'!$B8)*('2019a'!$C$2:$C$323='(2019a)'!H$2)*('2019a'!$D$2:$D$323))</f>
        <v>41</v>
      </c>
      <c r="I8" s="143">
        <f>SUMPRODUCT(('2019a'!$B$2:$B$323='(2019a)'!$B8)*('2019a'!$C$2:$C$323='(2019a)'!I$2)*('2019a'!$D$2:$D$323))</f>
        <v>129</v>
      </c>
      <c r="J8" s="143">
        <f t="shared" si="1"/>
        <v>236</v>
      </c>
    </row>
    <row r="9" spans="1:10" x14ac:dyDescent="0.35">
      <c r="A9" s="27"/>
      <c r="B9" s="143" t="s">
        <v>11</v>
      </c>
      <c r="C9" s="143">
        <f>SUMPRODUCT(('2019a'!$B$2:$B$323='(2019a)'!$B9)*('2019a'!$C$2:$C$323='(2019a)'!C$2)*('2019a'!$D$2:$D$323))</f>
        <v>2</v>
      </c>
      <c r="D9" s="143">
        <f>SUMPRODUCT(('2019a'!$B$2:$B$323='(2019a)'!$B9)*('2019a'!$C$2:$C$323='(2019a)'!D$2)*('2019a'!$D$2:$D$323))</f>
        <v>3</v>
      </c>
      <c r="E9" s="143">
        <f>SUMPRODUCT(('2019a'!$B$2:$B$323='(2019a)'!$B9)*('2019a'!$C$2:$C$323='(2019a)'!E$2)*('2019a'!$D$2:$D$323))</f>
        <v>10</v>
      </c>
      <c r="F9" s="143">
        <f>SUMPRODUCT(('2019a'!$B$2:$B$323='(2019a)'!$B9)*('2019a'!$C$2:$C$323='(2019a)'!F$2)*('2019a'!$D$2:$D$323))</f>
        <v>25</v>
      </c>
      <c r="G9" s="143">
        <f>SUMPRODUCT(('2019a'!$B$2:$B$323='(2019a)'!$B9)*('2019a'!$C$2:$C$323='(2019a)'!G$2)*('2019a'!$D$2:$D$323))</f>
        <v>49</v>
      </c>
      <c r="H9" s="143">
        <f>SUMPRODUCT(('2019a'!$B$2:$B$323='(2019a)'!$B9)*('2019a'!$C$2:$C$323='(2019a)'!H$2)*('2019a'!$D$2:$D$323))</f>
        <v>27</v>
      </c>
      <c r="I9" s="143">
        <f>SUMPRODUCT(('2019a'!$B$2:$B$323='(2019a)'!$B9)*('2019a'!$C$2:$C$323='(2019a)'!I$2)*('2019a'!$D$2:$D$323))</f>
        <v>136.5</v>
      </c>
      <c r="J9" s="143">
        <f t="shared" si="1"/>
        <v>252.5</v>
      </c>
    </row>
    <row r="10" spans="1:10" x14ac:dyDescent="0.35">
      <c r="A10" s="27"/>
      <c r="B10" s="143" t="s">
        <v>12</v>
      </c>
      <c r="C10" s="143">
        <f>SUMPRODUCT(('2019a'!$B$2:$B$323='(2019a)'!$B10)*('2019a'!$C$2:$C$323='(2019a)'!C$2)*('2019a'!$D$2:$D$323))</f>
        <v>3</v>
      </c>
      <c r="D10" s="143">
        <f>SUMPRODUCT(('2019a'!$B$2:$B$323='(2019a)'!$B10)*('2019a'!$C$2:$C$323='(2019a)'!D$2)*('2019a'!$D$2:$D$323))</f>
        <v>3</v>
      </c>
      <c r="E10" s="143">
        <f>SUMPRODUCT(('2019a'!$B$2:$B$323='(2019a)'!$B10)*('2019a'!$C$2:$C$323='(2019a)'!E$2)*('2019a'!$D$2:$D$323))</f>
        <v>7</v>
      </c>
      <c r="F10" s="143">
        <f>SUMPRODUCT(('2019a'!$B$2:$B$323='(2019a)'!$B10)*('2019a'!$C$2:$C$323='(2019a)'!F$2)*('2019a'!$D$2:$D$323))</f>
        <v>25</v>
      </c>
      <c r="G10" s="143">
        <f>SUMPRODUCT(('2019a'!$B$2:$B$323='(2019a)'!$B10)*('2019a'!$C$2:$C$323='(2019a)'!G$2)*('2019a'!$D$2:$D$323))</f>
        <v>63</v>
      </c>
      <c r="H10" s="143">
        <f>SUMPRODUCT(('2019a'!$B$2:$B$323='(2019a)'!$B10)*('2019a'!$C$2:$C$323='(2019a)'!H$2)*('2019a'!$D$2:$D$323))</f>
        <v>58</v>
      </c>
      <c r="I10" s="143">
        <f>SUMPRODUCT(('2019a'!$B$2:$B$323='(2019a)'!$B10)*('2019a'!$C$2:$C$323='(2019a)'!I$2)*('2019a'!$D$2:$D$323))</f>
        <v>255</v>
      </c>
      <c r="J10" s="143">
        <f t="shared" si="1"/>
        <v>414</v>
      </c>
    </row>
    <row r="11" spans="1:10" x14ac:dyDescent="0.35">
      <c r="A11" s="27"/>
      <c r="B11" s="143" t="s">
        <v>13</v>
      </c>
      <c r="C11" s="143">
        <f>SUMPRODUCT(('2019a'!$B$2:$B$323='(2019a)'!$B11)*('2019a'!$C$2:$C$323='(2019a)'!C$2)*('2019a'!$D$2:$D$323))</f>
        <v>2</v>
      </c>
      <c r="D11" s="143">
        <f>SUMPRODUCT(('2019a'!$B$2:$B$323='(2019a)'!$B11)*('2019a'!$C$2:$C$323='(2019a)'!D$2)*('2019a'!$D$2:$D$323))</f>
        <v>2</v>
      </c>
      <c r="E11" s="143">
        <f>SUMPRODUCT(('2019a'!$B$2:$B$323='(2019a)'!$B11)*('2019a'!$C$2:$C$323='(2019a)'!E$2)*('2019a'!$D$2:$D$323))</f>
        <v>5</v>
      </c>
      <c r="F11" s="143">
        <f>SUMPRODUCT(('2019a'!$B$2:$B$323='(2019a)'!$B11)*('2019a'!$C$2:$C$323='(2019a)'!F$2)*('2019a'!$D$2:$D$323))</f>
        <v>16</v>
      </c>
      <c r="G11" s="143">
        <f>SUMPRODUCT(('2019a'!$B$2:$B$323='(2019a)'!$B11)*('2019a'!$C$2:$C$323='(2019a)'!G$2)*('2019a'!$D$2:$D$323))</f>
        <v>49</v>
      </c>
      <c r="H11" s="143">
        <f>SUMPRODUCT(('2019a'!$B$2:$B$323='(2019a)'!$B11)*('2019a'!$C$2:$C$323='(2019a)'!H$2)*('2019a'!$D$2:$D$323))</f>
        <v>53</v>
      </c>
      <c r="I11" s="143">
        <f>SUMPRODUCT(('2019a'!$B$2:$B$323='(2019a)'!$B11)*('2019a'!$C$2:$C$323='(2019a)'!I$2)*('2019a'!$D$2:$D$323))</f>
        <v>199</v>
      </c>
      <c r="J11" s="143">
        <f t="shared" si="1"/>
        <v>326</v>
      </c>
    </row>
    <row r="12" spans="1:10" x14ac:dyDescent="0.35">
      <c r="A12" s="27"/>
      <c r="B12" s="143" t="s">
        <v>14</v>
      </c>
      <c r="C12" s="143">
        <f>SUMPRODUCT(('2019a'!$B$2:$B$323='(2019a)'!$B12)*('2019a'!$C$2:$C$323='(2019a)'!C$2)*('2019a'!$D$2:$D$323))</f>
        <v>2</v>
      </c>
      <c r="D12" s="143">
        <f>SUMPRODUCT(('2019a'!$B$2:$B$323='(2019a)'!$B12)*('2019a'!$C$2:$C$323='(2019a)'!D$2)*('2019a'!$D$2:$D$323))</f>
        <v>4</v>
      </c>
      <c r="E12" s="143">
        <f>SUMPRODUCT(('2019a'!$B$2:$B$323='(2019a)'!$B12)*('2019a'!$C$2:$C$323='(2019a)'!E$2)*('2019a'!$D$2:$D$323))</f>
        <v>5</v>
      </c>
      <c r="F12" s="143">
        <f>SUMPRODUCT(('2019a'!$B$2:$B$323='(2019a)'!$B12)*('2019a'!$C$2:$C$323='(2019a)'!F$2)*('2019a'!$D$2:$D$323))</f>
        <v>17</v>
      </c>
      <c r="G12" s="143">
        <f>SUMPRODUCT(('2019a'!$B$2:$B$323='(2019a)'!$B12)*('2019a'!$C$2:$C$323='(2019a)'!G$2)*('2019a'!$D$2:$D$323))</f>
        <v>37.5</v>
      </c>
      <c r="H12" s="143">
        <f>SUMPRODUCT(('2019a'!$B$2:$B$323='(2019a)'!$B12)*('2019a'!$C$2:$C$323='(2019a)'!H$2)*('2019a'!$D$2:$D$323))</f>
        <v>20</v>
      </c>
      <c r="I12" s="143">
        <f>SUMPRODUCT(('2019a'!$B$2:$B$323='(2019a)'!$B12)*('2019a'!$C$2:$C$323='(2019a)'!I$2)*('2019a'!$D$2:$D$323))</f>
        <v>105</v>
      </c>
      <c r="J12" s="143">
        <f t="shared" si="1"/>
        <v>190.5</v>
      </c>
    </row>
    <row r="13" spans="1:10" x14ac:dyDescent="0.35">
      <c r="A13" s="27"/>
      <c r="B13" s="143" t="s">
        <v>15</v>
      </c>
      <c r="C13" s="143">
        <f>SUMPRODUCT(('2019a'!$B$2:$B$323='(2019a)'!$B13)*('2019a'!$C$2:$C$323='(2019a)'!C$2)*('2019a'!$D$2:$D$323))</f>
        <v>2</v>
      </c>
      <c r="D13" s="143">
        <f>SUMPRODUCT(('2019a'!$B$2:$B$323='(2019a)'!$B13)*('2019a'!$C$2:$C$323='(2019a)'!D$2)*('2019a'!$D$2:$D$323))</f>
        <v>4</v>
      </c>
      <c r="E13" s="143">
        <f>SUMPRODUCT(('2019a'!$B$2:$B$323='(2019a)'!$B13)*('2019a'!$C$2:$C$323='(2019a)'!E$2)*('2019a'!$D$2:$D$323))</f>
        <v>10</v>
      </c>
      <c r="F13" s="143">
        <f>SUMPRODUCT(('2019a'!$B$2:$B$323='(2019a)'!$B13)*('2019a'!$C$2:$C$323='(2019a)'!F$2)*('2019a'!$D$2:$D$323))</f>
        <v>17</v>
      </c>
      <c r="G13" s="143">
        <f>SUMPRODUCT(('2019a'!$B$2:$B$323='(2019a)'!$B13)*('2019a'!$C$2:$C$323='(2019a)'!G$2)*('2019a'!$D$2:$D$323))</f>
        <v>26</v>
      </c>
      <c r="H13" s="143">
        <f>SUMPRODUCT(('2019a'!$B$2:$B$323='(2019a)'!$B13)*('2019a'!$C$2:$C$323='(2019a)'!H$2)*('2019a'!$D$2:$D$323))</f>
        <v>25.13</v>
      </c>
      <c r="I13" s="143">
        <f>SUMPRODUCT(('2019a'!$B$2:$B$323='(2019a)'!$B13)*('2019a'!$C$2:$C$323='(2019a)'!I$2)*('2019a'!$D$2:$D$323))</f>
        <v>122</v>
      </c>
      <c r="J13" s="143">
        <f t="shared" si="1"/>
        <v>206.13</v>
      </c>
    </row>
    <row r="14" spans="1:10" x14ac:dyDescent="0.35">
      <c r="A14" s="27"/>
      <c r="B14" s="143" t="s">
        <v>16</v>
      </c>
      <c r="C14" s="143">
        <f>SUMPRODUCT(('2019a'!$B$2:$B$323='(2019a)'!$B14)*('2019a'!$C$2:$C$323='(2019a)'!C$2)*('2019a'!$D$2:$D$323))</f>
        <v>2</v>
      </c>
      <c r="D14" s="143">
        <f>SUMPRODUCT(('2019a'!$B$2:$B$323='(2019a)'!$B14)*('2019a'!$C$2:$C$323='(2019a)'!D$2)*('2019a'!$D$2:$D$323))</f>
        <v>3</v>
      </c>
      <c r="E14" s="143">
        <f>SUMPRODUCT(('2019a'!$B$2:$B$323='(2019a)'!$B14)*('2019a'!$C$2:$C$323='(2019a)'!E$2)*('2019a'!$D$2:$D$323))</f>
        <v>9</v>
      </c>
      <c r="F14" s="143">
        <f>SUMPRODUCT(('2019a'!$B$2:$B$323='(2019a)'!$B14)*('2019a'!$C$2:$C$323='(2019a)'!F$2)*('2019a'!$D$2:$D$323))</f>
        <v>20</v>
      </c>
      <c r="G14" s="143">
        <f>SUMPRODUCT(('2019a'!$B$2:$B$323='(2019a)'!$B14)*('2019a'!$C$2:$C$323='(2019a)'!G$2)*('2019a'!$D$2:$D$323))</f>
        <v>58</v>
      </c>
      <c r="H14" s="143">
        <f>SUMPRODUCT(('2019a'!$B$2:$B$323='(2019a)'!$B14)*('2019a'!$C$2:$C$323='(2019a)'!H$2)*('2019a'!$D$2:$D$323))</f>
        <v>61</v>
      </c>
      <c r="I14" s="143">
        <f>SUMPRODUCT(('2019a'!$B$2:$B$323='(2019a)'!$B14)*('2019a'!$C$2:$C$323='(2019a)'!I$2)*('2019a'!$D$2:$D$323))</f>
        <v>196</v>
      </c>
      <c r="J14" s="143">
        <f t="shared" si="1"/>
        <v>349</v>
      </c>
    </row>
    <row r="15" spans="1:10" x14ac:dyDescent="0.35">
      <c r="A15" s="27"/>
      <c r="B15" s="143" t="s">
        <v>17</v>
      </c>
      <c r="C15" s="143">
        <f>SUMPRODUCT(('2019a'!$B$2:$B$323='(2019a)'!$B15)*('2019a'!$C$2:$C$323='(2019a)'!C$2)*('2019a'!$D$2:$D$323))</f>
        <v>3</v>
      </c>
      <c r="D15" s="143">
        <f>SUMPRODUCT(('2019a'!$B$2:$B$323='(2019a)'!$B15)*('2019a'!$C$2:$C$323='(2019a)'!D$2)*('2019a'!$D$2:$D$323))</f>
        <v>7</v>
      </c>
      <c r="E15" s="143">
        <f>SUMPRODUCT(('2019a'!$B$2:$B$323='(2019a)'!$B15)*('2019a'!$C$2:$C$323='(2019a)'!E$2)*('2019a'!$D$2:$D$323))</f>
        <v>26</v>
      </c>
      <c r="F15" s="143">
        <f>SUMPRODUCT(('2019a'!$B$2:$B$323='(2019a)'!$B15)*('2019a'!$C$2:$C$323='(2019a)'!F$2)*('2019a'!$D$2:$D$323))</f>
        <v>51.5</v>
      </c>
      <c r="G15" s="143">
        <f>SUMPRODUCT(('2019a'!$B$2:$B$323='(2019a)'!$B15)*('2019a'!$C$2:$C$323='(2019a)'!G$2)*('2019a'!$D$2:$D$323))</f>
        <v>110.8</v>
      </c>
      <c r="H15" s="143">
        <f>SUMPRODUCT(('2019a'!$B$2:$B$323='(2019a)'!$B15)*('2019a'!$C$2:$C$323='(2019a)'!H$2)*('2019a'!$D$2:$D$323))</f>
        <v>74.5</v>
      </c>
      <c r="I15" s="143">
        <f>SUMPRODUCT(('2019a'!$B$2:$B$323='(2019a)'!$B15)*('2019a'!$C$2:$C$323='(2019a)'!I$2)*('2019a'!$D$2:$D$323))</f>
        <v>249.5</v>
      </c>
      <c r="J15" s="143">
        <f t="shared" si="1"/>
        <v>522.29999999999995</v>
      </c>
    </row>
    <row r="16" spans="1:10" x14ac:dyDescent="0.35">
      <c r="A16" s="27"/>
      <c r="B16" s="143" t="s">
        <v>115</v>
      </c>
      <c r="C16" s="143">
        <f>SUMPRODUCT(('2019a'!$B$2:$B$323='(2019a)'!$B16)*('2019a'!$C$2:$C$323='(2019a)'!C$2)*('2019a'!$D$2:$D$323))</f>
        <v>3</v>
      </c>
      <c r="D16" s="143">
        <f>SUMPRODUCT(('2019a'!$B$2:$B$323='(2019a)'!$B16)*('2019a'!$C$2:$C$323='(2019a)'!D$2)*('2019a'!$D$2:$D$323))</f>
        <v>5</v>
      </c>
      <c r="E16" s="143">
        <f>SUMPRODUCT(('2019a'!$B$2:$B$323='(2019a)'!$B16)*('2019a'!$C$2:$C$323='(2019a)'!E$2)*('2019a'!$D$2:$D$323))</f>
        <v>10</v>
      </c>
      <c r="F16" s="143">
        <f>SUMPRODUCT(('2019a'!$B$2:$B$323='(2019a)'!$B16)*('2019a'!$C$2:$C$323='(2019a)'!F$2)*('2019a'!$D$2:$D$323))</f>
        <v>37</v>
      </c>
      <c r="G16" s="143">
        <f>SUMPRODUCT(('2019a'!$B$2:$B$323='(2019a)'!$B16)*('2019a'!$C$2:$C$323='(2019a)'!G$2)*('2019a'!$D$2:$D$323))</f>
        <v>74</v>
      </c>
      <c r="H16" s="143">
        <f>SUMPRODUCT(('2019a'!$B$2:$B$323='(2019a)'!$B16)*('2019a'!$C$2:$C$323='(2019a)'!H$2)*('2019a'!$D$2:$D$323))</f>
        <v>67</v>
      </c>
      <c r="I16" s="143">
        <f>SUMPRODUCT(('2019a'!$B$2:$B$323='(2019a)'!$B16)*('2019a'!$C$2:$C$323='(2019a)'!I$2)*('2019a'!$D$2:$D$323))</f>
        <v>228</v>
      </c>
      <c r="J16" s="143">
        <f t="shared" si="1"/>
        <v>424</v>
      </c>
    </row>
    <row r="17" spans="1:10" x14ac:dyDescent="0.35">
      <c r="A17" s="27"/>
      <c r="B17" s="143" t="s">
        <v>19</v>
      </c>
      <c r="C17" s="143">
        <f>SUMPRODUCT(('2019a'!$B$2:$B$323='(2019a)'!$B17)*('2019a'!$C$2:$C$323='(2019a)'!C$2)*('2019a'!$D$2:$D$323))</f>
        <v>3</v>
      </c>
      <c r="D17" s="143">
        <f>SUMPRODUCT(('2019a'!$B$2:$B$323='(2019a)'!$B17)*('2019a'!$C$2:$C$323='(2019a)'!D$2)*('2019a'!$D$2:$D$323))</f>
        <v>3</v>
      </c>
      <c r="E17" s="143">
        <f>SUMPRODUCT(('2019a'!$B$2:$B$323='(2019a)'!$B17)*('2019a'!$C$2:$C$323='(2019a)'!E$2)*('2019a'!$D$2:$D$323))</f>
        <v>4</v>
      </c>
      <c r="F17" s="143">
        <f>SUMPRODUCT(('2019a'!$B$2:$B$323='(2019a)'!$B17)*('2019a'!$C$2:$C$323='(2019a)'!F$2)*('2019a'!$D$2:$D$323))</f>
        <v>23</v>
      </c>
      <c r="G17" s="143">
        <f>SUMPRODUCT(('2019a'!$B$2:$B$323='(2019a)'!$B17)*('2019a'!$C$2:$C$323='(2019a)'!G$2)*('2019a'!$D$2:$D$323))</f>
        <v>37</v>
      </c>
      <c r="H17" s="143">
        <f>SUMPRODUCT(('2019a'!$B$2:$B$323='(2019a)'!$B17)*('2019a'!$C$2:$C$323='(2019a)'!H$2)*('2019a'!$D$2:$D$323))</f>
        <v>52</v>
      </c>
      <c r="I17" s="143">
        <f>SUMPRODUCT(('2019a'!$B$2:$B$323='(2019a)'!$B17)*('2019a'!$C$2:$C$323='(2019a)'!I$2)*('2019a'!$D$2:$D$323))</f>
        <v>173</v>
      </c>
      <c r="J17" s="143">
        <f t="shared" si="1"/>
        <v>295</v>
      </c>
    </row>
    <row r="18" spans="1:10" x14ac:dyDescent="0.35">
      <c r="A18" s="27"/>
      <c r="B18" s="143" t="s">
        <v>20</v>
      </c>
      <c r="C18" s="143">
        <f>SUMPRODUCT(('2019a'!$B$2:$B$323='(2019a)'!$B18)*('2019a'!$C$2:$C$323='(2019a)'!C$2)*('2019a'!$D$2:$D$323))</f>
        <v>3</v>
      </c>
      <c r="D18" s="143">
        <f>SUMPRODUCT(('2019a'!$B$2:$B$323='(2019a)'!$B18)*('2019a'!$C$2:$C$323='(2019a)'!D$2)*('2019a'!$D$2:$D$323))</f>
        <v>3</v>
      </c>
      <c r="E18" s="143">
        <f>SUMPRODUCT(('2019a'!$B$2:$B$323='(2019a)'!$B18)*('2019a'!$C$2:$C$323='(2019a)'!E$2)*('2019a'!$D$2:$D$323))</f>
        <v>8</v>
      </c>
      <c r="F18" s="143">
        <f>SUMPRODUCT(('2019a'!$B$2:$B$323='(2019a)'!$B18)*('2019a'!$C$2:$C$323='(2019a)'!F$2)*('2019a'!$D$2:$D$323))</f>
        <v>25</v>
      </c>
      <c r="G18" s="143">
        <f>SUMPRODUCT(('2019a'!$B$2:$B$323='(2019a)'!$B18)*('2019a'!$C$2:$C$323='(2019a)'!G$2)*('2019a'!$D$2:$D$323))</f>
        <v>55.5</v>
      </c>
      <c r="H18" s="143">
        <f>SUMPRODUCT(('2019a'!$B$2:$B$323='(2019a)'!$B18)*('2019a'!$C$2:$C$323='(2019a)'!H$2)*('2019a'!$D$2:$D$323))</f>
        <v>58.5</v>
      </c>
      <c r="I18" s="143">
        <f>SUMPRODUCT(('2019a'!$B$2:$B$323='(2019a)'!$B18)*('2019a'!$C$2:$C$323='(2019a)'!I$2)*('2019a'!$D$2:$D$323))</f>
        <v>197.5</v>
      </c>
      <c r="J18" s="143">
        <f t="shared" si="1"/>
        <v>350.5</v>
      </c>
    </row>
    <row r="19" spans="1:10" x14ac:dyDescent="0.35">
      <c r="A19" s="27"/>
      <c r="B19" s="143" t="s">
        <v>21</v>
      </c>
      <c r="C19" s="143">
        <f>SUMPRODUCT(('2019a'!$B$2:$B$323='(2019a)'!$B19)*('2019a'!$C$2:$C$323='(2019a)'!C$2)*('2019a'!$D$2:$D$323))</f>
        <v>1</v>
      </c>
      <c r="D19" s="143">
        <f>SUMPRODUCT(('2019a'!$B$2:$B$323='(2019a)'!$B19)*('2019a'!$C$2:$C$323='(2019a)'!D$2)*('2019a'!$D$2:$D$323))</f>
        <v>4</v>
      </c>
      <c r="E19" s="143">
        <f>SUMPRODUCT(('2019a'!$B$2:$B$323='(2019a)'!$B19)*('2019a'!$C$2:$C$323='(2019a)'!E$2)*('2019a'!$D$2:$D$323))</f>
        <v>13</v>
      </c>
      <c r="F19" s="143">
        <f>SUMPRODUCT(('2019a'!$B$2:$B$323='(2019a)'!$B19)*('2019a'!$C$2:$C$323='(2019a)'!F$2)*('2019a'!$D$2:$D$323))</f>
        <v>39</v>
      </c>
      <c r="G19" s="143">
        <f>SUMPRODUCT(('2019a'!$B$2:$B$323='(2019a)'!$B19)*('2019a'!$C$2:$C$323='(2019a)'!G$2)*('2019a'!$D$2:$D$323))</f>
        <v>118</v>
      </c>
      <c r="H19" s="143">
        <f>SUMPRODUCT(('2019a'!$B$2:$B$323='(2019a)'!$B19)*('2019a'!$C$2:$C$323='(2019a)'!H$2)*('2019a'!$D$2:$D$323))</f>
        <v>85</v>
      </c>
      <c r="I19" s="143">
        <f>SUMPRODUCT(('2019a'!$B$2:$B$323='(2019a)'!$B19)*('2019a'!$C$2:$C$323='(2019a)'!I$2)*('2019a'!$D$2:$D$323))</f>
        <v>368</v>
      </c>
      <c r="J19" s="143">
        <f t="shared" si="1"/>
        <v>628</v>
      </c>
    </row>
    <row r="20" spans="1:10" x14ac:dyDescent="0.35">
      <c r="A20" s="27"/>
      <c r="B20" s="143" t="s">
        <v>22</v>
      </c>
      <c r="C20" s="143">
        <f>SUMPRODUCT(('2019a'!$B$2:$B$323='(2019a)'!$B20)*('2019a'!$C$2:$C$323='(2019a)'!C$2)*('2019a'!$D$2:$D$323))</f>
        <v>3</v>
      </c>
      <c r="D20" s="143">
        <f>SUMPRODUCT(('2019a'!$B$2:$B$323='(2019a)'!$B20)*('2019a'!$C$2:$C$323='(2019a)'!D$2)*('2019a'!$D$2:$D$323))</f>
        <v>4</v>
      </c>
      <c r="E20" s="143">
        <f>SUMPRODUCT(('2019a'!$B$2:$B$323='(2019a)'!$B20)*('2019a'!$C$2:$C$323='(2019a)'!E$2)*('2019a'!$D$2:$D$323))</f>
        <v>6</v>
      </c>
      <c r="F20" s="143">
        <f>SUMPRODUCT(('2019a'!$B$2:$B$323='(2019a)'!$B20)*('2019a'!$C$2:$C$323='(2019a)'!F$2)*('2019a'!$D$2:$D$323))</f>
        <v>17</v>
      </c>
      <c r="G20" s="143">
        <f>SUMPRODUCT(('2019a'!$B$2:$B$323='(2019a)'!$B20)*('2019a'!$C$2:$C$323='(2019a)'!G$2)*('2019a'!$D$2:$D$323))</f>
        <v>19</v>
      </c>
      <c r="H20" s="143">
        <f>SUMPRODUCT(('2019a'!$B$2:$B$323='(2019a)'!$B20)*('2019a'!$C$2:$C$323='(2019a)'!H$2)*('2019a'!$D$2:$D$323))</f>
        <v>32</v>
      </c>
      <c r="I20" s="143">
        <f>SUMPRODUCT(('2019a'!$B$2:$B$323='(2019a)'!$B20)*('2019a'!$C$2:$C$323='(2019a)'!I$2)*('2019a'!$D$2:$D$323))</f>
        <v>88.89</v>
      </c>
      <c r="J20" s="143">
        <f t="shared" si="1"/>
        <v>169.89</v>
      </c>
    </row>
    <row r="21" spans="1:10" x14ac:dyDescent="0.35">
      <c r="A21" s="27"/>
      <c r="B21" s="143" t="s">
        <v>25</v>
      </c>
      <c r="C21" s="143">
        <f>SUMPRODUCT(('2019a'!$B$2:$B$323='(2019a)'!$B21)*('2019a'!$C$2:$C$323='(2019a)'!C$2)*('2019a'!$D$2:$D$323))</f>
        <v>4</v>
      </c>
      <c r="D21" s="143">
        <f>SUMPRODUCT(('2019a'!$B$2:$B$323='(2019a)'!$B21)*('2019a'!$C$2:$C$323='(2019a)'!D$2)*('2019a'!$D$2:$D$323))</f>
        <v>5</v>
      </c>
      <c r="E21" s="143">
        <f>SUMPRODUCT(('2019a'!$B$2:$B$323='(2019a)'!$B21)*('2019a'!$C$2:$C$323='(2019a)'!E$2)*('2019a'!$D$2:$D$323))</f>
        <v>18</v>
      </c>
      <c r="F21" s="143">
        <f>SUMPRODUCT(('2019a'!$B$2:$B$323='(2019a)'!$B21)*('2019a'!$C$2:$C$323='(2019a)'!F$2)*('2019a'!$D$2:$D$323))</f>
        <v>36.5</v>
      </c>
      <c r="G21" s="143">
        <f>SUMPRODUCT(('2019a'!$B$2:$B$323='(2019a)'!$B21)*('2019a'!$C$2:$C$323='(2019a)'!G$2)*('2019a'!$D$2:$D$323))</f>
        <v>91</v>
      </c>
      <c r="H21" s="143">
        <f>SUMPRODUCT(('2019a'!$B$2:$B$323='(2019a)'!$B21)*('2019a'!$C$2:$C$323='(2019a)'!H$2)*('2019a'!$D$2:$D$323))</f>
        <v>96.5</v>
      </c>
      <c r="I21" s="143">
        <f>SUMPRODUCT(('2019a'!$B$2:$B$323='(2019a)'!$B21)*('2019a'!$C$2:$C$323='(2019a)'!I$2)*('2019a'!$D$2:$D$323))</f>
        <v>399.04500000000002</v>
      </c>
      <c r="J21" s="143">
        <f t="shared" si="1"/>
        <v>650.04500000000007</v>
      </c>
    </row>
    <row r="22" spans="1:10" x14ac:dyDescent="0.35">
      <c r="A22" s="27"/>
      <c r="B22" s="143" t="s">
        <v>26</v>
      </c>
      <c r="C22" s="143">
        <f>SUMPRODUCT(('2019a'!$B$2:$B$323='(2019a)'!$B22)*('2019a'!$C$2:$C$323='(2019a)'!C$2)*('2019a'!$D$2:$D$323))</f>
        <v>3</v>
      </c>
      <c r="D22" s="143">
        <f>SUMPRODUCT(('2019a'!$B$2:$B$323='(2019a)'!$B22)*('2019a'!$C$2:$C$323='(2019a)'!D$2)*('2019a'!$D$2:$D$323))</f>
        <v>3</v>
      </c>
      <c r="E22" s="143">
        <f>SUMPRODUCT(('2019a'!$B$2:$B$323='(2019a)'!$B22)*('2019a'!$C$2:$C$323='(2019a)'!E$2)*('2019a'!$D$2:$D$323))</f>
        <v>11</v>
      </c>
      <c r="F22" s="143">
        <f>SUMPRODUCT(('2019a'!$B$2:$B$323='(2019a)'!$B22)*('2019a'!$C$2:$C$323='(2019a)'!F$2)*('2019a'!$D$2:$D$323))</f>
        <v>17</v>
      </c>
      <c r="G22" s="143">
        <f>SUMPRODUCT(('2019a'!$B$2:$B$323='(2019a)'!$B22)*('2019a'!$C$2:$C$323='(2019a)'!G$2)*('2019a'!$D$2:$D$323))</f>
        <v>45</v>
      </c>
      <c r="H22" s="143">
        <f>SUMPRODUCT(('2019a'!$B$2:$B$323='(2019a)'!$B22)*('2019a'!$C$2:$C$323='(2019a)'!H$2)*('2019a'!$D$2:$D$323))</f>
        <v>43</v>
      </c>
      <c r="I22" s="143">
        <f>SUMPRODUCT(('2019a'!$B$2:$B$323='(2019a)'!$B22)*('2019a'!$C$2:$C$323='(2019a)'!I$2)*('2019a'!$D$2:$D$323))</f>
        <v>102</v>
      </c>
      <c r="J22" s="143">
        <f t="shared" si="1"/>
        <v>224</v>
      </c>
    </row>
    <row r="23" spans="1:10" x14ac:dyDescent="0.35">
      <c r="A23" s="27"/>
      <c r="B23" s="143" t="s">
        <v>27</v>
      </c>
      <c r="C23" s="143">
        <f>SUMPRODUCT(('2019a'!$B$2:$B$323='(2019a)'!$B23)*('2019a'!$C$2:$C$323='(2019a)'!C$2)*('2019a'!$D$2:$D$323))</f>
        <v>3</v>
      </c>
      <c r="D23" s="143">
        <f>SUMPRODUCT(('2019a'!$B$2:$B$323='(2019a)'!$B23)*('2019a'!$C$2:$C$323='(2019a)'!D$2)*('2019a'!$D$2:$D$323))</f>
        <v>4</v>
      </c>
      <c r="E23" s="143">
        <f>SUMPRODUCT(('2019a'!$B$2:$B$323='(2019a)'!$B23)*('2019a'!$C$2:$C$323='(2019a)'!E$2)*('2019a'!$D$2:$D$323))</f>
        <v>10</v>
      </c>
      <c r="F23" s="143">
        <f>SUMPRODUCT(('2019a'!$B$2:$B$323='(2019a)'!$B23)*('2019a'!$C$2:$C$323='(2019a)'!F$2)*('2019a'!$D$2:$D$323))</f>
        <v>19.600000000000001</v>
      </c>
      <c r="G23" s="143">
        <f>SUMPRODUCT(('2019a'!$B$2:$B$323='(2019a)'!$B23)*('2019a'!$C$2:$C$323='(2019a)'!G$2)*('2019a'!$D$2:$D$323))</f>
        <v>74</v>
      </c>
      <c r="H23" s="143">
        <f>SUMPRODUCT(('2019a'!$B$2:$B$323='(2019a)'!$B23)*('2019a'!$C$2:$C$323='(2019a)'!H$2)*('2019a'!$D$2:$D$323))</f>
        <v>76</v>
      </c>
      <c r="I23" s="143">
        <f>SUMPRODUCT(('2019a'!$B$2:$B$323='(2019a)'!$B23)*('2019a'!$C$2:$C$323='(2019a)'!I$2)*('2019a'!$D$2:$D$323))</f>
        <v>277</v>
      </c>
      <c r="J23" s="143">
        <f t="shared" si="1"/>
        <v>463.6</v>
      </c>
    </row>
    <row r="24" spans="1:10" x14ac:dyDescent="0.35">
      <c r="A24" s="27"/>
      <c r="B24" s="143" t="s">
        <v>28</v>
      </c>
      <c r="C24" s="143">
        <f>SUMPRODUCT(('2019a'!$B$2:$B$323='(2019a)'!$B24)*('2019a'!$C$2:$C$323='(2019a)'!C$2)*('2019a'!$D$2:$D$323))</f>
        <v>2</v>
      </c>
      <c r="D24" s="143">
        <f>SUMPRODUCT(('2019a'!$B$2:$B$323='(2019a)'!$B24)*('2019a'!$C$2:$C$323='(2019a)'!D$2)*('2019a'!$D$2:$D$323))</f>
        <v>3</v>
      </c>
      <c r="E24" s="143">
        <f>SUMPRODUCT(('2019a'!$B$2:$B$323='(2019a)'!$B24)*('2019a'!$C$2:$C$323='(2019a)'!E$2)*('2019a'!$D$2:$D$323))</f>
        <v>12</v>
      </c>
      <c r="F24" s="143">
        <f>SUMPRODUCT(('2019a'!$B$2:$B$323='(2019a)'!$B24)*('2019a'!$C$2:$C$323='(2019a)'!F$2)*('2019a'!$D$2:$D$323))</f>
        <v>24</v>
      </c>
      <c r="G24" s="143">
        <f>SUMPRODUCT(('2019a'!$B$2:$B$323='(2019a)'!$B24)*('2019a'!$C$2:$C$323='(2019a)'!G$2)*('2019a'!$D$2:$D$323))</f>
        <v>76</v>
      </c>
      <c r="H24" s="143">
        <f>SUMPRODUCT(('2019a'!$B$2:$B$323='(2019a)'!$B24)*('2019a'!$C$2:$C$323='(2019a)'!H$2)*('2019a'!$D$2:$D$323))</f>
        <v>65</v>
      </c>
      <c r="I24" s="143">
        <f>SUMPRODUCT(('2019a'!$B$2:$B$323='(2019a)'!$B24)*('2019a'!$C$2:$C$323='(2019a)'!I$2)*('2019a'!$D$2:$D$323))</f>
        <v>312</v>
      </c>
      <c r="J24" s="143">
        <f t="shared" si="1"/>
        <v>494</v>
      </c>
    </row>
    <row r="25" spans="1:10" x14ac:dyDescent="0.35">
      <c r="A25" s="27"/>
      <c r="B25" s="143" t="s">
        <v>58</v>
      </c>
      <c r="C25" s="143">
        <f>SUMPRODUCT(('2019a'!$B$2:$B$323='(2019a)'!$B25)*('2019a'!$C$2:$C$323='(2019a)'!C$2)*('2019a'!$D$2:$D$323))</f>
        <v>0</v>
      </c>
      <c r="D25" s="143">
        <f>SUMPRODUCT(('2019a'!$B$2:$B$323='(2019a)'!$B25)*('2019a'!$C$2:$C$323='(2019a)'!D$2)*('2019a'!$D$2:$D$323))</f>
        <v>0</v>
      </c>
      <c r="E25" s="143">
        <f>SUMPRODUCT(('2019a'!$B$2:$B$323='(2019a)'!$B25)*('2019a'!$C$2:$C$323='(2019a)'!E$2)*('2019a'!$D$2:$D$323))</f>
        <v>2</v>
      </c>
      <c r="F25" s="143">
        <f>SUMPRODUCT(('2019a'!$B$2:$B$323='(2019a)'!$B25)*('2019a'!$C$2:$C$323='(2019a)'!F$2)*('2019a'!$D$2:$D$323))</f>
        <v>6</v>
      </c>
      <c r="G25" s="143">
        <f>SUMPRODUCT(('2019a'!$B$2:$B$323='(2019a)'!$B25)*('2019a'!$C$2:$C$323='(2019a)'!G$2)*('2019a'!$D$2:$D$323))</f>
        <v>14</v>
      </c>
      <c r="H25" s="143">
        <f>SUMPRODUCT(('2019a'!$B$2:$B$323='(2019a)'!$B25)*('2019a'!$C$2:$C$323='(2019a)'!H$2)*('2019a'!$D$2:$D$323))</f>
        <v>7</v>
      </c>
      <c r="I25" s="143">
        <f>SUMPRODUCT(('2019a'!$B$2:$B$323='(2019a)'!$B25)*('2019a'!$C$2:$C$323='(2019a)'!I$2)*('2019a'!$D$2:$D$323))</f>
        <v>39</v>
      </c>
      <c r="J25" s="143">
        <f t="shared" si="1"/>
        <v>68</v>
      </c>
    </row>
    <row r="26" spans="1:10" x14ac:dyDescent="0.35">
      <c r="A26" s="27"/>
      <c r="B26" s="143" t="s">
        <v>31</v>
      </c>
      <c r="C26" s="143">
        <f>SUMPRODUCT(('2019a'!$B$2:$B$323='(2019a)'!$B26)*('2019a'!$C$2:$C$323='(2019a)'!C$2)*('2019a'!$D$2:$D$323))</f>
        <v>4</v>
      </c>
      <c r="D26" s="143">
        <f>SUMPRODUCT(('2019a'!$B$2:$B$323='(2019a)'!$B26)*('2019a'!$C$2:$C$323='(2019a)'!D$2)*('2019a'!$D$2:$D$323))</f>
        <v>4</v>
      </c>
      <c r="E26" s="143">
        <f>SUMPRODUCT(('2019a'!$B$2:$B$323='(2019a)'!$B26)*('2019a'!$C$2:$C$323='(2019a)'!E$2)*('2019a'!$D$2:$D$323))</f>
        <v>15</v>
      </c>
      <c r="F26" s="143">
        <f>SUMPRODUCT(('2019a'!$B$2:$B$323='(2019a)'!$B26)*('2019a'!$C$2:$C$323='(2019a)'!F$2)*('2019a'!$D$2:$D$323))</f>
        <v>49</v>
      </c>
      <c r="G26" s="143">
        <f>SUMPRODUCT(('2019a'!$B$2:$B$323='(2019a)'!$B26)*('2019a'!$C$2:$C$323='(2019a)'!G$2)*('2019a'!$D$2:$D$323))</f>
        <v>61</v>
      </c>
      <c r="H26" s="143">
        <f>SUMPRODUCT(('2019a'!$B$2:$B$323='(2019a)'!$B26)*('2019a'!$C$2:$C$323='(2019a)'!H$2)*('2019a'!$D$2:$D$323))</f>
        <v>129</v>
      </c>
      <c r="I26" s="143">
        <f>SUMPRODUCT(('2019a'!$B$2:$B$323='(2019a)'!$B26)*('2019a'!$C$2:$C$323='(2019a)'!I$2)*('2019a'!$D$2:$D$323))</f>
        <v>396</v>
      </c>
      <c r="J26" s="143">
        <f t="shared" si="1"/>
        <v>658</v>
      </c>
    </row>
    <row r="27" spans="1:10" x14ac:dyDescent="0.35">
      <c r="A27" s="27"/>
      <c r="B27" s="143" t="s">
        <v>32</v>
      </c>
      <c r="C27" s="143">
        <f>SUMPRODUCT(('2019a'!$B$2:$B$323='(2019a)'!$B27)*('2019a'!$C$2:$C$323='(2019a)'!C$2)*('2019a'!$D$2:$D$323))</f>
        <v>3</v>
      </c>
      <c r="D27" s="143">
        <f>SUMPRODUCT(('2019a'!$B$2:$B$323='(2019a)'!$B27)*('2019a'!$C$2:$C$323='(2019a)'!D$2)*('2019a'!$D$2:$D$323))</f>
        <v>4</v>
      </c>
      <c r="E27" s="143">
        <f>SUMPRODUCT(('2019a'!$B$2:$B$323='(2019a)'!$B27)*('2019a'!$C$2:$C$323='(2019a)'!E$2)*('2019a'!$D$2:$D$323))</f>
        <v>11</v>
      </c>
      <c r="F27" s="143">
        <f>SUMPRODUCT(('2019a'!$B$2:$B$323='(2019a)'!$B27)*('2019a'!$C$2:$C$323='(2019a)'!F$2)*('2019a'!$D$2:$D$323))</f>
        <v>30</v>
      </c>
      <c r="G27" s="143">
        <f>SUMPRODUCT(('2019a'!$B$2:$B$323='(2019a)'!$B27)*('2019a'!$C$2:$C$323='(2019a)'!G$2)*('2019a'!$D$2:$D$323))</f>
        <v>88</v>
      </c>
      <c r="H27" s="143">
        <f>SUMPRODUCT(('2019a'!$B$2:$B$323='(2019a)'!$B27)*('2019a'!$C$2:$C$323='(2019a)'!H$2)*('2019a'!$D$2:$D$323))</f>
        <v>112</v>
      </c>
      <c r="I27" s="143">
        <f>SUMPRODUCT(('2019a'!$B$2:$B$323='(2019a)'!$B27)*('2019a'!$C$2:$C$323='(2019a)'!I$2)*('2019a'!$D$2:$D$323))</f>
        <v>397</v>
      </c>
      <c r="J27" s="143">
        <f t="shared" si="1"/>
        <v>645</v>
      </c>
    </row>
    <row r="28" spans="1:10" x14ac:dyDescent="0.35">
      <c r="A28" s="27"/>
      <c r="B28" s="143" t="s">
        <v>33</v>
      </c>
      <c r="C28" s="143">
        <f>SUMPRODUCT(('2019a'!$B$2:$B$323='(2019a)'!$B28)*('2019a'!$C$2:$C$323='(2019a)'!C$2)*('2019a'!$D$2:$D$323))</f>
        <v>4</v>
      </c>
      <c r="D28" s="143">
        <f>SUMPRODUCT(('2019a'!$B$2:$B$323='(2019a)'!$B28)*('2019a'!$C$2:$C$323='(2019a)'!D$2)*('2019a'!$D$2:$D$323))</f>
        <v>3</v>
      </c>
      <c r="E28" s="143">
        <f>SUMPRODUCT(('2019a'!$B$2:$B$323='(2019a)'!$B28)*('2019a'!$C$2:$C$323='(2019a)'!E$2)*('2019a'!$D$2:$D$323))</f>
        <v>5</v>
      </c>
      <c r="F28" s="143">
        <f>SUMPRODUCT(('2019a'!$B$2:$B$323='(2019a)'!$B28)*('2019a'!$C$2:$C$323='(2019a)'!F$2)*('2019a'!$D$2:$D$323))</f>
        <v>20</v>
      </c>
      <c r="G28" s="143">
        <f>SUMPRODUCT(('2019a'!$B$2:$B$323='(2019a)'!$B28)*('2019a'!$C$2:$C$323='(2019a)'!G$2)*('2019a'!$D$2:$D$323))</f>
        <v>52</v>
      </c>
      <c r="H28" s="143">
        <f>SUMPRODUCT(('2019a'!$B$2:$B$323='(2019a)'!$B28)*('2019a'!$C$2:$C$323='(2019a)'!H$2)*('2019a'!$D$2:$D$323))</f>
        <v>63</v>
      </c>
      <c r="I28" s="143">
        <f>SUMPRODUCT(('2019a'!$B$2:$B$323='(2019a)'!$B28)*('2019a'!$C$2:$C$323='(2019a)'!I$2)*('2019a'!$D$2:$D$323))</f>
        <v>195.5</v>
      </c>
      <c r="J28" s="143">
        <f t="shared" si="1"/>
        <v>342.5</v>
      </c>
    </row>
    <row r="29" spans="1:10" x14ac:dyDescent="0.35">
      <c r="A29" s="27"/>
      <c r="B29" s="143" t="s">
        <v>34</v>
      </c>
      <c r="C29" s="143">
        <f>SUMPRODUCT(('2019a'!$B$2:$B$323='(2019a)'!$B29)*('2019a'!$C$2:$C$323='(2019a)'!C$2)*('2019a'!$D$2:$D$323))</f>
        <v>3</v>
      </c>
      <c r="D29" s="143">
        <f>SUMPRODUCT(('2019a'!$B$2:$B$323='(2019a)'!$B29)*('2019a'!$C$2:$C$323='(2019a)'!D$2)*('2019a'!$D$2:$D$323))</f>
        <v>3</v>
      </c>
      <c r="E29" s="143">
        <f>SUMPRODUCT(('2019a'!$B$2:$B$323='(2019a)'!$B29)*('2019a'!$C$2:$C$323='(2019a)'!E$2)*('2019a'!$D$2:$D$323))</f>
        <v>8</v>
      </c>
      <c r="F29" s="143">
        <f>SUMPRODUCT(('2019a'!$B$2:$B$323='(2019a)'!$B29)*('2019a'!$C$2:$C$323='(2019a)'!F$2)*('2019a'!$D$2:$D$323))</f>
        <v>20</v>
      </c>
      <c r="G29" s="143">
        <f>SUMPRODUCT(('2019a'!$B$2:$B$323='(2019a)'!$B29)*('2019a'!$C$2:$C$323='(2019a)'!G$2)*('2019a'!$D$2:$D$323))</f>
        <v>37</v>
      </c>
      <c r="H29" s="143">
        <f>SUMPRODUCT(('2019a'!$B$2:$B$323='(2019a)'!$B29)*('2019a'!$C$2:$C$323='(2019a)'!H$2)*('2019a'!$D$2:$D$323))</f>
        <v>45</v>
      </c>
      <c r="I29" s="143">
        <f>SUMPRODUCT(('2019a'!$B$2:$B$323='(2019a)'!$B29)*('2019a'!$C$2:$C$323='(2019a)'!I$2)*('2019a'!$D$2:$D$323))</f>
        <v>62.71</v>
      </c>
      <c r="J29" s="143">
        <f t="shared" si="1"/>
        <v>178.71</v>
      </c>
    </row>
    <row r="30" spans="1:10" x14ac:dyDescent="0.35">
      <c r="A30" s="27"/>
      <c r="B30" s="143" t="s">
        <v>36</v>
      </c>
      <c r="C30" s="143">
        <f>SUMPRODUCT(('2019a'!$B$2:$B$323='(2019a)'!$B30)*('2019a'!$C$2:$C$323='(2019a)'!C$2)*('2019a'!$D$2:$D$323))</f>
        <v>4</v>
      </c>
      <c r="D30" s="143">
        <f>SUMPRODUCT(('2019a'!$B$2:$B$323='(2019a)'!$B30)*('2019a'!$C$2:$C$323='(2019a)'!D$2)*('2019a'!$D$2:$D$323))</f>
        <v>3</v>
      </c>
      <c r="E30" s="143">
        <f>SUMPRODUCT(('2019a'!$B$2:$B$323='(2019a)'!$B30)*('2019a'!$C$2:$C$323='(2019a)'!E$2)*('2019a'!$D$2:$D$323))</f>
        <v>9</v>
      </c>
      <c r="F30" s="143">
        <f>SUMPRODUCT(('2019a'!$B$2:$B$323='(2019a)'!$B30)*('2019a'!$C$2:$C$323='(2019a)'!F$2)*('2019a'!$D$2:$D$323))</f>
        <v>25</v>
      </c>
      <c r="G30" s="143">
        <f>SUMPRODUCT(('2019a'!$B$2:$B$323='(2019a)'!$B30)*('2019a'!$C$2:$C$323='(2019a)'!G$2)*('2019a'!$D$2:$D$323))</f>
        <v>38</v>
      </c>
      <c r="H30" s="143">
        <f>SUMPRODUCT(('2019a'!$B$2:$B$323='(2019a)'!$B30)*('2019a'!$C$2:$C$323='(2019a)'!H$2)*('2019a'!$D$2:$D$323))</f>
        <v>39.5</v>
      </c>
      <c r="I30" s="143">
        <f>SUMPRODUCT(('2019a'!$B$2:$B$323='(2019a)'!$B30)*('2019a'!$C$2:$C$323='(2019a)'!I$2)*('2019a'!$D$2:$D$323))</f>
        <v>157</v>
      </c>
      <c r="J30" s="143">
        <f t="shared" si="1"/>
        <v>275.5</v>
      </c>
    </row>
    <row r="31" spans="1:10" x14ac:dyDescent="0.35">
      <c r="A31" s="27"/>
      <c r="B31" s="143" t="s">
        <v>81</v>
      </c>
      <c r="C31" s="143">
        <f>SUMPRODUCT(('2019a'!$B$2:$B$323='(2019a)'!$B31)*('2019a'!$C$2:$C$323='(2019a)'!C$2)*('2019a'!$D$2:$D$323))</f>
        <v>0</v>
      </c>
      <c r="D31" s="143">
        <f>SUMPRODUCT(('2019a'!$B$2:$B$323='(2019a)'!$B31)*('2019a'!$C$2:$C$323='(2019a)'!D$2)*('2019a'!$D$2:$D$323))</f>
        <v>0</v>
      </c>
      <c r="E31" s="143">
        <f>SUMPRODUCT(('2019a'!$B$2:$B$323='(2019a)'!$B31)*('2019a'!$C$2:$C$323='(2019a)'!E$2)*('2019a'!$D$2:$D$323))</f>
        <v>0</v>
      </c>
      <c r="F31" s="143">
        <f>SUMPRODUCT(('2019a'!$B$2:$B$323='(2019a)'!$B31)*('2019a'!$C$2:$C$323='(2019a)'!F$2)*('2019a'!$D$2:$D$323))</f>
        <v>0</v>
      </c>
      <c r="G31" s="143">
        <f>SUMPRODUCT(('2019a'!$B$2:$B$323='(2019a)'!$B31)*('2019a'!$C$2:$C$323='(2019a)'!G$2)*('2019a'!$D$2:$D$323))</f>
        <v>0</v>
      </c>
      <c r="H31" s="143">
        <f>SUMPRODUCT(('2019a'!$B$2:$B$323='(2019a)'!$B31)*('2019a'!$C$2:$C$323='(2019a)'!H$2)*('2019a'!$D$2:$D$323))</f>
        <v>0</v>
      </c>
      <c r="I31" s="143">
        <f>SUMPRODUCT(('2019a'!$B$2:$B$323='(2019a)'!$B31)*('2019a'!$C$2:$C$323='(2019a)'!I$2)*('2019a'!$D$2:$D$323))</f>
        <v>0</v>
      </c>
      <c r="J31" s="143">
        <f t="shared" si="1"/>
        <v>0</v>
      </c>
    </row>
    <row r="32" spans="1:10" x14ac:dyDescent="0.35">
      <c r="A32" s="27"/>
      <c r="B32" s="143" t="s">
        <v>38</v>
      </c>
      <c r="C32" s="143">
        <f>SUMPRODUCT(('2019a'!$B$2:$B$323='(2019a)'!$B32)*('2019a'!$C$2:$C$323='(2019a)'!C$2)*('2019a'!$D$2:$D$323))</f>
        <v>2</v>
      </c>
      <c r="D32" s="143">
        <f>SUMPRODUCT(('2019a'!$B$2:$B$323='(2019a)'!$B32)*('2019a'!$C$2:$C$323='(2019a)'!D$2)*('2019a'!$D$2:$D$323))</f>
        <v>2</v>
      </c>
      <c r="E32" s="143">
        <f>SUMPRODUCT(('2019a'!$B$2:$B$323='(2019a)'!$B32)*('2019a'!$C$2:$C$323='(2019a)'!E$2)*('2019a'!$D$2:$D$323))</f>
        <v>9</v>
      </c>
      <c r="F32" s="143">
        <f>SUMPRODUCT(('2019a'!$B$2:$B$323='(2019a)'!$B32)*('2019a'!$C$2:$C$323='(2019a)'!F$2)*('2019a'!$D$2:$D$323))</f>
        <v>16</v>
      </c>
      <c r="G32" s="143">
        <f>SUMPRODUCT(('2019a'!$B$2:$B$323='(2019a)'!$B32)*('2019a'!$C$2:$C$323='(2019a)'!G$2)*('2019a'!$D$2:$D$323))</f>
        <v>54</v>
      </c>
      <c r="H32" s="143">
        <f>SUMPRODUCT(('2019a'!$B$2:$B$323='(2019a)'!$B32)*('2019a'!$C$2:$C$323='(2019a)'!H$2)*('2019a'!$D$2:$D$323))</f>
        <v>56</v>
      </c>
      <c r="I32" s="143">
        <f>SUMPRODUCT(('2019a'!$B$2:$B$323='(2019a)'!$B32)*('2019a'!$C$2:$C$323='(2019a)'!I$2)*('2019a'!$D$2:$D$323))</f>
        <v>158</v>
      </c>
      <c r="J32" s="143">
        <f t="shared" si="1"/>
        <v>297</v>
      </c>
    </row>
    <row r="33" spans="1:10" x14ac:dyDescent="0.35">
      <c r="A33" s="27"/>
      <c r="B33" s="143" t="s">
        <v>39</v>
      </c>
      <c r="C33" s="143">
        <f>SUMPRODUCT(('2019a'!$B$2:$B$323='(2019a)'!$B33)*('2019a'!$C$2:$C$323='(2019a)'!C$2)*('2019a'!$D$2:$D$323))</f>
        <v>3</v>
      </c>
      <c r="D33" s="143">
        <f>SUMPRODUCT(('2019a'!$B$2:$B$323='(2019a)'!$B33)*('2019a'!$C$2:$C$323='(2019a)'!D$2)*('2019a'!$D$2:$D$323))</f>
        <v>2</v>
      </c>
      <c r="E33" s="143">
        <f>SUMPRODUCT(('2019a'!$B$2:$B$323='(2019a)'!$B33)*('2019a'!$C$2:$C$323='(2019a)'!E$2)*('2019a'!$D$2:$D$323))</f>
        <v>9.91</v>
      </c>
      <c r="F33" s="143">
        <f>SUMPRODUCT(('2019a'!$B$2:$B$323='(2019a)'!$B33)*('2019a'!$C$2:$C$323='(2019a)'!F$2)*('2019a'!$D$2:$D$323))</f>
        <v>21</v>
      </c>
      <c r="G33" s="143">
        <f>SUMPRODUCT(('2019a'!$B$2:$B$323='(2019a)'!$B33)*('2019a'!$C$2:$C$323='(2019a)'!G$2)*('2019a'!$D$2:$D$323))</f>
        <v>47</v>
      </c>
      <c r="H33" s="143">
        <f>SUMPRODUCT(('2019a'!$B$2:$B$323='(2019a)'!$B33)*('2019a'!$C$2:$C$323='(2019a)'!H$2)*('2019a'!$D$2:$D$323))</f>
        <v>34</v>
      </c>
      <c r="I33" s="143">
        <f>SUMPRODUCT(('2019a'!$B$2:$B$323='(2019a)'!$B33)*('2019a'!$C$2:$C$323='(2019a)'!I$2)*('2019a'!$D$2:$D$323))</f>
        <v>116</v>
      </c>
      <c r="J33" s="143">
        <f t="shared" si="1"/>
        <v>232.91</v>
      </c>
    </row>
    <row r="34" spans="1:10" x14ac:dyDescent="0.35">
      <c r="A34" s="27"/>
      <c r="B34" s="143" t="s">
        <v>40</v>
      </c>
      <c r="C34" s="143">
        <f>SUMPRODUCT(('2019a'!$B$2:$B$323='(2019a)'!$B34)*('2019a'!$C$2:$C$323='(2019a)'!C$2)*('2019a'!$D$2:$D$323))</f>
        <v>2</v>
      </c>
      <c r="D34" s="143">
        <f>SUMPRODUCT(('2019a'!$B$2:$B$323='(2019a)'!$B34)*('2019a'!$C$2:$C$323='(2019a)'!D$2)*('2019a'!$D$2:$D$323))</f>
        <v>1</v>
      </c>
      <c r="E34" s="143">
        <f>SUMPRODUCT(('2019a'!$B$2:$B$323='(2019a)'!$B34)*('2019a'!$C$2:$C$323='(2019a)'!E$2)*('2019a'!$D$2:$D$323))</f>
        <v>4</v>
      </c>
      <c r="F34" s="143">
        <f>SUMPRODUCT(('2019a'!$B$2:$B$323='(2019a)'!$B34)*('2019a'!$C$2:$C$323='(2019a)'!F$2)*('2019a'!$D$2:$D$323))</f>
        <v>14</v>
      </c>
      <c r="G34" s="143">
        <f>SUMPRODUCT(('2019a'!$B$2:$B$323='(2019a)'!$B34)*('2019a'!$C$2:$C$323='(2019a)'!G$2)*('2019a'!$D$2:$D$323))</f>
        <v>19</v>
      </c>
      <c r="H34" s="143">
        <f>SUMPRODUCT(('2019a'!$B$2:$B$323='(2019a)'!$B34)*('2019a'!$C$2:$C$323='(2019a)'!H$2)*('2019a'!$D$2:$D$323))</f>
        <v>21</v>
      </c>
      <c r="I34" s="143">
        <f>SUMPRODUCT(('2019a'!$B$2:$B$323='(2019a)'!$B34)*('2019a'!$C$2:$C$323='(2019a)'!I$2)*('2019a'!$D$2:$D$323))</f>
        <v>73</v>
      </c>
      <c r="J34" s="143">
        <f t="shared" si="1"/>
        <v>134</v>
      </c>
    </row>
    <row r="35" spans="1:10" x14ac:dyDescent="0.35">
      <c r="A35" s="27"/>
      <c r="B35" s="143" t="s">
        <v>41</v>
      </c>
      <c r="C35" s="143">
        <f>SUMPRODUCT(('2019a'!$B$2:$B$323='(2019a)'!$B35)*('2019a'!$C$2:$C$323='(2019a)'!C$2)*('2019a'!$D$2:$D$323))</f>
        <v>3</v>
      </c>
      <c r="D35" s="143">
        <f>SUMPRODUCT(('2019a'!$B$2:$B$323='(2019a)'!$B35)*('2019a'!$C$2:$C$323='(2019a)'!D$2)*('2019a'!$D$2:$D$323))</f>
        <v>4</v>
      </c>
      <c r="E35" s="143">
        <f>SUMPRODUCT(('2019a'!$B$2:$B$323='(2019a)'!$B35)*('2019a'!$C$2:$C$323='(2019a)'!E$2)*('2019a'!$D$2:$D$323))</f>
        <v>8</v>
      </c>
      <c r="F35" s="143">
        <f>SUMPRODUCT(('2019a'!$B$2:$B$323='(2019a)'!$B35)*('2019a'!$C$2:$C$323='(2019a)'!F$2)*('2019a'!$D$2:$D$323))</f>
        <v>23</v>
      </c>
      <c r="G35" s="143">
        <f>SUMPRODUCT(('2019a'!$B$2:$B$323='(2019a)'!$B35)*('2019a'!$C$2:$C$323='(2019a)'!G$2)*('2019a'!$D$2:$D$323))</f>
        <v>77</v>
      </c>
      <c r="H35" s="143">
        <f>SUMPRODUCT(('2019a'!$B$2:$B$323='(2019a)'!$B35)*('2019a'!$C$2:$C$323='(2019a)'!H$2)*('2019a'!$D$2:$D$323))</f>
        <v>72</v>
      </c>
      <c r="I35" s="143">
        <f>SUMPRODUCT(('2019a'!$B$2:$B$323='(2019a)'!$B35)*('2019a'!$C$2:$C$323='(2019a)'!I$2)*('2019a'!$D$2:$D$323))</f>
        <v>264.08</v>
      </c>
      <c r="J35" s="143">
        <f t="shared" si="1"/>
        <v>451.08</v>
      </c>
    </row>
    <row r="36" spans="1:10" x14ac:dyDescent="0.35">
      <c r="A36" s="27"/>
      <c r="B36" s="143" t="s">
        <v>42</v>
      </c>
      <c r="C36" s="143">
        <f>SUMPRODUCT(('2019a'!$B$2:$B$323='(2019a)'!$B36)*('2019a'!$C$2:$C$323='(2019a)'!C$2)*('2019a'!$D$2:$D$323))</f>
        <v>3</v>
      </c>
      <c r="D36" s="143">
        <f>SUMPRODUCT(('2019a'!$B$2:$B$323='(2019a)'!$B36)*('2019a'!$C$2:$C$323='(2019a)'!D$2)*('2019a'!$D$2:$D$323))</f>
        <v>3</v>
      </c>
      <c r="E36" s="143">
        <f>SUMPRODUCT(('2019a'!$B$2:$B$323='(2019a)'!$B36)*('2019a'!$C$2:$C$323='(2019a)'!E$2)*('2019a'!$D$2:$D$323))</f>
        <v>9</v>
      </c>
      <c r="F36" s="143">
        <f>SUMPRODUCT(('2019a'!$B$2:$B$323='(2019a)'!$B36)*('2019a'!$C$2:$C$323='(2019a)'!F$2)*('2019a'!$D$2:$D$323))</f>
        <v>25</v>
      </c>
      <c r="G36" s="143">
        <f>SUMPRODUCT(('2019a'!$B$2:$B$323='(2019a)'!$B36)*('2019a'!$C$2:$C$323='(2019a)'!G$2)*('2019a'!$D$2:$D$323))</f>
        <v>49</v>
      </c>
      <c r="H36" s="143">
        <f>SUMPRODUCT(('2019a'!$B$2:$B$323='(2019a)'!$B36)*('2019a'!$C$2:$C$323='(2019a)'!H$2)*('2019a'!$D$2:$D$323))</f>
        <v>36</v>
      </c>
      <c r="I36" s="143">
        <f>SUMPRODUCT(('2019a'!$B$2:$B$323='(2019a)'!$B36)*('2019a'!$C$2:$C$323='(2019a)'!I$2)*('2019a'!$D$2:$D$323))</f>
        <v>110</v>
      </c>
      <c r="J36" s="143">
        <f t="shared" si="1"/>
        <v>235</v>
      </c>
    </row>
    <row r="37" spans="1:10" x14ac:dyDescent="0.35">
      <c r="A37" s="27"/>
      <c r="B37" s="143" t="s">
        <v>43</v>
      </c>
      <c r="C37" s="143">
        <f>SUMPRODUCT(('2019a'!$B$2:$B$323='(2019a)'!$B37)*('2019a'!$C$2:$C$323='(2019a)'!C$2)*('2019a'!$D$2:$D$323))</f>
        <v>3</v>
      </c>
      <c r="D37" s="143">
        <f>SUMPRODUCT(('2019a'!$B$2:$B$323='(2019a)'!$B37)*('2019a'!$C$2:$C$323='(2019a)'!D$2)*('2019a'!$D$2:$D$323))</f>
        <v>3</v>
      </c>
      <c r="E37" s="143">
        <f>SUMPRODUCT(('2019a'!$B$2:$B$323='(2019a)'!$B37)*('2019a'!$C$2:$C$323='(2019a)'!E$2)*('2019a'!$D$2:$D$323))</f>
        <v>7</v>
      </c>
      <c r="F37" s="143">
        <f>SUMPRODUCT(('2019a'!$B$2:$B$323='(2019a)'!$B37)*('2019a'!$C$2:$C$323='(2019a)'!F$2)*('2019a'!$D$2:$D$323))</f>
        <v>14</v>
      </c>
      <c r="G37" s="143">
        <f>SUMPRODUCT(('2019a'!$B$2:$B$323='(2019a)'!$B37)*('2019a'!$C$2:$C$323='(2019a)'!G$2)*('2019a'!$D$2:$D$323))</f>
        <v>25</v>
      </c>
      <c r="H37" s="143">
        <f>SUMPRODUCT(('2019a'!$B$2:$B$323='(2019a)'!$B37)*('2019a'!$C$2:$C$323='(2019a)'!H$2)*('2019a'!$D$2:$D$323))</f>
        <v>24</v>
      </c>
      <c r="I37" s="143">
        <f>SUMPRODUCT(('2019a'!$B$2:$B$323='(2019a)'!$B37)*('2019a'!$C$2:$C$323='(2019a)'!I$2)*('2019a'!$D$2:$D$323))</f>
        <v>105.86</v>
      </c>
      <c r="J37" s="143">
        <f t="shared" si="1"/>
        <v>181.86</v>
      </c>
    </row>
    <row r="38" spans="1:10" x14ac:dyDescent="0.35">
      <c r="A38" s="27"/>
      <c r="B38" s="143" t="s">
        <v>45</v>
      </c>
      <c r="C38" s="143">
        <f>SUMPRODUCT(('2019a'!$B$2:$B$323='(2019a)'!$B38)*('2019a'!$C$2:$C$323='(2019a)'!C$2)*('2019a'!$D$2:$D$323))</f>
        <v>2</v>
      </c>
      <c r="D38" s="143">
        <f>SUMPRODUCT(('2019a'!$B$2:$B$323='(2019a)'!$B38)*('2019a'!$C$2:$C$323='(2019a)'!D$2)*('2019a'!$D$2:$D$323))</f>
        <v>2</v>
      </c>
      <c r="E38" s="143">
        <f>SUMPRODUCT(('2019a'!$B$2:$B$323='(2019a)'!$B38)*('2019a'!$C$2:$C$323='(2019a)'!E$2)*('2019a'!$D$2:$D$323))</f>
        <v>8</v>
      </c>
      <c r="F38" s="143">
        <f>SUMPRODUCT(('2019a'!$B$2:$B$323='(2019a)'!$B38)*('2019a'!$C$2:$C$323='(2019a)'!F$2)*('2019a'!$D$2:$D$323))</f>
        <v>26</v>
      </c>
      <c r="G38" s="143">
        <f>SUMPRODUCT(('2019a'!$B$2:$B$323='(2019a)'!$B38)*('2019a'!$C$2:$C$323='(2019a)'!G$2)*('2019a'!$D$2:$D$323))</f>
        <v>63</v>
      </c>
      <c r="H38" s="143">
        <f>SUMPRODUCT(('2019a'!$B$2:$B$323='(2019a)'!$B38)*('2019a'!$C$2:$C$323='(2019a)'!H$2)*('2019a'!$D$2:$D$323))</f>
        <v>40</v>
      </c>
      <c r="I38" s="143">
        <f>SUMPRODUCT(('2019a'!$B$2:$B$323='(2019a)'!$B38)*('2019a'!$C$2:$C$323='(2019a)'!I$2)*('2019a'!$D$2:$D$323))</f>
        <v>178</v>
      </c>
      <c r="J38" s="143">
        <f t="shared" si="1"/>
        <v>319</v>
      </c>
    </row>
    <row r="39" spans="1:10" x14ac:dyDescent="0.35">
      <c r="A39" s="27"/>
      <c r="B39" s="143" t="s">
        <v>46</v>
      </c>
      <c r="C39" s="143">
        <f>SUMPRODUCT(('2019a'!$B$2:$B$323='(2019a)'!$B39)*('2019a'!$C$2:$C$323='(2019a)'!C$2)*('2019a'!$D$2:$D$323))</f>
        <v>2</v>
      </c>
      <c r="D39" s="143">
        <f>SUMPRODUCT(('2019a'!$B$2:$B$323='(2019a)'!$B39)*('2019a'!$C$2:$C$323='(2019a)'!D$2)*('2019a'!$D$2:$D$323))</f>
        <v>4</v>
      </c>
      <c r="E39" s="143">
        <f>SUMPRODUCT(('2019a'!$B$2:$B$323='(2019a)'!$B39)*('2019a'!$C$2:$C$323='(2019a)'!E$2)*('2019a'!$D$2:$D$323))</f>
        <v>7</v>
      </c>
      <c r="F39" s="143">
        <f>SUMPRODUCT(('2019a'!$B$2:$B$323='(2019a)'!$B39)*('2019a'!$C$2:$C$323='(2019a)'!F$2)*('2019a'!$D$2:$D$323))</f>
        <v>18</v>
      </c>
      <c r="G39" s="143">
        <f>SUMPRODUCT(('2019a'!$B$2:$B$323='(2019a)'!$B39)*('2019a'!$C$2:$C$323='(2019a)'!G$2)*('2019a'!$D$2:$D$323))</f>
        <v>35.89</v>
      </c>
      <c r="H39" s="143">
        <f>SUMPRODUCT(('2019a'!$B$2:$B$323='(2019a)'!$B39)*('2019a'!$C$2:$C$323='(2019a)'!H$2)*('2019a'!$D$2:$D$323))</f>
        <v>27</v>
      </c>
      <c r="I39" s="143">
        <f>SUMPRODUCT(('2019a'!$B$2:$B$323='(2019a)'!$B39)*('2019a'!$C$2:$C$323='(2019a)'!I$2)*('2019a'!$D$2:$D$323))</f>
        <v>97.5</v>
      </c>
      <c r="J39" s="143">
        <f t="shared" si="1"/>
        <v>191.39</v>
      </c>
    </row>
    <row r="40" spans="1:10" x14ac:dyDescent="0.35">
      <c r="A40" s="27"/>
      <c r="B40" s="143" t="s">
        <v>47</v>
      </c>
      <c r="C40" s="143">
        <f>SUMPRODUCT(('2019a'!$B$2:$B$323='(2019a)'!$B40)*('2019a'!$C$2:$C$323='(2019a)'!C$2)*('2019a'!$D$2:$D$323))</f>
        <v>5</v>
      </c>
      <c r="D40" s="143">
        <f>SUMPRODUCT(('2019a'!$B$2:$B$323='(2019a)'!$B40)*('2019a'!$C$2:$C$323='(2019a)'!D$2)*('2019a'!$D$2:$D$323))</f>
        <v>3</v>
      </c>
      <c r="E40" s="143">
        <f>SUMPRODUCT(('2019a'!$B$2:$B$323='(2019a)'!$B40)*('2019a'!$C$2:$C$323='(2019a)'!E$2)*('2019a'!$D$2:$D$323))</f>
        <v>9</v>
      </c>
      <c r="F40" s="143">
        <f>SUMPRODUCT(('2019a'!$B$2:$B$323='(2019a)'!$B40)*('2019a'!$C$2:$C$323='(2019a)'!F$2)*('2019a'!$D$2:$D$323))</f>
        <v>20</v>
      </c>
      <c r="G40" s="143">
        <f>SUMPRODUCT(('2019a'!$B$2:$B$323='(2019a)'!$B40)*('2019a'!$C$2:$C$323='(2019a)'!G$2)*('2019a'!$D$2:$D$323))</f>
        <v>98</v>
      </c>
      <c r="H40" s="143">
        <f>SUMPRODUCT(('2019a'!$B$2:$B$323='(2019a)'!$B40)*('2019a'!$C$2:$C$323='(2019a)'!H$2)*('2019a'!$D$2:$D$323))</f>
        <v>90</v>
      </c>
      <c r="I40" s="143">
        <f>SUMPRODUCT(('2019a'!$B$2:$B$323='(2019a)'!$B40)*('2019a'!$C$2:$C$323='(2019a)'!I$2)*('2019a'!$D$2:$D$323))</f>
        <v>229</v>
      </c>
      <c r="J40" s="143">
        <f t="shared" si="1"/>
        <v>454</v>
      </c>
    </row>
    <row r="41" spans="1:10" x14ac:dyDescent="0.35">
      <c r="A41" s="27"/>
      <c r="B41" s="143" t="s">
        <v>49</v>
      </c>
      <c r="C41" s="143">
        <f>SUMPRODUCT(('2019a'!$B$2:$B$323='(2019a)'!$B41)*('2019a'!$C$2:$C$323='(2019a)'!C$2)*('2019a'!$D$2:$D$323))</f>
        <v>3</v>
      </c>
      <c r="D41" s="143">
        <f>SUMPRODUCT(('2019a'!$B$2:$B$323='(2019a)'!$B41)*('2019a'!$C$2:$C$323='(2019a)'!D$2)*('2019a'!$D$2:$D$323))</f>
        <v>3</v>
      </c>
      <c r="E41" s="143">
        <f>SUMPRODUCT(('2019a'!$B$2:$B$323='(2019a)'!$B41)*('2019a'!$C$2:$C$323='(2019a)'!E$2)*('2019a'!$D$2:$D$323))</f>
        <v>7</v>
      </c>
      <c r="F41" s="143">
        <f>SUMPRODUCT(('2019a'!$B$2:$B$323='(2019a)'!$B41)*('2019a'!$C$2:$C$323='(2019a)'!F$2)*('2019a'!$D$2:$D$323))</f>
        <v>13</v>
      </c>
      <c r="G41" s="143">
        <f>SUMPRODUCT(('2019a'!$B$2:$B$323='(2019a)'!$B41)*('2019a'!$C$2:$C$323='(2019a)'!G$2)*('2019a'!$D$2:$D$323))</f>
        <v>31</v>
      </c>
      <c r="H41" s="143">
        <f>SUMPRODUCT(('2019a'!$B$2:$B$323='(2019a)'!$B41)*('2019a'!$C$2:$C$323='(2019a)'!H$2)*('2019a'!$D$2:$D$323))</f>
        <v>48</v>
      </c>
      <c r="I41" s="143">
        <f>SUMPRODUCT(('2019a'!$B$2:$B$323='(2019a)'!$B41)*('2019a'!$C$2:$C$323='(2019a)'!I$2)*('2019a'!$D$2:$D$323))</f>
        <v>127</v>
      </c>
      <c r="J41" s="143">
        <f t="shared" si="1"/>
        <v>232</v>
      </c>
    </row>
    <row r="42" spans="1:10" x14ac:dyDescent="0.35">
      <c r="A42" s="25"/>
      <c r="B42" s="143" t="s">
        <v>51</v>
      </c>
      <c r="C42" s="143">
        <f>SUMPRODUCT(('2019a'!$B$2:$B$323='(2019a)'!$B42)*('2019a'!$C$2:$C$323='(2019a)'!C$2)*('2019a'!$D$2:$D$323))</f>
        <v>2</v>
      </c>
      <c r="D42" s="143">
        <f>SUMPRODUCT(('2019a'!$B$2:$B$323='(2019a)'!$B42)*('2019a'!$C$2:$C$323='(2019a)'!D$2)*('2019a'!$D$2:$D$323))</f>
        <v>3</v>
      </c>
      <c r="E42" s="143">
        <f>SUMPRODUCT(('2019a'!$B$2:$B$323='(2019a)'!$B42)*('2019a'!$C$2:$C$323='(2019a)'!E$2)*('2019a'!$D$2:$D$323))</f>
        <v>9</v>
      </c>
      <c r="F42" s="143">
        <f>SUMPRODUCT(('2019a'!$B$2:$B$323='(2019a)'!$B42)*('2019a'!$C$2:$C$323='(2019a)'!F$2)*('2019a'!$D$2:$D$323))</f>
        <v>26</v>
      </c>
      <c r="G42" s="143">
        <f>SUMPRODUCT(('2019a'!$B$2:$B$323='(2019a)'!$B42)*('2019a'!$C$2:$C$323='(2019a)'!G$2)*('2019a'!$D$2:$D$323))</f>
        <v>58</v>
      </c>
      <c r="H42" s="143">
        <f>SUMPRODUCT(('2019a'!$B$2:$B$323='(2019a)'!$B42)*('2019a'!$C$2:$C$323='(2019a)'!H$2)*('2019a'!$D$2:$D$323))</f>
        <v>46</v>
      </c>
      <c r="I42" s="143">
        <f>SUMPRODUCT(('2019a'!$B$2:$B$323='(2019a)'!$B42)*('2019a'!$C$2:$C$323='(2019a)'!I$2)*('2019a'!$D$2:$D$323))</f>
        <v>175</v>
      </c>
      <c r="J42" s="143">
        <f t="shared" si="1"/>
        <v>319</v>
      </c>
    </row>
    <row r="43" spans="1:10" x14ac:dyDescent="0.35">
      <c r="A43" s="27"/>
      <c r="B43" s="143" t="s">
        <v>30</v>
      </c>
      <c r="C43" s="143">
        <f>SUMPRODUCT(('2019a'!$B$2:$B$323='(2019a)'!$B43)*('2019a'!$C$2:$C$323='(2019a)'!C$2)*('2019a'!$D$2:$D$323))</f>
        <v>0</v>
      </c>
      <c r="D43" s="143">
        <f>SUMPRODUCT(('2019a'!$B$2:$B$323='(2019a)'!$B43)*('2019a'!$C$2:$C$323='(2019a)'!D$2)*('2019a'!$D$2:$D$323))</f>
        <v>0</v>
      </c>
      <c r="E43" s="143">
        <f>SUMPRODUCT(('2019a'!$B$2:$B$323='(2019a)'!$B43)*('2019a'!$C$2:$C$323='(2019a)'!E$2)*('2019a'!$D$2:$D$323))</f>
        <v>0</v>
      </c>
      <c r="F43" s="143">
        <f>SUMPRODUCT(('2019a'!$B$2:$B$323='(2019a)'!$B43)*('2019a'!$C$2:$C$323='(2019a)'!F$2)*('2019a'!$D$2:$D$323))</f>
        <v>0</v>
      </c>
      <c r="G43" s="143">
        <f>SUMPRODUCT(('2019a'!$B$2:$B$323='(2019a)'!$B43)*('2019a'!$C$2:$C$323='(2019a)'!G$2)*('2019a'!$D$2:$D$323))</f>
        <v>0</v>
      </c>
      <c r="H43" s="143">
        <f>SUMPRODUCT(('2019a'!$B$2:$B$323='(2019a)'!$B43)*('2019a'!$C$2:$C$323='(2019a)'!H$2)*('2019a'!$D$2:$D$323))</f>
        <v>0</v>
      </c>
      <c r="I43" s="143">
        <f>SUMPRODUCT(('2019a'!$B$2:$B$323='(2019a)'!$B43)*('2019a'!$C$2:$C$323='(2019a)'!I$2)*('2019a'!$D$2:$D$323))</f>
        <v>0</v>
      </c>
      <c r="J43" s="143">
        <f t="shared" si="1"/>
        <v>0</v>
      </c>
    </row>
    <row r="44" spans="1:10" x14ac:dyDescent="0.35">
      <c r="A44" s="27"/>
      <c r="B44" s="143" t="s">
        <v>59</v>
      </c>
      <c r="C44" s="143">
        <f>SUM(C45:C51)</f>
        <v>21</v>
      </c>
      <c r="D44" s="143">
        <f t="shared" ref="D44:J44" si="2">SUM(D45:D51)</f>
        <v>53</v>
      </c>
      <c r="E44" s="143">
        <f t="shared" si="2"/>
        <v>138</v>
      </c>
      <c r="F44" s="143">
        <f t="shared" si="2"/>
        <v>376</v>
      </c>
      <c r="G44" s="143">
        <f t="shared" si="2"/>
        <v>1604.3600000000001</v>
      </c>
      <c r="H44" s="143">
        <f t="shared" si="2"/>
        <v>1338.71</v>
      </c>
      <c r="I44" s="143">
        <f t="shared" si="2"/>
        <v>6616.03</v>
      </c>
      <c r="J44" s="143">
        <f t="shared" si="2"/>
        <v>10147.1</v>
      </c>
    </row>
    <row r="45" spans="1:10" x14ac:dyDescent="0.35">
      <c r="A45" s="27"/>
      <c r="B45" s="143" t="s">
        <v>24</v>
      </c>
      <c r="C45" s="143">
        <f>SUMPRODUCT(('2019a'!$B$2:$B$323='(2019a)'!$B45)*('2019a'!$C$2:$C$323='(2019a)'!C$2)*('2019a'!$D$2:$D$323))</f>
        <v>5</v>
      </c>
      <c r="D45" s="143">
        <f>SUMPRODUCT(('2019a'!$B$2:$B$323='(2019a)'!$B45)*('2019a'!$C$2:$C$323='(2019a)'!D$2)*('2019a'!$D$2:$D$323))</f>
        <v>6</v>
      </c>
      <c r="E45" s="143">
        <f>SUMPRODUCT(('2019a'!$B$2:$B$323='(2019a)'!$B45)*('2019a'!$C$2:$C$323='(2019a)'!E$2)*('2019a'!$D$2:$D$323))</f>
        <v>13</v>
      </c>
      <c r="F45" s="143">
        <f>SUMPRODUCT(('2019a'!$B$2:$B$323='(2019a)'!$B45)*('2019a'!$C$2:$C$323='(2019a)'!F$2)*('2019a'!$D$2:$D$323))</f>
        <v>57</v>
      </c>
      <c r="G45" s="143">
        <f>SUMPRODUCT(('2019a'!$B$2:$B$323='(2019a)'!$B45)*('2019a'!$C$2:$C$323='(2019a)'!G$2)*('2019a'!$D$2:$D$323))</f>
        <v>208</v>
      </c>
      <c r="H45" s="143">
        <f>SUMPRODUCT(('2019a'!$B$2:$B$323='(2019a)'!$B45)*('2019a'!$C$2:$C$323='(2019a)'!H$2)*('2019a'!$D$2:$D$323))</f>
        <v>179</v>
      </c>
      <c r="I45" s="143">
        <f>SUMPRODUCT(('2019a'!$B$2:$B$323='(2019a)'!$B45)*('2019a'!$C$2:$C$323='(2019a)'!I$2)*('2019a'!$D$2:$D$323))</f>
        <v>895.19</v>
      </c>
      <c r="J45" s="143">
        <f t="shared" ref="J45:J51" si="3">SUM(C45:I45)</f>
        <v>1363.19</v>
      </c>
    </row>
    <row r="46" spans="1:10" x14ac:dyDescent="0.35">
      <c r="A46" s="27"/>
      <c r="B46" s="143" t="s">
        <v>35</v>
      </c>
      <c r="C46" s="143">
        <f>SUMPRODUCT(('2019a'!$B$2:$B$323='(2019a)'!$B46)*('2019a'!$C$2:$C$323='(2019a)'!C$2)*('2019a'!$D$2:$D$323))</f>
        <v>3</v>
      </c>
      <c r="D46" s="143">
        <f>SUMPRODUCT(('2019a'!$B$2:$B$323='(2019a)'!$B46)*('2019a'!$C$2:$C$323='(2019a)'!D$2)*('2019a'!$D$2:$D$323))</f>
        <v>4</v>
      </c>
      <c r="E46" s="143">
        <f>SUMPRODUCT(('2019a'!$B$2:$B$323='(2019a)'!$B46)*('2019a'!$C$2:$C$323='(2019a)'!E$2)*('2019a'!$D$2:$D$323))</f>
        <v>13</v>
      </c>
      <c r="F46" s="143">
        <f>SUMPRODUCT(('2019a'!$B$2:$B$323='(2019a)'!$B46)*('2019a'!$C$2:$C$323='(2019a)'!F$2)*('2019a'!$D$2:$D$323))</f>
        <v>29</v>
      </c>
      <c r="G46" s="143">
        <f>SUMPRODUCT(('2019a'!$B$2:$B$323='(2019a)'!$B46)*('2019a'!$C$2:$C$323='(2019a)'!G$2)*('2019a'!$D$2:$D$323))</f>
        <v>115.44</v>
      </c>
      <c r="H46" s="143">
        <f>SUMPRODUCT(('2019a'!$B$2:$B$323='(2019a)'!$B46)*('2019a'!$C$2:$C$323='(2019a)'!H$2)*('2019a'!$D$2:$D$323))</f>
        <v>46</v>
      </c>
      <c r="I46" s="143">
        <f>SUMPRODUCT(('2019a'!$B$2:$B$323='(2019a)'!$B46)*('2019a'!$C$2:$C$323='(2019a)'!I$2)*('2019a'!$D$2:$D$323))</f>
        <v>396.87</v>
      </c>
      <c r="J46" s="143">
        <f t="shared" si="3"/>
        <v>607.30999999999995</v>
      </c>
    </row>
    <row r="47" spans="1:10" x14ac:dyDescent="0.35">
      <c r="A47" s="27"/>
      <c r="B47" s="143" t="s">
        <v>44</v>
      </c>
      <c r="C47" s="143">
        <f>SUMPRODUCT(('2019a'!$B$2:$B$323='(2019a)'!$B47)*('2019a'!$C$2:$C$323='(2019a)'!C$2)*('2019a'!$D$2:$D$323))</f>
        <v>3</v>
      </c>
      <c r="D47" s="143">
        <f>SUMPRODUCT(('2019a'!$B$2:$B$323='(2019a)'!$B47)*('2019a'!$C$2:$C$323='(2019a)'!D$2)*('2019a'!$D$2:$D$323))</f>
        <v>3</v>
      </c>
      <c r="E47" s="143">
        <f>SUMPRODUCT(('2019a'!$B$2:$B$323='(2019a)'!$B47)*('2019a'!$C$2:$C$323='(2019a)'!E$2)*('2019a'!$D$2:$D$323))</f>
        <v>10</v>
      </c>
      <c r="F47" s="143">
        <f>SUMPRODUCT(('2019a'!$B$2:$B$323='(2019a)'!$B47)*('2019a'!$C$2:$C$323='(2019a)'!F$2)*('2019a'!$D$2:$D$323))</f>
        <v>24</v>
      </c>
      <c r="G47" s="143">
        <f>SUMPRODUCT(('2019a'!$B$2:$B$323='(2019a)'!$B47)*('2019a'!$C$2:$C$323='(2019a)'!G$2)*('2019a'!$D$2:$D$323))</f>
        <v>84</v>
      </c>
      <c r="H47" s="143">
        <f>SUMPRODUCT(('2019a'!$B$2:$B$323='(2019a)'!$B47)*('2019a'!$C$2:$C$323='(2019a)'!H$2)*('2019a'!$D$2:$D$323))</f>
        <v>83</v>
      </c>
      <c r="I47" s="143">
        <f>SUMPRODUCT(('2019a'!$B$2:$B$323='(2019a)'!$B47)*('2019a'!$C$2:$C$323='(2019a)'!I$2)*('2019a'!$D$2:$D$323))</f>
        <v>366</v>
      </c>
      <c r="J47" s="143">
        <f t="shared" si="3"/>
        <v>573</v>
      </c>
    </row>
    <row r="48" spans="1:10" x14ac:dyDescent="0.35">
      <c r="A48" s="27"/>
      <c r="B48" s="143" t="s">
        <v>48</v>
      </c>
      <c r="C48" s="143">
        <f>SUMPRODUCT(('2019a'!$B$2:$B$323='(2019a)'!$B48)*('2019a'!$C$2:$C$323='(2019a)'!C$2)*('2019a'!$D$2:$D$323))</f>
        <v>3</v>
      </c>
      <c r="D48" s="143">
        <f>SUMPRODUCT(('2019a'!$B$2:$B$323='(2019a)'!$B48)*('2019a'!$C$2:$C$323='(2019a)'!D$2)*('2019a'!$D$2:$D$323))</f>
        <v>4</v>
      </c>
      <c r="E48" s="143">
        <f>SUMPRODUCT(('2019a'!$B$2:$B$323='(2019a)'!$B48)*('2019a'!$C$2:$C$323='(2019a)'!E$2)*('2019a'!$D$2:$D$323))</f>
        <v>13</v>
      </c>
      <c r="F48" s="143">
        <f>SUMPRODUCT(('2019a'!$B$2:$B$323='(2019a)'!$B48)*('2019a'!$C$2:$C$323='(2019a)'!F$2)*('2019a'!$D$2:$D$323))</f>
        <v>23</v>
      </c>
      <c r="G48" s="143">
        <f>SUMPRODUCT(('2019a'!$B$2:$B$323='(2019a)'!$B48)*('2019a'!$C$2:$C$323='(2019a)'!G$2)*('2019a'!$D$2:$D$323))</f>
        <v>104</v>
      </c>
      <c r="H48" s="143">
        <f>SUMPRODUCT(('2019a'!$B$2:$B$323='(2019a)'!$B48)*('2019a'!$C$2:$C$323='(2019a)'!H$2)*('2019a'!$D$2:$D$323))</f>
        <v>103.36</v>
      </c>
      <c r="I48" s="143">
        <f>SUMPRODUCT(('2019a'!$B$2:$B$323='(2019a)'!$B48)*('2019a'!$C$2:$C$323='(2019a)'!I$2)*('2019a'!$D$2:$D$323))</f>
        <v>337.32</v>
      </c>
      <c r="J48" s="143">
        <f t="shared" si="3"/>
        <v>587.68000000000006</v>
      </c>
    </row>
    <row r="49" spans="1:10" x14ac:dyDescent="0.35">
      <c r="A49" s="28"/>
      <c r="B49" s="143" t="s">
        <v>50</v>
      </c>
      <c r="C49" s="143">
        <f>SUMPRODUCT(('2019a'!$B$2:$B$323='(2019a)'!$B49)*('2019a'!$C$2:$C$323='(2019a)'!C$2)*('2019a'!$D$2:$D$323))</f>
        <v>3</v>
      </c>
      <c r="D49" s="143">
        <f>SUMPRODUCT(('2019a'!$B$2:$B$323='(2019a)'!$B49)*('2019a'!$C$2:$C$323='(2019a)'!D$2)*('2019a'!$D$2:$D$323))</f>
        <v>7</v>
      </c>
      <c r="E49" s="143">
        <f>SUMPRODUCT(('2019a'!$B$2:$B$323='(2019a)'!$B49)*('2019a'!$C$2:$C$323='(2019a)'!E$2)*('2019a'!$D$2:$D$323))</f>
        <v>12</v>
      </c>
      <c r="F49" s="143">
        <f>SUMPRODUCT(('2019a'!$B$2:$B$323='(2019a)'!$B49)*('2019a'!$C$2:$C$323='(2019a)'!F$2)*('2019a'!$D$2:$D$323))</f>
        <v>46</v>
      </c>
      <c r="G49" s="143">
        <f>SUMPRODUCT(('2019a'!$B$2:$B$323='(2019a)'!$B49)*('2019a'!$C$2:$C$323='(2019a)'!G$2)*('2019a'!$D$2:$D$323))</f>
        <v>248</v>
      </c>
      <c r="H49" s="143">
        <f>SUMPRODUCT(('2019a'!$B$2:$B$323='(2019a)'!$B49)*('2019a'!$C$2:$C$323='(2019a)'!H$2)*('2019a'!$D$2:$D$323))</f>
        <v>236</v>
      </c>
      <c r="I49" s="143">
        <f>SUMPRODUCT(('2019a'!$B$2:$B$323='(2019a)'!$B49)*('2019a'!$C$2:$C$323='(2019a)'!I$2)*('2019a'!$D$2:$D$323))</f>
        <v>843.38</v>
      </c>
      <c r="J49" s="143">
        <f t="shared" si="3"/>
        <v>1395.38</v>
      </c>
    </row>
    <row r="50" spans="1:10" x14ac:dyDescent="0.35">
      <c r="B50" s="143" t="s">
        <v>52</v>
      </c>
      <c r="C50" s="143">
        <f>SUMPRODUCT(('2019a'!$B$2:$B$323='(2019a)'!$B50)*('2019a'!$C$2:$C$323='(2019a)'!C$2)*('2019a'!$D$2:$D$323))</f>
        <v>3</v>
      </c>
      <c r="D50" s="143">
        <f>SUMPRODUCT(('2019a'!$B$2:$B$323='(2019a)'!$B50)*('2019a'!$C$2:$C$323='(2019a)'!D$2)*('2019a'!$D$2:$D$323))</f>
        <v>3</v>
      </c>
      <c r="E50" s="143">
        <f>SUMPRODUCT(('2019a'!$B$2:$B$323='(2019a)'!$B50)*('2019a'!$C$2:$C$323='(2019a)'!E$2)*('2019a'!$D$2:$D$323))</f>
        <v>10</v>
      </c>
      <c r="F50" s="143">
        <f>SUMPRODUCT(('2019a'!$B$2:$B$323='(2019a)'!$B50)*('2019a'!$C$2:$C$323='(2019a)'!F$2)*('2019a'!$D$2:$D$323))</f>
        <v>43</v>
      </c>
      <c r="G50" s="143">
        <f>SUMPRODUCT(('2019a'!$B$2:$B$323='(2019a)'!$B50)*('2019a'!$C$2:$C$323='(2019a)'!G$2)*('2019a'!$D$2:$D$323))</f>
        <v>158.5</v>
      </c>
      <c r="H50" s="143">
        <f>SUMPRODUCT(('2019a'!$B$2:$B$323='(2019a)'!$B50)*('2019a'!$C$2:$C$323='(2019a)'!H$2)*('2019a'!$D$2:$D$323))</f>
        <v>142.53</v>
      </c>
      <c r="I50" s="143">
        <f>SUMPRODUCT(('2019a'!$B$2:$B$323='(2019a)'!$B50)*('2019a'!$C$2:$C$323='(2019a)'!I$2)*('2019a'!$D$2:$D$323))</f>
        <v>590</v>
      </c>
      <c r="J50" s="143">
        <f t="shared" si="3"/>
        <v>950.03</v>
      </c>
    </row>
    <row r="51" spans="1:10" x14ac:dyDescent="0.35">
      <c r="B51" s="143" t="s">
        <v>23</v>
      </c>
      <c r="C51" s="143">
        <f>SUMPRODUCT(('2019a'!$B$2:$B$323='(2019a)'!$B51)*('2019a'!$C$2:$C$323='(2019a)'!C$2)*('2019a'!$D$2:$D$323))</f>
        <v>1</v>
      </c>
      <c r="D51" s="143">
        <f>SUMPRODUCT(('2019a'!$B$2:$B$323='(2019a)'!$B51)*('2019a'!$C$2:$C$323='(2019a)'!D$2)*('2019a'!$D$2:$D$323))</f>
        <v>26</v>
      </c>
      <c r="E51" s="143">
        <f>SUMPRODUCT(('2019a'!$B$2:$B$323='(2019a)'!$B51)*('2019a'!$C$2:$C$323='(2019a)'!E$2)*('2019a'!$D$2:$D$323))</f>
        <v>67</v>
      </c>
      <c r="F51" s="143">
        <f>SUMPRODUCT(('2019a'!$B$2:$B$323='(2019a)'!$B51)*('2019a'!$C$2:$C$323='(2019a)'!F$2)*('2019a'!$D$2:$D$323))</f>
        <v>154</v>
      </c>
      <c r="G51" s="143">
        <f>SUMPRODUCT(('2019a'!$B$2:$B$323='(2019a)'!$B51)*('2019a'!$C$2:$C$323='(2019a)'!G$2)*('2019a'!$D$2:$D$323))</f>
        <v>686.42</v>
      </c>
      <c r="H51" s="143">
        <f>SUMPRODUCT(('2019a'!$B$2:$B$323='(2019a)'!$B51)*('2019a'!$C$2:$C$323='(2019a)'!H$2)*('2019a'!$D$2:$D$323))</f>
        <v>548.82000000000005</v>
      </c>
      <c r="I51" s="143">
        <f>SUMPRODUCT(('2019a'!$B$2:$B$323='(2019a)'!$B51)*('2019a'!$C$2:$C$323='(2019a)'!I$2)*('2019a'!$D$2:$D$323))</f>
        <v>3187.27</v>
      </c>
      <c r="J51" s="143">
        <f t="shared" si="3"/>
        <v>4670.51</v>
      </c>
    </row>
  </sheetData>
  <mergeCells count="1">
    <mergeCell ref="B1:J1"/>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3EEE7-9081-4362-80EE-4D398FCB8012}">
  <dimension ref="A1:H51"/>
  <sheetViews>
    <sheetView workbookViewId="0">
      <selection activeCell="A4" sqref="A4:H4"/>
    </sheetView>
  </sheetViews>
  <sheetFormatPr defaultRowHeight="14.5" x14ac:dyDescent="0.35"/>
  <cols>
    <col min="1" max="1" width="4.1796875" customWidth="1"/>
    <col min="2" max="2" width="20.453125" bestFit="1" customWidth="1"/>
    <col min="3" max="3" width="13.54296875" bestFit="1" customWidth="1"/>
    <col min="4" max="4" width="14.1796875" bestFit="1" customWidth="1"/>
    <col min="5" max="5" width="13.54296875" bestFit="1" customWidth="1"/>
    <col min="6" max="6" width="12.7265625" bestFit="1" customWidth="1"/>
    <col min="7" max="8" width="9.81640625" bestFit="1" customWidth="1"/>
  </cols>
  <sheetData>
    <row r="1" spans="1:8" ht="18" x14ac:dyDescent="0.35">
      <c r="B1" s="155"/>
      <c r="C1" s="155"/>
      <c r="D1" s="155"/>
      <c r="E1" s="155"/>
      <c r="F1" s="155"/>
      <c r="G1" s="155"/>
      <c r="H1" s="155"/>
    </row>
    <row r="2" spans="1:8" x14ac:dyDescent="0.35">
      <c r="B2" s="144"/>
      <c r="C2" s="144" t="s">
        <v>74</v>
      </c>
      <c r="D2" s="144" t="s">
        <v>75</v>
      </c>
      <c r="E2" s="144" t="s">
        <v>76</v>
      </c>
      <c r="F2" s="144" t="s">
        <v>77</v>
      </c>
      <c r="G2" s="144" t="s">
        <v>78</v>
      </c>
      <c r="H2" s="144" t="s">
        <v>1</v>
      </c>
    </row>
    <row r="3" spans="1:8" x14ac:dyDescent="0.35">
      <c r="A3" s="27"/>
      <c r="B3" s="144" t="s">
        <v>80</v>
      </c>
      <c r="C3" s="143">
        <f>SUMPRODUCT(('2019b'!$C$2:$C$323='(2019b)'!C$2)*('2019b'!$D$2:$D$323))</f>
        <v>0</v>
      </c>
      <c r="D3" s="143">
        <f>SUMPRODUCT(('2019b'!$C$2:$C$323='(2019b)'!D$2)*('2019b'!$D$2:$D$323))</f>
        <v>23.3</v>
      </c>
      <c r="E3" s="143">
        <f>SUMPRODUCT(('2019b'!$C$2:$C$323='(2019b)'!E$2)*('2019b'!$D$2:$D$323))</f>
        <v>815.25999999999988</v>
      </c>
      <c r="F3" s="143">
        <f>SUMPRODUCT(('2019b'!$C$2:$C$323='(2019b)'!F$2)*('2019b'!$D$2:$D$323))</f>
        <v>1784.1999999999996</v>
      </c>
      <c r="G3" s="143">
        <f>SUMPRODUCT(('2019b'!$C$2:$C$323='(2019b)'!G$2)*('2019b'!$D$2:$D$323))</f>
        <v>6939.8343333333341</v>
      </c>
      <c r="H3" s="143">
        <f>SUM(C3:G3)</f>
        <v>9562.5943333333344</v>
      </c>
    </row>
    <row r="4" spans="1:8" x14ac:dyDescent="0.35">
      <c r="A4" s="27"/>
      <c r="B4" s="144" t="s">
        <v>55</v>
      </c>
      <c r="C4" s="143">
        <f t="shared" ref="C4:H4" si="0">SUM(C5:C43)</f>
        <v>0</v>
      </c>
      <c r="D4" s="143">
        <f t="shared" si="0"/>
        <v>22.3</v>
      </c>
      <c r="E4" s="143">
        <f t="shared" si="0"/>
        <v>778.94</v>
      </c>
      <c r="F4" s="143">
        <f t="shared" si="0"/>
        <v>1751.5999999999997</v>
      </c>
      <c r="G4" s="143">
        <f t="shared" si="0"/>
        <v>6765.0143333333344</v>
      </c>
      <c r="H4" s="143">
        <f t="shared" si="0"/>
        <v>9317.8543333333346</v>
      </c>
    </row>
    <row r="5" spans="1:8" x14ac:dyDescent="0.35">
      <c r="A5" s="27"/>
      <c r="B5" s="144" t="s">
        <v>7</v>
      </c>
      <c r="C5" s="143">
        <f>SUMPRODUCT(('2019b'!$B$2:$B$323='(2019b)'!$B5)*('2019b'!$C$2:$C$323='(2019b)'!C$2)*('2019b'!$D$2:$D$323))</f>
        <v>0</v>
      </c>
      <c r="D5" s="143">
        <f>SUMPRODUCT(('2019b'!$B$2:$B$323='(2019b)'!$B5)*('2019b'!$C$2:$C$323='(2019b)'!D$2)*('2019b'!$D$2:$D$323))</f>
        <v>0</v>
      </c>
      <c r="E5" s="143">
        <f>SUMPRODUCT(('2019b'!$B$2:$B$323='(2019b)'!$B5)*('2019b'!$C$2:$C$323='(2019b)'!E$2)*('2019b'!$D$2:$D$323))</f>
        <v>7.45</v>
      </c>
      <c r="F5" s="143">
        <f>SUMPRODUCT(('2019b'!$B$2:$B$323='(2019b)'!$B5)*('2019b'!$C$2:$C$323='(2019b)'!F$2)*('2019b'!$D$2:$D$323))</f>
        <v>25.48</v>
      </c>
      <c r="G5" s="143">
        <f>SUMPRODUCT(('2019b'!$B$2:$B$323='(2019b)'!$B5)*('2019b'!$C$2:$C$323='(2019b)'!G$2)*('2019b'!$D$2:$D$323))</f>
        <v>105.71</v>
      </c>
      <c r="H5" s="143">
        <f t="shared" ref="H5:H43" si="1">SUM(C5:G5)</f>
        <v>138.63999999999999</v>
      </c>
    </row>
    <row r="6" spans="1:8" x14ac:dyDescent="0.35">
      <c r="A6" s="27"/>
      <c r="B6" s="144" t="s">
        <v>8</v>
      </c>
      <c r="C6" s="143">
        <f>SUMPRODUCT(('2019b'!$B$2:$B$323='(2019b)'!$B6)*('2019b'!$C$2:$C$323='(2019b)'!C$2)*('2019b'!$D$2:$D$323))</f>
        <v>0</v>
      </c>
      <c r="D6" s="143">
        <f>SUMPRODUCT(('2019b'!$B$2:$B$323='(2019b)'!$B6)*('2019b'!$C$2:$C$323='(2019b)'!D$2)*('2019b'!$D$2:$D$323))</f>
        <v>0</v>
      </c>
      <c r="E6" s="143">
        <f>SUMPRODUCT(('2019b'!$B$2:$B$323='(2019b)'!$B6)*('2019b'!$C$2:$C$323='(2019b)'!E$2)*('2019b'!$D$2:$D$323))</f>
        <v>9.75</v>
      </c>
      <c r="F6" s="143">
        <f>SUMPRODUCT(('2019b'!$B$2:$B$323='(2019b)'!$B6)*('2019b'!$C$2:$C$323='(2019b)'!F$2)*('2019b'!$D$2:$D$323))</f>
        <v>17.75</v>
      </c>
      <c r="G6" s="143">
        <f>SUMPRODUCT(('2019b'!$B$2:$B$323='(2019b)'!$B6)*('2019b'!$C$2:$C$323='(2019b)'!G$2)*('2019b'!$D$2:$D$323))</f>
        <v>89.75</v>
      </c>
      <c r="H6" s="143">
        <f t="shared" si="1"/>
        <v>117.25</v>
      </c>
    </row>
    <row r="7" spans="1:8" x14ac:dyDescent="0.35">
      <c r="A7" s="27"/>
      <c r="B7" s="144" t="s">
        <v>9</v>
      </c>
      <c r="C7" s="143">
        <f>SUMPRODUCT(('2019b'!$B$2:$B$323='(2019b)'!$B7)*('2019b'!$C$2:$C$323='(2019b)'!C$2)*('2019b'!$D$2:$D$323))</f>
        <v>0</v>
      </c>
      <c r="D7" s="143">
        <f>SUMPRODUCT(('2019b'!$B$2:$B$323='(2019b)'!$B7)*('2019b'!$C$2:$C$323='(2019b)'!D$2)*('2019b'!$D$2:$D$323))</f>
        <v>0</v>
      </c>
      <c r="E7" s="143">
        <f>SUMPRODUCT(('2019b'!$B$2:$B$323='(2019b)'!$B7)*('2019b'!$C$2:$C$323='(2019b)'!E$2)*('2019b'!$D$2:$D$323))</f>
        <v>6.18</v>
      </c>
      <c r="F7" s="143">
        <f>SUMPRODUCT(('2019b'!$B$2:$B$323='(2019b)'!$B7)*('2019b'!$C$2:$C$323='(2019b)'!F$2)*('2019b'!$D$2:$D$323))</f>
        <v>7.12</v>
      </c>
      <c r="G7" s="143">
        <f>SUMPRODUCT(('2019b'!$B$2:$B$323='(2019b)'!$B7)*('2019b'!$C$2:$C$323='(2019b)'!G$2)*('2019b'!$D$2:$D$323))</f>
        <v>43.676000000000002</v>
      </c>
      <c r="H7" s="143">
        <f t="shared" si="1"/>
        <v>56.975999999999999</v>
      </c>
    </row>
    <row r="8" spans="1:8" x14ac:dyDescent="0.35">
      <c r="A8" s="27"/>
      <c r="B8" s="144" t="s">
        <v>10</v>
      </c>
      <c r="C8" s="143">
        <f>SUMPRODUCT(('2019b'!$B$2:$B$323='(2019b)'!$B8)*('2019b'!$C$2:$C$323='(2019b)'!C$2)*('2019b'!$D$2:$D$323))</f>
        <v>0</v>
      </c>
      <c r="D8" s="143">
        <f>SUMPRODUCT(('2019b'!$B$2:$B$323='(2019b)'!$B8)*('2019b'!$C$2:$C$323='(2019b)'!D$2)*('2019b'!$D$2:$D$323))</f>
        <v>0</v>
      </c>
      <c r="E8" s="143">
        <f>SUMPRODUCT(('2019b'!$B$2:$B$323='(2019b)'!$B8)*('2019b'!$C$2:$C$323='(2019b)'!E$2)*('2019b'!$D$2:$D$323))</f>
        <v>5.08</v>
      </c>
      <c r="F8" s="143">
        <f>SUMPRODUCT(('2019b'!$B$2:$B$323='(2019b)'!$B8)*('2019b'!$C$2:$C$323='(2019b)'!F$2)*('2019b'!$D$2:$D$323))</f>
        <v>17.079999999999998</v>
      </c>
      <c r="G8" s="143">
        <f>SUMPRODUCT(('2019b'!$B$2:$B$323='(2019b)'!$B8)*('2019b'!$C$2:$C$323='(2019b)'!G$2)*('2019b'!$D$2:$D$323))</f>
        <v>66.16</v>
      </c>
      <c r="H8" s="143">
        <f t="shared" si="1"/>
        <v>88.32</v>
      </c>
    </row>
    <row r="9" spans="1:8" x14ac:dyDescent="0.35">
      <c r="A9" s="27"/>
      <c r="B9" s="144" t="s">
        <v>11</v>
      </c>
      <c r="C9" s="143">
        <f>SUMPRODUCT(('2019b'!$B$2:$B$323='(2019b)'!$B9)*('2019b'!$C$2:$C$323='(2019b)'!C$2)*('2019b'!$D$2:$D$323))</f>
        <v>0</v>
      </c>
      <c r="D9" s="143">
        <f>SUMPRODUCT(('2019b'!$B$2:$B$323='(2019b)'!$B9)*('2019b'!$C$2:$C$323='(2019b)'!D$2)*('2019b'!$D$2:$D$323))</f>
        <v>0</v>
      </c>
      <c r="E9" s="143">
        <f>SUMPRODUCT(('2019b'!$B$2:$B$323='(2019b)'!$B9)*('2019b'!$C$2:$C$323='(2019b)'!E$2)*('2019b'!$D$2:$D$323))</f>
        <v>11.95</v>
      </c>
      <c r="F9" s="143">
        <f>SUMPRODUCT(('2019b'!$B$2:$B$323='(2019b)'!$B9)*('2019b'!$C$2:$C$323='(2019b)'!F$2)*('2019b'!$D$2:$D$323))</f>
        <v>27.22</v>
      </c>
      <c r="G9" s="143">
        <f>SUMPRODUCT(('2019b'!$B$2:$B$323='(2019b)'!$B9)*('2019b'!$C$2:$C$323='(2019b)'!G$2)*('2019b'!$D$2:$D$323))</f>
        <v>67.67</v>
      </c>
      <c r="H9" s="143">
        <f t="shared" si="1"/>
        <v>106.84</v>
      </c>
    </row>
    <row r="10" spans="1:8" x14ac:dyDescent="0.35">
      <c r="A10" s="27"/>
      <c r="B10" s="144" t="s">
        <v>12</v>
      </c>
      <c r="C10" s="143">
        <f>SUMPRODUCT(('2019b'!$B$2:$B$323='(2019b)'!$B10)*('2019b'!$C$2:$C$323='(2019b)'!C$2)*('2019b'!$D$2:$D$323))</f>
        <v>0</v>
      </c>
      <c r="D10" s="143">
        <f>SUMPRODUCT(('2019b'!$B$2:$B$323='(2019b)'!$B10)*('2019b'!$C$2:$C$323='(2019b)'!D$2)*('2019b'!$D$2:$D$323))</f>
        <v>0</v>
      </c>
      <c r="E10" s="143">
        <f>SUMPRODUCT(('2019b'!$B$2:$B$323='(2019b)'!$B10)*('2019b'!$C$2:$C$323='(2019b)'!E$2)*('2019b'!$D$2:$D$323))</f>
        <v>10.050000000000001</v>
      </c>
      <c r="F10" s="143">
        <f>SUMPRODUCT(('2019b'!$B$2:$B$323='(2019b)'!$B10)*('2019b'!$C$2:$C$323='(2019b)'!F$2)*('2019b'!$D$2:$D$323))</f>
        <v>29.79</v>
      </c>
      <c r="G10" s="143">
        <f>SUMPRODUCT(('2019b'!$B$2:$B$323='(2019b)'!$B10)*('2019b'!$C$2:$C$323='(2019b)'!G$2)*('2019b'!$D$2:$D$323))</f>
        <v>110.32</v>
      </c>
      <c r="H10" s="143">
        <f t="shared" si="1"/>
        <v>150.16</v>
      </c>
    </row>
    <row r="11" spans="1:8" x14ac:dyDescent="0.35">
      <c r="A11" s="27"/>
      <c r="B11" s="144" t="s">
        <v>13</v>
      </c>
      <c r="C11" s="143">
        <f>SUMPRODUCT(('2019b'!$B$2:$B$323='(2019b)'!$B11)*('2019b'!$C$2:$C$323='(2019b)'!C$2)*('2019b'!$D$2:$D$323))</f>
        <v>0</v>
      </c>
      <c r="D11" s="143">
        <f>SUMPRODUCT(('2019b'!$B$2:$B$323='(2019b)'!$B11)*('2019b'!$C$2:$C$323='(2019b)'!D$2)*('2019b'!$D$2:$D$323))</f>
        <v>0</v>
      </c>
      <c r="E11" s="143">
        <f>SUMPRODUCT(('2019b'!$B$2:$B$323='(2019b)'!$B11)*('2019b'!$C$2:$C$323='(2019b)'!E$2)*('2019b'!$D$2:$D$323))</f>
        <v>4</v>
      </c>
      <c r="F11" s="143">
        <f>SUMPRODUCT(('2019b'!$B$2:$B$323='(2019b)'!$B11)*('2019b'!$C$2:$C$323='(2019b)'!F$2)*('2019b'!$D$2:$D$323))</f>
        <v>11.25</v>
      </c>
      <c r="G11" s="143">
        <f>SUMPRODUCT(('2019b'!$B$2:$B$323='(2019b)'!$B11)*('2019b'!$C$2:$C$323='(2019b)'!G$2)*('2019b'!$D$2:$D$323))</f>
        <v>70.5</v>
      </c>
      <c r="H11" s="143">
        <f t="shared" si="1"/>
        <v>85.75</v>
      </c>
    </row>
    <row r="12" spans="1:8" x14ac:dyDescent="0.35">
      <c r="A12" s="27"/>
      <c r="B12" s="144" t="s">
        <v>14</v>
      </c>
      <c r="C12" s="143">
        <f>SUMPRODUCT(('2019b'!$B$2:$B$323='(2019b)'!$B12)*('2019b'!$C$2:$C$323='(2019b)'!C$2)*('2019b'!$D$2:$D$323))</f>
        <v>0</v>
      </c>
      <c r="D12" s="143">
        <f>SUMPRODUCT(('2019b'!$B$2:$B$323='(2019b)'!$B12)*('2019b'!$C$2:$C$323='(2019b)'!D$2)*('2019b'!$D$2:$D$323))</f>
        <v>14.75</v>
      </c>
      <c r="E12" s="143">
        <f>SUMPRODUCT(('2019b'!$B$2:$B$323='(2019b)'!$B12)*('2019b'!$C$2:$C$323='(2019b)'!E$2)*('2019b'!$D$2:$D$323))</f>
        <v>26</v>
      </c>
      <c r="F12" s="143">
        <f>SUMPRODUCT(('2019b'!$B$2:$B$323='(2019b)'!$B12)*('2019b'!$C$2:$C$323='(2019b)'!F$2)*('2019b'!$D$2:$D$323))</f>
        <v>44.75</v>
      </c>
      <c r="G12" s="143">
        <f>SUMPRODUCT(('2019b'!$B$2:$B$323='(2019b)'!$B12)*('2019b'!$C$2:$C$323='(2019b)'!G$2)*('2019b'!$D$2:$D$323))</f>
        <v>287.12</v>
      </c>
      <c r="H12" s="143">
        <f t="shared" si="1"/>
        <v>372.62</v>
      </c>
    </row>
    <row r="13" spans="1:8" x14ac:dyDescent="0.35">
      <c r="A13" s="27"/>
      <c r="B13" s="144" t="s">
        <v>15</v>
      </c>
      <c r="C13" s="143">
        <f>SUMPRODUCT(('2019b'!$B$2:$B$323='(2019b)'!$B13)*('2019b'!$C$2:$C$323='(2019b)'!C$2)*('2019b'!$D$2:$D$323))</f>
        <v>0</v>
      </c>
      <c r="D13" s="143">
        <f>SUMPRODUCT(('2019b'!$B$2:$B$323='(2019b)'!$B13)*('2019b'!$C$2:$C$323='(2019b)'!D$2)*('2019b'!$D$2:$D$323))</f>
        <v>0</v>
      </c>
      <c r="E13" s="143">
        <f>SUMPRODUCT(('2019b'!$B$2:$B$323='(2019b)'!$B13)*('2019b'!$C$2:$C$323='(2019b)'!E$2)*('2019b'!$D$2:$D$323))</f>
        <v>7.9</v>
      </c>
      <c r="F13" s="143">
        <f>SUMPRODUCT(('2019b'!$B$2:$B$323='(2019b)'!$B13)*('2019b'!$C$2:$C$323='(2019b)'!F$2)*('2019b'!$D$2:$D$323))</f>
        <v>79.7</v>
      </c>
      <c r="G13" s="143">
        <f>SUMPRODUCT(('2019b'!$B$2:$B$323='(2019b)'!$B13)*('2019b'!$C$2:$C$323='(2019b)'!G$2)*('2019b'!$D$2:$D$323))</f>
        <v>202.19</v>
      </c>
      <c r="H13" s="143">
        <f t="shared" si="1"/>
        <v>289.79000000000002</v>
      </c>
    </row>
    <row r="14" spans="1:8" x14ac:dyDescent="0.35">
      <c r="A14" s="27"/>
      <c r="B14" s="144" t="s">
        <v>16</v>
      </c>
      <c r="C14" s="143">
        <f>SUMPRODUCT(('2019b'!$B$2:$B$323='(2019b)'!$B14)*('2019b'!$C$2:$C$323='(2019b)'!C$2)*('2019b'!$D$2:$D$323))</f>
        <v>0</v>
      </c>
      <c r="D14" s="143">
        <f>SUMPRODUCT(('2019b'!$B$2:$B$323='(2019b)'!$B14)*('2019b'!$C$2:$C$323='(2019b)'!D$2)*('2019b'!$D$2:$D$323))</f>
        <v>0</v>
      </c>
      <c r="E14" s="143">
        <f>SUMPRODUCT(('2019b'!$B$2:$B$323='(2019b)'!$B14)*('2019b'!$C$2:$C$323='(2019b)'!E$2)*('2019b'!$D$2:$D$323))</f>
        <v>22</v>
      </c>
      <c r="F14" s="143">
        <f>SUMPRODUCT(('2019b'!$B$2:$B$323='(2019b)'!$B14)*('2019b'!$C$2:$C$323='(2019b)'!F$2)*('2019b'!$D$2:$D$323))</f>
        <v>42.25</v>
      </c>
      <c r="G14" s="143">
        <f>SUMPRODUCT(('2019b'!$B$2:$B$323='(2019b)'!$B14)*('2019b'!$C$2:$C$323='(2019b)'!G$2)*('2019b'!$D$2:$D$323))</f>
        <v>148.85</v>
      </c>
      <c r="H14" s="143">
        <f t="shared" si="1"/>
        <v>213.1</v>
      </c>
    </row>
    <row r="15" spans="1:8" x14ac:dyDescent="0.35">
      <c r="A15" s="27"/>
      <c r="B15" s="144" t="s">
        <v>17</v>
      </c>
      <c r="C15" s="143">
        <f>SUMPRODUCT(('2019b'!$B$2:$B$323='(2019b)'!$B15)*('2019b'!$C$2:$C$323='(2019b)'!C$2)*('2019b'!$D$2:$D$323))</f>
        <v>0</v>
      </c>
      <c r="D15" s="143">
        <f>SUMPRODUCT(('2019b'!$B$2:$B$323='(2019b)'!$B15)*('2019b'!$C$2:$C$323='(2019b)'!D$2)*('2019b'!$D$2:$D$323))</f>
        <v>0</v>
      </c>
      <c r="E15" s="143">
        <f>SUMPRODUCT(('2019b'!$B$2:$B$323='(2019b)'!$B15)*('2019b'!$C$2:$C$323='(2019b)'!E$2)*('2019b'!$D$2:$D$323))</f>
        <v>74.5</v>
      </c>
      <c r="F15" s="143">
        <f>SUMPRODUCT(('2019b'!$B$2:$B$323='(2019b)'!$B15)*('2019b'!$C$2:$C$323='(2019b)'!F$2)*('2019b'!$D$2:$D$323))</f>
        <v>184.42000000000002</v>
      </c>
      <c r="G15" s="143">
        <f>SUMPRODUCT(('2019b'!$B$2:$B$323='(2019b)'!$B15)*('2019b'!$C$2:$C$323='(2019b)'!G$2)*('2019b'!$D$2:$D$323))</f>
        <v>682.33999999999992</v>
      </c>
      <c r="H15" s="143">
        <f t="shared" si="1"/>
        <v>941.26</v>
      </c>
    </row>
    <row r="16" spans="1:8" x14ac:dyDescent="0.35">
      <c r="A16" s="27"/>
      <c r="B16" s="144" t="s">
        <v>115</v>
      </c>
      <c r="C16" s="143">
        <f>SUMPRODUCT(('2019b'!$B$2:$B$323='(2019b)'!$B16)*('2019b'!$C$2:$C$323='(2019b)'!C$2)*('2019b'!$D$2:$D$323))</f>
        <v>0</v>
      </c>
      <c r="D16" s="143">
        <f>SUMPRODUCT(('2019b'!$B$2:$B$323='(2019b)'!$B16)*('2019b'!$C$2:$C$323='(2019b)'!D$2)*('2019b'!$D$2:$D$323))</f>
        <v>0</v>
      </c>
      <c r="E16" s="143">
        <f>SUMPRODUCT(('2019b'!$B$2:$B$323='(2019b)'!$B16)*('2019b'!$C$2:$C$323='(2019b)'!E$2)*('2019b'!$D$2:$D$323))</f>
        <v>55</v>
      </c>
      <c r="F16" s="143">
        <f>SUMPRODUCT(('2019b'!$B$2:$B$323='(2019b)'!$B16)*('2019b'!$C$2:$C$323='(2019b)'!F$2)*('2019b'!$D$2:$D$323))</f>
        <v>101</v>
      </c>
      <c r="G16" s="143">
        <f>SUMPRODUCT(('2019b'!$B$2:$B$323='(2019b)'!$B16)*('2019b'!$C$2:$C$323='(2019b)'!G$2)*('2019b'!$D$2:$D$323))</f>
        <v>316</v>
      </c>
      <c r="H16" s="143">
        <f t="shared" si="1"/>
        <v>472</v>
      </c>
    </row>
    <row r="17" spans="1:8" x14ac:dyDescent="0.35">
      <c r="A17" s="27"/>
      <c r="B17" s="144" t="s">
        <v>19</v>
      </c>
      <c r="C17" s="143">
        <f>SUMPRODUCT(('2019b'!$B$2:$B$323='(2019b)'!$B17)*('2019b'!$C$2:$C$323='(2019b)'!C$2)*('2019b'!$D$2:$D$323))</f>
        <v>0</v>
      </c>
      <c r="D17" s="143">
        <f>SUMPRODUCT(('2019b'!$B$2:$B$323='(2019b)'!$B17)*('2019b'!$C$2:$C$323='(2019b)'!D$2)*('2019b'!$D$2:$D$323))</f>
        <v>0</v>
      </c>
      <c r="E17" s="143">
        <f>SUMPRODUCT(('2019b'!$B$2:$B$323='(2019b)'!$B17)*('2019b'!$C$2:$C$323='(2019b)'!E$2)*('2019b'!$D$2:$D$323))</f>
        <v>10</v>
      </c>
      <c r="F17" s="143">
        <f>SUMPRODUCT(('2019b'!$B$2:$B$323='(2019b)'!$B17)*('2019b'!$C$2:$C$323='(2019b)'!F$2)*('2019b'!$D$2:$D$323))</f>
        <v>26</v>
      </c>
      <c r="G17" s="143">
        <f>SUMPRODUCT(('2019b'!$B$2:$B$323='(2019b)'!$B17)*('2019b'!$C$2:$C$323='(2019b)'!G$2)*('2019b'!$D$2:$D$323))</f>
        <v>101</v>
      </c>
      <c r="H17" s="143">
        <f t="shared" si="1"/>
        <v>137</v>
      </c>
    </row>
    <row r="18" spans="1:8" x14ac:dyDescent="0.35">
      <c r="A18" s="27"/>
      <c r="B18" s="144" t="s">
        <v>20</v>
      </c>
      <c r="C18" s="143">
        <f>SUMPRODUCT(('2019b'!$B$2:$B$323='(2019b)'!$B18)*('2019b'!$C$2:$C$323='(2019b)'!C$2)*('2019b'!$D$2:$D$323))</f>
        <v>0</v>
      </c>
      <c r="D18" s="143">
        <f>SUMPRODUCT(('2019b'!$B$2:$B$323='(2019b)'!$B18)*('2019b'!$C$2:$C$323='(2019b)'!D$2)*('2019b'!$D$2:$D$323))</f>
        <v>0</v>
      </c>
      <c r="E18" s="143">
        <f>SUMPRODUCT(('2019b'!$B$2:$B$323='(2019b)'!$B18)*('2019b'!$C$2:$C$323='(2019b)'!E$2)*('2019b'!$D$2:$D$323))</f>
        <v>14</v>
      </c>
      <c r="F18" s="143">
        <f>SUMPRODUCT(('2019b'!$B$2:$B$323='(2019b)'!$B18)*('2019b'!$C$2:$C$323='(2019b)'!F$2)*('2019b'!$D$2:$D$323))</f>
        <v>28</v>
      </c>
      <c r="G18" s="143">
        <f>SUMPRODUCT(('2019b'!$B$2:$B$323='(2019b)'!$B18)*('2019b'!$C$2:$C$323='(2019b)'!G$2)*('2019b'!$D$2:$D$323))</f>
        <v>154</v>
      </c>
      <c r="H18" s="143">
        <f t="shared" si="1"/>
        <v>196</v>
      </c>
    </row>
    <row r="19" spans="1:8" x14ac:dyDescent="0.35">
      <c r="A19" s="27"/>
      <c r="B19" s="144" t="s">
        <v>21</v>
      </c>
      <c r="C19" s="143">
        <f>SUMPRODUCT(('2019b'!$B$2:$B$323='(2019b)'!$B19)*('2019b'!$C$2:$C$323='(2019b)'!C$2)*('2019b'!$D$2:$D$323))</f>
        <v>0</v>
      </c>
      <c r="D19" s="143">
        <f>SUMPRODUCT(('2019b'!$B$2:$B$323='(2019b)'!$B19)*('2019b'!$C$2:$C$323='(2019b)'!D$2)*('2019b'!$D$2:$D$323))</f>
        <v>3.8</v>
      </c>
      <c r="E19" s="143">
        <f>SUMPRODUCT(('2019b'!$B$2:$B$323='(2019b)'!$B19)*('2019b'!$C$2:$C$323='(2019b)'!E$2)*('2019b'!$D$2:$D$323))</f>
        <v>25.3</v>
      </c>
      <c r="F19" s="143">
        <f>SUMPRODUCT(('2019b'!$B$2:$B$323='(2019b)'!$B19)*('2019b'!$C$2:$C$323='(2019b)'!F$2)*('2019b'!$D$2:$D$323))</f>
        <v>71.8</v>
      </c>
      <c r="G19" s="143">
        <f>SUMPRODUCT(('2019b'!$B$2:$B$323='(2019b)'!$B19)*('2019b'!$C$2:$C$323='(2019b)'!G$2)*('2019b'!$D$2:$D$323))</f>
        <v>296.8</v>
      </c>
      <c r="H19" s="143">
        <f t="shared" si="1"/>
        <v>397.70000000000005</v>
      </c>
    </row>
    <row r="20" spans="1:8" x14ac:dyDescent="0.35">
      <c r="A20" s="27"/>
      <c r="B20" s="144" t="s">
        <v>22</v>
      </c>
      <c r="C20" s="143">
        <f>SUMPRODUCT(('2019b'!$B$2:$B$323='(2019b)'!$B20)*('2019b'!$C$2:$C$323='(2019b)'!C$2)*('2019b'!$D$2:$D$323))</f>
        <v>0</v>
      </c>
      <c r="D20" s="143">
        <f>SUMPRODUCT(('2019b'!$B$2:$B$323='(2019b)'!$B20)*('2019b'!$C$2:$C$323='(2019b)'!D$2)*('2019b'!$D$2:$D$323))</f>
        <v>0.75</v>
      </c>
      <c r="E20" s="143">
        <f>SUMPRODUCT(('2019b'!$B$2:$B$323='(2019b)'!$B20)*('2019b'!$C$2:$C$323='(2019b)'!E$2)*('2019b'!$D$2:$D$323))</f>
        <v>19.850000000000001</v>
      </c>
      <c r="F20" s="143">
        <f>SUMPRODUCT(('2019b'!$B$2:$B$323='(2019b)'!$B20)*('2019b'!$C$2:$C$323='(2019b)'!F$2)*('2019b'!$D$2:$D$323))</f>
        <v>35</v>
      </c>
      <c r="G20" s="143">
        <f>SUMPRODUCT(('2019b'!$B$2:$B$323='(2019b)'!$B20)*('2019b'!$C$2:$C$323='(2019b)'!G$2)*('2019b'!$D$2:$D$323))</f>
        <v>138.80000000000001</v>
      </c>
      <c r="H20" s="143">
        <f t="shared" si="1"/>
        <v>194.4</v>
      </c>
    </row>
    <row r="21" spans="1:8" x14ac:dyDescent="0.35">
      <c r="A21" s="27"/>
      <c r="B21" s="144" t="s">
        <v>25</v>
      </c>
      <c r="C21" s="143">
        <f>SUMPRODUCT(('2019b'!$B$2:$B$323='(2019b)'!$B21)*('2019b'!$C$2:$C$323='(2019b)'!C$2)*('2019b'!$D$2:$D$323))</f>
        <v>0</v>
      </c>
      <c r="D21" s="143">
        <f>SUMPRODUCT(('2019b'!$B$2:$B$323='(2019b)'!$B21)*('2019b'!$C$2:$C$323='(2019b)'!D$2)*('2019b'!$D$2:$D$323))</f>
        <v>2</v>
      </c>
      <c r="E21" s="143">
        <f>SUMPRODUCT(('2019b'!$B$2:$B$323='(2019b)'!$B21)*('2019b'!$C$2:$C$323='(2019b)'!E$2)*('2019b'!$D$2:$D$323))</f>
        <v>50</v>
      </c>
      <c r="F21" s="143">
        <f>SUMPRODUCT(('2019b'!$B$2:$B$323='(2019b)'!$B21)*('2019b'!$C$2:$C$323='(2019b)'!F$2)*('2019b'!$D$2:$D$323))</f>
        <v>95.75</v>
      </c>
      <c r="G21" s="143">
        <f>SUMPRODUCT(('2019b'!$B$2:$B$323='(2019b)'!$B21)*('2019b'!$C$2:$C$323='(2019b)'!G$2)*('2019b'!$D$2:$D$323))</f>
        <v>421.375</v>
      </c>
      <c r="H21" s="143">
        <f t="shared" si="1"/>
        <v>569.125</v>
      </c>
    </row>
    <row r="22" spans="1:8" x14ac:dyDescent="0.35">
      <c r="A22" s="27"/>
      <c r="B22" s="144" t="s">
        <v>26</v>
      </c>
      <c r="C22" s="143">
        <f>SUMPRODUCT(('2019b'!$B$2:$B$323='(2019b)'!$B22)*('2019b'!$C$2:$C$323='(2019b)'!C$2)*('2019b'!$D$2:$D$323))</f>
        <v>0</v>
      </c>
      <c r="D22" s="143">
        <f>SUMPRODUCT(('2019b'!$B$2:$B$323='(2019b)'!$B22)*('2019b'!$C$2:$C$323='(2019b)'!D$2)*('2019b'!$D$2:$D$323))</f>
        <v>0</v>
      </c>
      <c r="E22" s="143">
        <f>SUMPRODUCT(('2019b'!$B$2:$B$323='(2019b)'!$B22)*('2019b'!$C$2:$C$323='(2019b)'!E$2)*('2019b'!$D$2:$D$323))</f>
        <v>18.48</v>
      </c>
      <c r="F22" s="143">
        <f>SUMPRODUCT(('2019b'!$B$2:$B$323='(2019b)'!$B22)*('2019b'!$C$2:$C$323='(2019b)'!F$2)*('2019b'!$D$2:$D$323))</f>
        <v>41.92</v>
      </c>
      <c r="G22" s="143">
        <f>SUMPRODUCT(('2019b'!$B$2:$B$323='(2019b)'!$B22)*('2019b'!$C$2:$C$323='(2019b)'!G$2)*('2019b'!$D$2:$D$323))</f>
        <v>160.91999999999999</v>
      </c>
      <c r="H22" s="143">
        <f t="shared" si="1"/>
        <v>221.32</v>
      </c>
    </row>
    <row r="23" spans="1:8" x14ac:dyDescent="0.35">
      <c r="A23" s="27"/>
      <c r="B23" s="144" t="s">
        <v>27</v>
      </c>
      <c r="C23" s="143">
        <f>SUMPRODUCT(('2019b'!$B$2:$B$323='(2019b)'!$B23)*('2019b'!$C$2:$C$323='(2019b)'!C$2)*('2019b'!$D$2:$D$323))</f>
        <v>0</v>
      </c>
      <c r="D23" s="143">
        <f>SUMPRODUCT(('2019b'!$B$2:$B$323='(2019b)'!$B23)*('2019b'!$C$2:$C$323='(2019b)'!D$2)*('2019b'!$D$2:$D$323))</f>
        <v>0</v>
      </c>
      <c r="E23" s="143">
        <f>SUMPRODUCT(('2019b'!$B$2:$B$323='(2019b)'!$B23)*('2019b'!$C$2:$C$323='(2019b)'!E$2)*('2019b'!$D$2:$D$323))</f>
        <v>20</v>
      </c>
      <c r="F23" s="143">
        <f>SUMPRODUCT(('2019b'!$B$2:$B$323='(2019b)'!$B23)*('2019b'!$C$2:$C$323='(2019b)'!F$2)*('2019b'!$D$2:$D$323))</f>
        <v>32</v>
      </c>
      <c r="G23" s="143">
        <f>SUMPRODUCT(('2019b'!$B$2:$B$323='(2019b)'!$B23)*('2019b'!$C$2:$C$323='(2019b)'!G$2)*('2019b'!$D$2:$D$323))</f>
        <v>115</v>
      </c>
      <c r="H23" s="143">
        <f t="shared" si="1"/>
        <v>167</v>
      </c>
    </row>
    <row r="24" spans="1:8" x14ac:dyDescent="0.35">
      <c r="A24" s="27"/>
      <c r="B24" s="144" t="s">
        <v>28</v>
      </c>
      <c r="C24" s="143">
        <f>SUMPRODUCT(('2019b'!$B$2:$B$323='(2019b)'!$B24)*('2019b'!$C$2:$C$323='(2019b)'!C$2)*('2019b'!$D$2:$D$323))</f>
        <v>0</v>
      </c>
      <c r="D24" s="143">
        <f>SUMPRODUCT(('2019b'!$B$2:$B$323='(2019b)'!$B24)*('2019b'!$C$2:$C$323='(2019b)'!D$2)*('2019b'!$D$2:$D$323))</f>
        <v>0</v>
      </c>
      <c r="E24" s="143">
        <f>SUMPRODUCT(('2019b'!$B$2:$B$323='(2019b)'!$B24)*('2019b'!$C$2:$C$323='(2019b)'!E$2)*('2019b'!$D$2:$D$323))</f>
        <v>22</v>
      </c>
      <c r="F24" s="143">
        <f>SUMPRODUCT(('2019b'!$B$2:$B$323='(2019b)'!$B24)*('2019b'!$C$2:$C$323='(2019b)'!F$2)*('2019b'!$D$2:$D$323))</f>
        <v>64</v>
      </c>
      <c r="G24" s="143">
        <f>SUMPRODUCT(('2019b'!$B$2:$B$323='(2019b)'!$B24)*('2019b'!$C$2:$C$323='(2019b)'!G$2)*('2019b'!$D$2:$D$323))</f>
        <v>256</v>
      </c>
      <c r="H24" s="143">
        <f t="shared" si="1"/>
        <v>342</v>
      </c>
    </row>
    <row r="25" spans="1:8" x14ac:dyDescent="0.35">
      <c r="A25" s="27"/>
      <c r="B25" s="144" t="s">
        <v>58</v>
      </c>
      <c r="C25" s="143">
        <f>SUMPRODUCT(('2019b'!$B$2:$B$323='(2019b)'!$B25)*('2019b'!$C$2:$C$323='(2019b)'!C$2)*('2019b'!$D$2:$D$323))</f>
        <v>0</v>
      </c>
      <c r="D25" s="143">
        <f>SUMPRODUCT(('2019b'!$B$2:$B$323='(2019b)'!$B25)*('2019b'!$C$2:$C$323='(2019b)'!D$2)*('2019b'!$D$2:$D$323))</f>
        <v>0</v>
      </c>
      <c r="E25" s="143">
        <f>SUMPRODUCT(('2019b'!$B$2:$B$323='(2019b)'!$B25)*('2019b'!$C$2:$C$323='(2019b)'!E$2)*('2019b'!$D$2:$D$323))</f>
        <v>11</v>
      </c>
      <c r="F25" s="143">
        <f>SUMPRODUCT(('2019b'!$B$2:$B$323='(2019b)'!$B25)*('2019b'!$C$2:$C$323='(2019b)'!F$2)*('2019b'!$D$2:$D$323))</f>
        <v>22</v>
      </c>
      <c r="G25" s="143">
        <f>SUMPRODUCT(('2019b'!$B$2:$B$323='(2019b)'!$B25)*('2019b'!$C$2:$C$323='(2019b)'!G$2)*('2019b'!$D$2:$D$323))</f>
        <v>71</v>
      </c>
      <c r="H25" s="143">
        <f t="shared" si="1"/>
        <v>104</v>
      </c>
    </row>
    <row r="26" spans="1:8" x14ac:dyDescent="0.35">
      <c r="A26" s="27"/>
      <c r="B26" s="144" t="s">
        <v>31</v>
      </c>
      <c r="C26" s="143">
        <f>SUMPRODUCT(('2019b'!$B$2:$B$323='(2019b)'!$B26)*('2019b'!$C$2:$C$323='(2019b)'!C$2)*('2019b'!$D$2:$D$323))</f>
        <v>0</v>
      </c>
      <c r="D26" s="143">
        <f>SUMPRODUCT(('2019b'!$B$2:$B$323='(2019b)'!$B26)*('2019b'!$C$2:$C$323='(2019b)'!D$2)*('2019b'!$D$2:$D$323))</f>
        <v>0</v>
      </c>
      <c r="E26" s="143">
        <f>SUMPRODUCT(('2019b'!$B$2:$B$323='(2019b)'!$B26)*('2019b'!$C$2:$C$323='(2019b)'!E$2)*('2019b'!$D$2:$D$323))</f>
        <v>28</v>
      </c>
      <c r="F26" s="143">
        <f>SUMPRODUCT(('2019b'!$B$2:$B$323='(2019b)'!$B26)*('2019b'!$C$2:$C$323='(2019b)'!F$2)*('2019b'!$D$2:$D$323))</f>
        <v>81</v>
      </c>
      <c r="G26" s="143">
        <f>SUMPRODUCT(('2019b'!$B$2:$B$323='(2019b)'!$B26)*('2019b'!$C$2:$C$323='(2019b)'!G$2)*('2019b'!$D$2:$D$323))</f>
        <v>372</v>
      </c>
      <c r="H26" s="143">
        <f t="shared" si="1"/>
        <v>481</v>
      </c>
    </row>
    <row r="27" spans="1:8" x14ac:dyDescent="0.35">
      <c r="A27" s="27"/>
      <c r="B27" s="144" t="s">
        <v>32</v>
      </c>
      <c r="C27" s="143">
        <f>SUMPRODUCT(('2019b'!$B$2:$B$323='(2019b)'!$B27)*('2019b'!$C$2:$C$323='(2019b)'!C$2)*('2019b'!$D$2:$D$323))</f>
        <v>0</v>
      </c>
      <c r="D27" s="143">
        <f>SUMPRODUCT(('2019b'!$B$2:$B$323='(2019b)'!$B27)*('2019b'!$C$2:$C$323='(2019b)'!D$2)*('2019b'!$D$2:$D$323))</f>
        <v>0</v>
      </c>
      <c r="E27" s="143">
        <f>SUMPRODUCT(('2019b'!$B$2:$B$323='(2019b)'!$B27)*('2019b'!$C$2:$C$323='(2019b)'!E$2)*('2019b'!$D$2:$D$323))</f>
        <v>22.5</v>
      </c>
      <c r="F27" s="143">
        <f>SUMPRODUCT(('2019b'!$B$2:$B$323='(2019b)'!$B27)*('2019b'!$C$2:$C$323='(2019b)'!F$2)*('2019b'!$D$2:$D$323))</f>
        <v>66.900000000000006</v>
      </c>
      <c r="G27" s="143">
        <f>SUMPRODUCT(('2019b'!$B$2:$B$323='(2019b)'!$B27)*('2019b'!$C$2:$C$323='(2019b)'!G$2)*('2019b'!$D$2:$D$323))</f>
        <v>179.3</v>
      </c>
      <c r="H27" s="143">
        <f t="shared" si="1"/>
        <v>268.70000000000005</v>
      </c>
    </row>
    <row r="28" spans="1:8" x14ac:dyDescent="0.35">
      <c r="A28" s="27"/>
      <c r="B28" s="144" t="s">
        <v>33</v>
      </c>
      <c r="C28" s="143">
        <f>SUMPRODUCT(('2019b'!$B$2:$B$323='(2019b)'!$B28)*('2019b'!$C$2:$C$323='(2019b)'!C$2)*('2019b'!$D$2:$D$323))</f>
        <v>0</v>
      </c>
      <c r="D28" s="143">
        <f>SUMPRODUCT(('2019b'!$B$2:$B$323='(2019b)'!$B28)*('2019b'!$C$2:$C$323='(2019b)'!D$2)*('2019b'!$D$2:$D$323))</f>
        <v>0</v>
      </c>
      <c r="E28" s="143">
        <f>SUMPRODUCT(('2019b'!$B$2:$B$323='(2019b)'!$B28)*('2019b'!$C$2:$C$323='(2019b)'!E$2)*('2019b'!$D$2:$D$323))</f>
        <v>10.45</v>
      </c>
      <c r="F28" s="143">
        <f>SUMPRODUCT(('2019b'!$B$2:$B$323='(2019b)'!$B28)*('2019b'!$C$2:$C$323='(2019b)'!F$2)*('2019b'!$D$2:$D$323))</f>
        <v>21.35</v>
      </c>
      <c r="G28" s="143">
        <f>SUMPRODUCT(('2019b'!$B$2:$B$323='(2019b)'!$B28)*('2019b'!$C$2:$C$323='(2019b)'!G$2)*('2019b'!$D$2:$D$323))</f>
        <v>95.8</v>
      </c>
      <c r="H28" s="143">
        <f t="shared" si="1"/>
        <v>127.6</v>
      </c>
    </row>
    <row r="29" spans="1:8" x14ac:dyDescent="0.35">
      <c r="A29" s="27"/>
      <c r="B29" s="144" t="s">
        <v>34</v>
      </c>
      <c r="C29" s="143">
        <f>SUMPRODUCT(('2019b'!$B$2:$B$323='(2019b)'!$B29)*('2019b'!$C$2:$C$323='(2019b)'!C$2)*('2019b'!$D$2:$D$323))</f>
        <v>0</v>
      </c>
      <c r="D29" s="143">
        <f>SUMPRODUCT(('2019b'!$B$2:$B$323='(2019b)'!$B29)*('2019b'!$C$2:$C$323='(2019b)'!D$2)*('2019b'!$D$2:$D$323))</f>
        <v>0</v>
      </c>
      <c r="E29" s="143">
        <f>SUMPRODUCT(('2019b'!$B$2:$B$323='(2019b)'!$B29)*('2019b'!$C$2:$C$323='(2019b)'!E$2)*('2019b'!$D$2:$D$323))</f>
        <v>34</v>
      </c>
      <c r="F29" s="143">
        <f>SUMPRODUCT(('2019b'!$B$2:$B$323='(2019b)'!$B29)*('2019b'!$C$2:$C$323='(2019b)'!F$2)*('2019b'!$D$2:$D$323))</f>
        <v>62.5</v>
      </c>
      <c r="G29" s="143">
        <f>SUMPRODUCT(('2019b'!$B$2:$B$323='(2019b)'!$B29)*('2019b'!$C$2:$C$323='(2019b)'!G$2)*('2019b'!$D$2:$D$323))</f>
        <v>258.25</v>
      </c>
      <c r="H29" s="143">
        <f t="shared" si="1"/>
        <v>354.75</v>
      </c>
    </row>
    <row r="30" spans="1:8" x14ac:dyDescent="0.35">
      <c r="A30" s="27"/>
      <c r="B30" s="144" t="s">
        <v>36</v>
      </c>
      <c r="C30" s="143">
        <f>SUMPRODUCT(('2019b'!$B$2:$B$323='(2019b)'!$B30)*('2019b'!$C$2:$C$323='(2019b)'!C$2)*('2019b'!$D$2:$D$323))</f>
        <v>0</v>
      </c>
      <c r="D30" s="143">
        <f>SUMPRODUCT(('2019b'!$B$2:$B$323='(2019b)'!$B30)*('2019b'!$C$2:$C$323='(2019b)'!D$2)*('2019b'!$D$2:$D$323))</f>
        <v>0</v>
      </c>
      <c r="E30" s="143">
        <f>SUMPRODUCT(('2019b'!$B$2:$B$323='(2019b)'!$B30)*('2019b'!$C$2:$C$323='(2019b)'!E$2)*('2019b'!$D$2:$D$323))</f>
        <v>41.5</v>
      </c>
      <c r="F30" s="143">
        <f>SUMPRODUCT(('2019b'!$B$2:$B$323='(2019b)'!$B30)*('2019b'!$C$2:$C$323='(2019b)'!F$2)*('2019b'!$D$2:$D$323))</f>
        <v>72</v>
      </c>
      <c r="G30" s="143">
        <f>SUMPRODUCT(('2019b'!$B$2:$B$323='(2019b)'!$B30)*('2019b'!$C$2:$C$323='(2019b)'!G$2)*('2019b'!$D$2:$D$323))</f>
        <v>307.25</v>
      </c>
      <c r="H30" s="143">
        <f t="shared" si="1"/>
        <v>420.75</v>
      </c>
    </row>
    <row r="31" spans="1:8" x14ac:dyDescent="0.35">
      <c r="A31" s="27"/>
      <c r="B31" s="144" t="s">
        <v>81</v>
      </c>
      <c r="C31" s="143">
        <f>SUMPRODUCT(('2019b'!$B$2:$B$323='(2019b)'!$B31)*('2019b'!$C$2:$C$323='(2019b)'!C$2)*('2019b'!$D$2:$D$323))</f>
        <v>0</v>
      </c>
      <c r="D31" s="143">
        <f>SUMPRODUCT(('2019b'!$B$2:$B$323='(2019b)'!$B31)*('2019b'!$C$2:$C$323='(2019b)'!D$2)*('2019b'!$D$2:$D$323))</f>
        <v>0</v>
      </c>
      <c r="E31" s="143">
        <f>SUMPRODUCT(('2019b'!$B$2:$B$323='(2019b)'!$B31)*('2019b'!$C$2:$C$323='(2019b)'!E$2)*('2019b'!$D$2:$D$323))</f>
        <v>0</v>
      </c>
      <c r="F31" s="143">
        <f>SUMPRODUCT(('2019b'!$B$2:$B$323='(2019b)'!$B31)*('2019b'!$C$2:$C$323='(2019b)'!F$2)*('2019b'!$D$2:$D$323))</f>
        <v>0</v>
      </c>
      <c r="G31" s="143">
        <f>SUMPRODUCT(('2019b'!$B$2:$B$323='(2019b)'!$B31)*('2019b'!$C$2:$C$323='(2019b)'!G$2)*('2019b'!$D$2:$D$323))</f>
        <v>0</v>
      </c>
      <c r="H31" s="143">
        <f t="shared" si="1"/>
        <v>0</v>
      </c>
    </row>
    <row r="32" spans="1:8" x14ac:dyDescent="0.35">
      <c r="A32" s="27"/>
      <c r="B32" s="144" t="s">
        <v>38</v>
      </c>
      <c r="C32" s="143">
        <f>SUMPRODUCT(('2019b'!$B$2:$B$323='(2019b)'!$B32)*('2019b'!$C$2:$C$323='(2019b)'!C$2)*('2019b'!$D$2:$D$323))</f>
        <v>0</v>
      </c>
      <c r="D32" s="143">
        <f>SUMPRODUCT(('2019b'!$B$2:$B$323='(2019b)'!$B32)*('2019b'!$C$2:$C$323='(2019b)'!D$2)*('2019b'!$D$2:$D$323))</f>
        <v>0</v>
      </c>
      <c r="E32" s="143">
        <f>SUMPRODUCT(('2019b'!$B$2:$B$323='(2019b)'!$B32)*('2019b'!$C$2:$C$323='(2019b)'!E$2)*('2019b'!$D$2:$D$323))</f>
        <v>24</v>
      </c>
      <c r="F32" s="143">
        <f>SUMPRODUCT(('2019b'!$B$2:$B$323='(2019b)'!$B32)*('2019b'!$C$2:$C$323='(2019b)'!F$2)*('2019b'!$D$2:$D$323))</f>
        <v>58</v>
      </c>
      <c r="G32" s="143">
        <f>SUMPRODUCT(('2019b'!$B$2:$B$323='(2019b)'!$B32)*('2019b'!$C$2:$C$323='(2019b)'!G$2)*('2019b'!$D$2:$D$323))</f>
        <v>207</v>
      </c>
      <c r="H32" s="143">
        <f t="shared" si="1"/>
        <v>289</v>
      </c>
    </row>
    <row r="33" spans="1:8" x14ac:dyDescent="0.35">
      <c r="A33" s="27"/>
      <c r="B33" s="144" t="s">
        <v>39</v>
      </c>
      <c r="C33" s="143">
        <f>SUMPRODUCT(('2019b'!$B$2:$B$323='(2019b)'!$B33)*('2019b'!$C$2:$C$323='(2019b)'!C$2)*('2019b'!$D$2:$D$323))</f>
        <v>0</v>
      </c>
      <c r="D33" s="143">
        <f>SUMPRODUCT(('2019b'!$B$2:$B$323='(2019b)'!$B33)*('2019b'!$C$2:$C$323='(2019b)'!D$2)*('2019b'!$D$2:$D$323))</f>
        <v>0</v>
      </c>
      <c r="E33" s="143">
        <f>SUMPRODUCT(('2019b'!$B$2:$B$323='(2019b)'!$B33)*('2019b'!$C$2:$C$323='(2019b)'!E$2)*('2019b'!$D$2:$D$323))</f>
        <v>9.75</v>
      </c>
      <c r="F33" s="143">
        <f>SUMPRODUCT(('2019b'!$B$2:$B$323='(2019b)'!$B33)*('2019b'!$C$2:$C$323='(2019b)'!F$2)*('2019b'!$D$2:$D$323))</f>
        <v>23.76</v>
      </c>
      <c r="G33" s="143">
        <f>SUMPRODUCT(('2019b'!$B$2:$B$323='(2019b)'!$B33)*('2019b'!$C$2:$C$323='(2019b)'!G$2)*('2019b'!$D$2:$D$323))</f>
        <v>122.5</v>
      </c>
      <c r="H33" s="143">
        <f t="shared" si="1"/>
        <v>156.01</v>
      </c>
    </row>
    <row r="34" spans="1:8" x14ac:dyDescent="0.35">
      <c r="A34" s="27"/>
      <c r="B34" s="144" t="s">
        <v>40</v>
      </c>
      <c r="C34" s="143">
        <f>SUMPRODUCT(('2019b'!$B$2:$B$323='(2019b)'!$B34)*('2019b'!$C$2:$C$323='(2019b)'!C$2)*('2019b'!$D$2:$D$323))</f>
        <v>0</v>
      </c>
      <c r="D34" s="143">
        <f>SUMPRODUCT(('2019b'!$B$2:$B$323='(2019b)'!$B34)*('2019b'!$C$2:$C$323='(2019b)'!D$2)*('2019b'!$D$2:$D$323))</f>
        <v>0</v>
      </c>
      <c r="E34" s="143">
        <f>SUMPRODUCT(('2019b'!$B$2:$B$323='(2019b)'!$B34)*('2019b'!$C$2:$C$323='(2019b)'!E$2)*('2019b'!$D$2:$D$323))</f>
        <v>11.75</v>
      </c>
      <c r="F34" s="143">
        <f>SUMPRODUCT(('2019b'!$B$2:$B$323='(2019b)'!$B34)*('2019b'!$C$2:$C$323='(2019b)'!F$2)*('2019b'!$D$2:$D$323))</f>
        <v>27.61</v>
      </c>
      <c r="G34" s="143">
        <f>SUMPRODUCT(('2019b'!$B$2:$B$323='(2019b)'!$B34)*('2019b'!$C$2:$C$323='(2019b)'!G$2)*('2019b'!$D$2:$D$323))</f>
        <v>83.85</v>
      </c>
      <c r="H34" s="143">
        <f t="shared" si="1"/>
        <v>123.21</v>
      </c>
    </row>
    <row r="35" spans="1:8" x14ac:dyDescent="0.35">
      <c r="A35" s="27"/>
      <c r="B35" s="144" t="s">
        <v>41</v>
      </c>
      <c r="C35" s="143">
        <f>SUMPRODUCT(('2019b'!$B$2:$B$323='(2019b)'!$B35)*('2019b'!$C$2:$C$323='(2019b)'!C$2)*('2019b'!$D$2:$D$323))</f>
        <v>0</v>
      </c>
      <c r="D35" s="143">
        <f>SUMPRODUCT(('2019b'!$B$2:$B$323='(2019b)'!$B35)*('2019b'!$C$2:$C$323='(2019b)'!D$2)*('2019b'!$D$2:$D$323))</f>
        <v>0</v>
      </c>
      <c r="E35" s="143">
        <f>SUMPRODUCT(('2019b'!$B$2:$B$323='(2019b)'!$B35)*('2019b'!$C$2:$C$323='(2019b)'!E$2)*('2019b'!$D$2:$D$323))</f>
        <v>17</v>
      </c>
      <c r="F35" s="143">
        <f>SUMPRODUCT(('2019b'!$B$2:$B$323='(2019b)'!$B35)*('2019b'!$C$2:$C$323='(2019b)'!F$2)*('2019b'!$D$2:$D$323))</f>
        <v>24.5</v>
      </c>
      <c r="G35" s="143">
        <f>SUMPRODUCT(('2019b'!$B$2:$B$323='(2019b)'!$B35)*('2019b'!$C$2:$C$323='(2019b)'!G$2)*('2019b'!$D$2:$D$323))</f>
        <v>97.5</v>
      </c>
      <c r="H35" s="143">
        <f t="shared" si="1"/>
        <v>139</v>
      </c>
    </row>
    <row r="36" spans="1:8" x14ac:dyDescent="0.35">
      <c r="A36" s="27"/>
      <c r="B36" s="144" t="s">
        <v>42</v>
      </c>
      <c r="C36" s="143">
        <f>SUMPRODUCT(('2019b'!$B$2:$B$323='(2019b)'!$B36)*('2019b'!$C$2:$C$323='(2019b)'!C$2)*('2019b'!$D$2:$D$323))</f>
        <v>0</v>
      </c>
      <c r="D36" s="143">
        <f>SUMPRODUCT(('2019b'!$B$2:$B$323='(2019b)'!$B36)*('2019b'!$C$2:$C$323='(2019b)'!D$2)*('2019b'!$D$2:$D$323))</f>
        <v>0</v>
      </c>
      <c r="E36" s="143">
        <f>SUMPRODUCT(('2019b'!$B$2:$B$323='(2019b)'!$B36)*('2019b'!$C$2:$C$323='(2019b)'!E$2)*('2019b'!$D$2:$D$323))</f>
        <v>24</v>
      </c>
      <c r="F36" s="143">
        <f>SUMPRODUCT(('2019b'!$B$2:$B$323='(2019b)'!$B36)*('2019b'!$C$2:$C$323='(2019b)'!F$2)*('2019b'!$D$2:$D$323))</f>
        <v>39</v>
      </c>
      <c r="G36" s="143">
        <f>SUMPRODUCT(('2019b'!$B$2:$B$323='(2019b)'!$B36)*('2019b'!$C$2:$C$323='(2019b)'!G$2)*('2019b'!$D$2:$D$323))</f>
        <v>141</v>
      </c>
      <c r="H36" s="143">
        <f t="shared" si="1"/>
        <v>204</v>
      </c>
    </row>
    <row r="37" spans="1:8" x14ac:dyDescent="0.35">
      <c r="A37" s="27"/>
      <c r="B37" s="144" t="s">
        <v>43</v>
      </c>
      <c r="C37" s="143">
        <f>SUMPRODUCT(('2019b'!$B$2:$B$323='(2019b)'!$B37)*('2019b'!$C$2:$C$323='(2019b)'!C$2)*('2019b'!$D$2:$D$323))</f>
        <v>0</v>
      </c>
      <c r="D37" s="143">
        <f>SUMPRODUCT(('2019b'!$B$2:$B$323='(2019b)'!$B37)*('2019b'!$C$2:$C$323='(2019b)'!D$2)*('2019b'!$D$2:$D$323))</f>
        <v>0</v>
      </c>
      <c r="E37" s="143">
        <f>SUMPRODUCT(('2019b'!$B$2:$B$323='(2019b)'!$B37)*('2019b'!$C$2:$C$323='(2019b)'!E$2)*('2019b'!$D$2:$D$323))</f>
        <v>23</v>
      </c>
      <c r="F37" s="143">
        <f>SUMPRODUCT(('2019b'!$B$2:$B$323='(2019b)'!$B37)*('2019b'!$C$2:$C$323='(2019b)'!F$2)*('2019b'!$D$2:$D$323))</f>
        <v>65</v>
      </c>
      <c r="G37" s="143">
        <f>SUMPRODUCT(('2019b'!$B$2:$B$323='(2019b)'!$B37)*('2019b'!$C$2:$C$323='(2019b)'!G$2)*('2019b'!$D$2:$D$323))</f>
        <v>235</v>
      </c>
      <c r="H37" s="143">
        <f t="shared" si="1"/>
        <v>323</v>
      </c>
    </row>
    <row r="38" spans="1:8" x14ac:dyDescent="0.35">
      <c r="A38" s="27"/>
      <c r="B38" s="144" t="s">
        <v>45</v>
      </c>
      <c r="C38" s="143">
        <f>SUMPRODUCT(('2019b'!$B$2:$B$323='(2019b)'!$B38)*('2019b'!$C$2:$C$323='(2019b)'!C$2)*('2019b'!$D$2:$D$323))</f>
        <v>0</v>
      </c>
      <c r="D38" s="143">
        <f>SUMPRODUCT(('2019b'!$B$2:$B$323='(2019b)'!$B38)*('2019b'!$C$2:$C$323='(2019b)'!D$2)*('2019b'!$D$2:$D$323))</f>
        <v>0</v>
      </c>
      <c r="E38" s="143">
        <f>SUMPRODUCT(('2019b'!$B$2:$B$323='(2019b)'!$B38)*('2019b'!$C$2:$C$323='(2019b)'!E$2)*('2019b'!$D$2:$D$323))</f>
        <v>28</v>
      </c>
      <c r="F38" s="143">
        <f>SUMPRODUCT(('2019b'!$B$2:$B$323='(2019b)'!$B38)*('2019b'!$C$2:$C$323='(2019b)'!F$2)*('2019b'!$D$2:$D$323))</f>
        <v>65</v>
      </c>
      <c r="G38" s="143">
        <f>SUMPRODUCT(('2019b'!$B$2:$B$323='(2019b)'!$B38)*('2019b'!$C$2:$C$323='(2019b)'!G$2)*('2019b'!$D$2:$D$323))</f>
        <v>278</v>
      </c>
      <c r="H38" s="143">
        <f t="shared" si="1"/>
        <v>371</v>
      </c>
    </row>
    <row r="39" spans="1:8" x14ac:dyDescent="0.35">
      <c r="A39" s="27"/>
      <c r="B39" s="144" t="s">
        <v>46</v>
      </c>
      <c r="C39" s="143">
        <f>SUMPRODUCT(('2019b'!$B$2:$B$323='(2019b)'!$B39)*('2019b'!$C$2:$C$323='(2019b)'!C$2)*('2019b'!$D$2:$D$323))</f>
        <v>0</v>
      </c>
      <c r="D39" s="143">
        <f>SUMPRODUCT(('2019b'!$B$2:$B$323='(2019b)'!$B39)*('2019b'!$C$2:$C$323='(2019b)'!D$2)*('2019b'!$D$2:$D$323))</f>
        <v>0</v>
      </c>
      <c r="E39" s="143">
        <f>SUMPRODUCT(('2019b'!$B$2:$B$323='(2019b)'!$B39)*('2019b'!$C$2:$C$323='(2019b)'!E$2)*('2019b'!$D$2:$D$323))</f>
        <v>33</v>
      </c>
      <c r="F39" s="143">
        <f>SUMPRODUCT(('2019b'!$B$2:$B$323='(2019b)'!$B39)*('2019b'!$C$2:$C$323='(2019b)'!F$2)*('2019b'!$D$2:$D$323))</f>
        <v>68</v>
      </c>
      <c r="G39" s="143">
        <f>SUMPRODUCT(('2019b'!$B$2:$B$323='(2019b)'!$B39)*('2019b'!$C$2:$C$323='(2019b)'!G$2)*('2019b'!$D$2:$D$323))</f>
        <v>238.5</v>
      </c>
      <c r="H39" s="143">
        <f t="shared" si="1"/>
        <v>339.5</v>
      </c>
    </row>
    <row r="40" spans="1:8" x14ac:dyDescent="0.35">
      <c r="A40" s="27"/>
      <c r="B40" s="144" t="s">
        <v>47</v>
      </c>
      <c r="C40" s="143">
        <f>SUMPRODUCT(('2019b'!$B$2:$B$323='(2019b)'!$B40)*('2019b'!$C$2:$C$323='(2019b)'!C$2)*('2019b'!$D$2:$D$323))</f>
        <v>0</v>
      </c>
      <c r="D40" s="143">
        <f>SUMPRODUCT(('2019b'!$B$2:$B$323='(2019b)'!$B40)*('2019b'!$C$2:$C$323='(2019b)'!D$2)*('2019b'!$D$2:$D$323))</f>
        <v>0</v>
      </c>
      <c r="E40" s="143">
        <f>SUMPRODUCT(('2019b'!$B$2:$B$323='(2019b)'!$B40)*('2019b'!$C$2:$C$323='(2019b)'!E$2)*('2019b'!$D$2:$D$323))</f>
        <v>12</v>
      </c>
      <c r="F40" s="143">
        <f>SUMPRODUCT(('2019b'!$B$2:$B$323='(2019b)'!$B40)*('2019b'!$C$2:$C$323='(2019b)'!F$2)*('2019b'!$D$2:$D$323))</f>
        <v>17</v>
      </c>
      <c r="G40" s="143">
        <f>SUMPRODUCT(('2019b'!$B$2:$B$323='(2019b)'!$B40)*('2019b'!$C$2:$C$323='(2019b)'!G$2)*('2019b'!$D$2:$D$323))</f>
        <v>59</v>
      </c>
      <c r="H40" s="143">
        <f t="shared" si="1"/>
        <v>88</v>
      </c>
    </row>
    <row r="41" spans="1:8" x14ac:dyDescent="0.35">
      <c r="A41" s="27"/>
      <c r="B41" s="144" t="s">
        <v>49</v>
      </c>
      <c r="C41" s="143">
        <f>SUMPRODUCT(('2019b'!$B$2:$B$323='(2019b)'!$B41)*('2019b'!$C$2:$C$323='(2019b)'!C$2)*('2019b'!$D$2:$D$323))</f>
        <v>0</v>
      </c>
      <c r="D41" s="143">
        <f>SUMPRODUCT(('2019b'!$B$2:$B$323='(2019b)'!$B41)*('2019b'!$C$2:$C$323='(2019b)'!D$2)*('2019b'!$D$2:$D$323))</f>
        <v>0</v>
      </c>
      <c r="E41" s="143">
        <f>SUMPRODUCT(('2019b'!$B$2:$B$323='(2019b)'!$B41)*('2019b'!$C$2:$C$323='(2019b)'!E$2)*('2019b'!$D$2:$D$323))</f>
        <v>12</v>
      </c>
      <c r="F41" s="143">
        <f>SUMPRODUCT(('2019b'!$B$2:$B$323='(2019b)'!$B41)*('2019b'!$C$2:$C$323='(2019b)'!F$2)*('2019b'!$D$2:$D$323))</f>
        <v>18.000000000000004</v>
      </c>
      <c r="G41" s="143">
        <f>SUMPRODUCT(('2019b'!$B$2:$B$323='(2019b)'!$B41)*('2019b'!$C$2:$C$323='(2019b)'!G$2)*('2019b'!$D$2:$D$323))</f>
        <v>49.083333333333357</v>
      </c>
      <c r="H41" s="143">
        <f t="shared" si="1"/>
        <v>79.083333333333357</v>
      </c>
    </row>
    <row r="42" spans="1:8" x14ac:dyDescent="0.35">
      <c r="A42" s="25"/>
      <c r="B42" s="144" t="s">
        <v>51</v>
      </c>
      <c r="C42" s="143">
        <f>SUMPRODUCT(('2019b'!$B$2:$B$323='(2019b)'!$B42)*('2019b'!$C$2:$C$323='(2019b)'!C$2)*('2019b'!$D$2:$D$323))</f>
        <v>0</v>
      </c>
      <c r="D42" s="143">
        <f>SUMPRODUCT(('2019b'!$B$2:$B$323='(2019b)'!$B42)*('2019b'!$C$2:$C$323='(2019b)'!D$2)*('2019b'!$D$2:$D$323))</f>
        <v>0</v>
      </c>
      <c r="E42" s="143">
        <f>SUMPRODUCT(('2019b'!$B$2:$B$323='(2019b)'!$B42)*('2019b'!$C$2:$C$323='(2019b)'!E$2)*('2019b'!$D$2:$D$323))</f>
        <v>12.5</v>
      </c>
      <c r="F42" s="143">
        <f>SUMPRODUCT(('2019b'!$B$2:$B$323='(2019b)'!$B42)*('2019b'!$C$2:$C$323='(2019b)'!F$2)*('2019b'!$D$2:$D$323))</f>
        <v>31.7</v>
      </c>
      <c r="G42" s="143">
        <f>SUMPRODUCT(('2019b'!$B$2:$B$323='(2019b)'!$B42)*('2019b'!$C$2:$C$323='(2019b)'!G$2)*('2019b'!$D$2:$D$323))</f>
        <v>105.8</v>
      </c>
      <c r="H42" s="143">
        <f t="shared" si="1"/>
        <v>150</v>
      </c>
    </row>
    <row r="43" spans="1:8" x14ac:dyDescent="0.35">
      <c r="A43" s="27"/>
      <c r="B43" s="144" t="s">
        <v>30</v>
      </c>
      <c r="C43" s="143">
        <f>SUMPRODUCT(('2019b'!$B$2:$B$323='(2019b)'!$B43)*('2019b'!$C$2:$C$323='(2019b)'!C$2)*('2019b'!$D$2:$D$323))</f>
        <v>0</v>
      </c>
      <c r="D43" s="143">
        <f>SUMPRODUCT(('2019b'!$B$2:$B$323='(2019b)'!$B43)*('2019b'!$C$2:$C$323='(2019b)'!D$2)*('2019b'!$D$2:$D$323))</f>
        <v>1</v>
      </c>
      <c r="E43" s="143">
        <f>SUMPRODUCT(('2019b'!$B$2:$B$323='(2019b)'!$B43)*('2019b'!$C$2:$C$323='(2019b)'!E$2)*('2019b'!$D$2:$D$323))</f>
        <v>5</v>
      </c>
      <c r="F43" s="143">
        <f>SUMPRODUCT(('2019b'!$B$2:$B$323='(2019b)'!$B43)*('2019b'!$C$2:$C$323='(2019b)'!F$2)*('2019b'!$D$2:$D$323))</f>
        <v>6</v>
      </c>
      <c r="G43" s="143">
        <f>SUMPRODUCT(('2019b'!$B$2:$B$323='(2019b)'!$B43)*('2019b'!$C$2:$C$323='(2019b)'!G$2)*('2019b'!$D$2:$D$323))</f>
        <v>30</v>
      </c>
      <c r="H43" s="143">
        <f t="shared" si="1"/>
        <v>42</v>
      </c>
    </row>
    <row r="44" spans="1:8" x14ac:dyDescent="0.35">
      <c r="A44" s="27"/>
      <c r="B44" s="144" t="s">
        <v>59</v>
      </c>
      <c r="C44" s="143">
        <f t="shared" ref="C44:H44" si="2">SUM(C45:C51)</f>
        <v>0</v>
      </c>
      <c r="D44" s="143">
        <f t="shared" si="2"/>
        <v>1</v>
      </c>
      <c r="E44" s="143">
        <f t="shared" si="2"/>
        <v>36.32</v>
      </c>
      <c r="F44" s="143">
        <f t="shared" si="2"/>
        <v>32.6</v>
      </c>
      <c r="G44" s="143">
        <f t="shared" si="2"/>
        <v>174.82</v>
      </c>
      <c r="H44" s="143">
        <f t="shared" si="2"/>
        <v>244.74</v>
      </c>
    </row>
    <row r="45" spans="1:8" x14ac:dyDescent="0.35">
      <c r="A45" s="27"/>
      <c r="B45" s="144" t="s">
        <v>24</v>
      </c>
      <c r="C45" s="143">
        <f>SUMPRODUCT(('2019b'!$B$2:$B$323='(2019b)'!$B45)*('2019b'!$C$2:$C$323='(2019b)'!C$2)*('2019b'!$D$2:$D$323))</f>
        <v>0</v>
      </c>
      <c r="D45" s="143">
        <f>SUMPRODUCT(('2019b'!$B$2:$B$323='(2019b)'!$B45)*('2019b'!$C$2:$C$323='(2019b)'!D$2)*('2019b'!$D$2:$D$323))</f>
        <v>0</v>
      </c>
      <c r="E45" s="143">
        <f>SUMPRODUCT(('2019b'!$B$2:$B$323='(2019b)'!$B45)*('2019b'!$C$2:$C$323='(2019b)'!E$2)*('2019b'!$D$2:$D$323))</f>
        <v>0</v>
      </c>
      <c r="F45" s="143">
        <f>SUMPRODUCT(('2019b'!$B$2:$B$323='(2019b)'!$B45)*('2019b'!$C$2:$C$323='(2019b)'!F$2)*('2019b'!$D$2:$D$323))</f>
        <v>0</v>
      </c>
      <c r="G45" s="143">
        <f>SUMPRODUCT(('2019b'!$B$2:$B$323='(2019b)'!$B45)*('2019b'!$C$2:$C$323='(2019b)'!G$2)*('2019b'!$D$2:$D$323))</f>
        <v>3.86</v>
      </c>
      <c r="H45" s="143">
        <f t="shared" ref="H45:H51" si="3">SUM(C45:G45)</f>
        <v>3.86</v>
      </c>
    </row>
    <row r="46" spans="1:8" x14ac:dyDescent="0.35">
      <c r="A46" s="27"/>
      <c r="B46" s="144" t="s">
        <v>35</v>
      </c>
      <c r="C46" s="143">
        <f>SUMPRODUCT(('2019b'!$B$2:$B$323='(2019b)'!$B46)*('2019b'!$C$2:$C$323='(2019b)'!C$2)*('2019b'!$D$2:$D$323))</f>
        <v>0</v>
      </c>
      <c r="D46" s="143">
        <f>SUMPRODUCT(('2019b'!$B$2:$B$323='(2019b)'!$B46)*('2019b'!$C$2:$C$323='(2019b)'!D$2)*('2019b'!$D$2:$D$323))</f>
        <v>0</v>
      </c>
      <c r="E46" s="143">
        <f>SUMPRODUCT(('2019b'!$B$2:$B$323='(2019b)'!$B46)*('2019b'!$C$2:$C$323='(2019b)'!E$2)*('2019b'!$D$2:$D$323))</f>
        <v>15.4</v>
      </c>
      <c r="F46" s="143">
        <f>SUMPRODUCT(('2019b'!$B$2:$B$323='(2019b)'!$B46)*('2019b'!$C$2:$C$323='(2019b)'!F$2)*('2019b'!$D$2:$D$323))</f>
        <v>5.6</v>
      </c>
      <c r="G46" s="143">
        <f>SUMPRODUCT(('2019b'!$B$2:$B$323='(2019b)'!$B46)*('2019b'!$C$2:$C$323='(2019b)'!G$2)*('2019b'!$D$2:$D$323))</f>
        <v>46.2</v>
      </c>
      <c r="H46" s="143">
        <f t="shared" si="3"/>
        <v>67.2</v>
      </c>
    </row>
    <row r="47" spans="1:8" x14ac:dyDescent="0.35">
      <c r="A47" s="27"/>
      <c r="B47" s="144" t="s">
        <v>44</v>
      </c>
      <c r="C47" s="143">
        <f>SUMPRODUCT(('2019b'!$B$2:$B$323='(2019b)'!$B47)*('2019b'!$C$2:$C$323='(2019b)'!C$2)*('2019b'!$D$2:$D$323))</f>
        <v>0</v>
      </c>
      <c r="D47" s="143">
        <f>SUMPRODUCT(('2019b'!$B$2:$B$323='(2019b)'!$B47)*('2019b'!$C$2:$C$323='(2019b)'!D$2)*('2019b'!$D$2:$D$323))</f>
        <v>0</v>
      </c>
      <c r="E47" s="143">
        <f>SUMPRODUCT(('2019b'!$B$2:$B$323='(2019b)'!$B47)*('2019b'!$C$2:$C$323='(2019b)'!E$2)*('2019b'!$D$2:$D$323))</f>
        <v>7</v>
      </c>
      <c r="F47" s="143">
        <f>SUMPRODUCT(('2019b'!$B$2:$B$323='(2019b)'!$B47)*('2019b'!$C$2:$C$323='(2019b)'!F$2)*('2019b'!$D$2:$D$323))</f>
        <v>17</v>
      </c>
      <c r="G47" s="143">
        <f>SUMPRODUCT(('2019b'!$B$2:$B$323='(2019b)'!$B47)*('2019b'!$C$2:$C$323='(2019b)'!G$2)*('2019b'!$D$2:$D$323))</f>
        <v>56</v>
      </c>
      <c r="H47" s="143">
        <f t="shared" si="3"/>
        <v>80</v>
      </c>
    </row>
    <row r="48" spans="1:8" x14ac:dyDescent="0.35">
      <c r="A48" s="27"/>
      <c r="B48" s="144" t="s">
        <v>48</v>
      </c>
      <c r="C48" s="143">
        <f>SUMPRODUCT(('2019b'!$B$2:$B$323='(2019b)'!$B48)*('2019b'!$C$2:$C$323='(2019b)'!C$2)*('2019b'!$D$2:$D$323))</f>
        <v>0</v>
      </c>
      <c r="D48" s="143">
        <f>SUMPRODUCT(('2019b'!$B$2:$B$323='(2019b)'!$B48)*('2019b'!$C$2:$C$323='(2019b)'!D$2)*('2019b'!$D$2:$D$323))</f>
        <v>0</v>
      </c>
      <c r="E48" s="143">
        <f>SUMPRODUCT(('2019b'!$B$2:$B$323='(2019b)'!$B48)*('2019b'!$C$2:$C$323='(2019b)'!E$2)*('2019b'!$D$2:$D$323))</f>
        <v>1</v>
      </c>
      <c r="F48" s="143">
        <f>SUMPRODUCT(('2019b'!$B$2:$B$323='(2019b)'!$B48)*('2019b'!$C$2:$C$323='(2019b)'!F$2)*('2019b'!$D$2:$D$323))</f>
        <v>1</v>
      </c>
      <c r="G48" s="143">
        <f>SUMPRODUCT(('2019b'!$B$2:$B$323='(2019b)'!$B48)*('2019b'!$C$2:$C$323='(2019b)'!G$2)*('2019b'!$D$2:$D$323))</f>
        <v>7.5</v>
      </c>
      <c r="H48" s="143">
        <f t="shared" si="3"/>
        <v>9.5</v>
      </c>
    </row>
    <row r="49" spans="1:8" x14ac:dyDescent="0.35">
      <c r="A49" s="28"/>
      <c r="B49" s="144" t="s">
        <v>50</v>
      </c>
      <c r="C49" s="143">
        <f>SUMPRODUCT(('2019b'!$B$2:$B$323='(2019b)'!$B49)*('2019b'!$C$2:$C$323='(2019b)'!C$2)*('2019b'!$D$2:$D$323))</f>
        <v>0</v>
      </c>
      <c r="D49" s="143">
        <f>SUMPRODUCT(('2019b'!$B$2:$B$323='(2019b)'!$B49)*('2019b'!$C$2:$C$323='(2019b)'!D$2)*('2019b'!$D$2:$D$323))</f>
        <v>1</v>
      </c>
      <c r="E49" s="143">
        <f>SUMPRODUCT(('2019b'!$B$2:$B$323='(2019b)'!$B49)*('2019b'!$C$2:$C$323='(2019b)'!E$2)*('2019b'!$D$2:$D$323))</f>
        <v>6</v>
      </c>
      <c r="F49" s="143">
        <f>SUMPRODUCT(('2019b'!$B$2:$B$323='(2019b)'!$B49)*('2019b'!$C$2:$C$323='(2019b)'!F$2)*('2019b'!$D$2:$D$323))</f>
        <v>0</v>
      </c>
      <c r="G49" s="143">
        <f>SUMPRODUCT(('2019b'!$B$2:$B$323='(2019b)'!$B49)*('2019b'!$C$2:$C$323='(2019b)'!G$2)*('2019b'!$D$2:$D$323))</f>
        <v>0</v>
      </c>
      <c r="H49" s="143">
        <f t="shared" si="3"/>
        <v>7</v>
      </c>
    </row>
    <row r="50" spans="1:8" x14ac:dyDescent="0.35">
      <c r="B50" s="144" t="s">
        <v>52</v>
      </c>
      <c r="C50" s="143">
        <f>SUMPRODUCT(('2019b'!$B$2:$B$323='(2019b)'!$B50)*('2019b'!$C$2:$C$323='(2019b)'!C$2)*('2019b'!$D$2:$D$323))</f>
        <v>0</v>
      </c>
      <c r="D50" s="143">
        <f>SUMPRODUCT(('2019b'!$B$2:$B$323='(2019b)'!$B50)*('2019b'!$C$2:$C$323='(2019b)'!D$2)*('2019b'!$D$2:$D$323))</f>
        <v>0</v>
      </c>
      <c r="E50" s="143">
        <f>SUMPRODUCT(('2019b'!$B$2:$B$323='(2019b)'!$B50)*('2019b'!$C$2:$C$323='(2019b)'!E$2)*('2019b'!$D$2:$D$323))</f>
        <v>6.92</v>
      </c>
      <c r="F50" s="143">
        <f>SUMPRODUCT(('2019b'!$B$2:$B$323='(2019b)'!$B50)*('2019b'!$C$2:$C$323='(2019b)'!F$2)*('2019b'!$D$2:$D$323))</f>
        <v>9</v>
      </c>
      <c r="G50" s="143">
        <f>SUMPRODUCT(('2019b'!$B$2:$B$323='(2019b)'!$B50)*('2019b'!$C$2:$C$323='(2019b)'!G$2)*('2019b'!$D$2:$D$323))</f>
        <v>61.26</v>
      </c>
      <c r="H50" s="143">
        <f t="shared" si="3"/>
        <v>77.179999999999993</v>
      </c>
    </row>
    <row r="51" spans="1:8" x14ac:dyDescent="0.35">
      <c r="B51" s="144" t="s">
        <v>23</v>
      </c>
      <c r="C51" s="143">
        <f>SUMPRODUCT(('2019b'!$B$2:$B$323='(2019b)'!$B51)*('2019b'!$C$2:$C$323='(2019b)'!C$2)*('2019b'!$D$2:$D$323))</f>
        <v>0</v>
      </c>
      <c r="D51" s="143">
        <f>SUMPRODUCT(('2019b'!$B$2:$B$323='(2019b)'!$B51)*('2019b'!$C$2:$C$323='(2019b)'!D$2)*('2019b'!$D$2:$D$323))</f>
        <v>0</v>
      </c>
      <c r="E51" s="143">
        <f>SUMPRODUCT(('2019b'!$B$2:$B$323='(2019b)'!$B51)*('2019b'!$C$2:$C$323='(2019b)'!E$2)*('2019b'!$D$2:$D$323))</f>
        <v>0</v>
      </c>
      <c r="F51" s="143">
        <f>SUMPRODUCT(('2019b'!$B$2:$B$323='(2019b)'!$B51)*('2019b'!$C$2:$C$323='(2019b)'!F$2)*('2019b'!$D$2:$D$323))</f>
        <v>0</v>
      </c>
      <c r="G51" s="143">
        <f>SUMPRODUCT(('2019b'!$B$2:$B$323='(2019b)'!$B51)*('2019b'!$C$2:$C$323='(2019b)'!G$2)*('2019b'!$D$2:$D$323))</f>
        <v>0</v>
      </c>
      <c r="H51" s="143">
        <f t="shared" si="3"/>
        <v>0</v>
      </c>
    </row>
  </sheetData>
  <mergeCells count="1">
    <mergeCell ref="B1:H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90210-55C1-4F52-94AC-2971149CEA69}">
  <dimension ref="B1:H51"/>
  <sheetViews>
    <sheetView workbookViewId="0">
      <selection activeCell="A4" sqref="A4:H4"/>
    </sheetView>
  </sheetViews>
  <sheetFormatPr defaultRowHeight="14.5" x14ac:dyDescent="0.35"/>
  <cols>
    <col min="1" max="1" width="3.26953125" customWidth="1"/>
  </cols>
  <sheetData>
    <row r="1" spans="2:8" ht="18" x14ac:dyDescent="0.35">
      <c r="B1" s="155"/>
      <c r="C1" s="155"/>
      <c r="D1" s="155"/>
      <c r="E1" s="155"/>
      <c r="F1" s="155"/>
      <c r="G1" s="155"/>
      <c r="H1" s="155"/>
    </row>
    <row r="2" spans="2:8" x14ac:dyDescent="0.35">
      <c r="B2" s="144"/>
      <c r="C2" s="144" t="s">
        <v>74</v>
      </c>
      <c r="D2" s="144" t="s">
        <v>75</v>
      </c>
      <c r="E2" s="144" t="s">
        <v>76</v>
      </c>
      <c r="F2" s="144" t="s">
        <v>77</v>
      </c>
      <c r="G2" s="144" t="s">
        <v>78</v>
      </c>
      <c r="H2" s="144" t="s">
        <v>1</v>
      </c>
    </row>
    <row r="3" spans="2:8" x14ac:dyDescent="0.35">
      <c r="B3" s="144" t="s">
        <v>80</v>
      </c>
      <c r="C3" s="143">
        <f>SUMPRODUCT(('2019c'!$C$2:$C$323='(2019c)'!C$2)*('2019c'!$D$2:$D$323))</f>
        <v>12</v>
      </c>
      <c r="D3" s="143">
        <f>SUMPRODUCT(('2019c'!$C$2:$C$323='(2019c)'!D$2)*('2019c'!$D$2:$D$323))</f>
        <v>47.64</v>
      </c>
      <c r="E3" s="143">
        <f>SUMPRODUCT(('2019c'!$C$2:$C$323='(2019c)'!E$2)*('2019c'!$D$2:$D$323))</f>
        <v>215.41</v>
      </c>
      <c r="F3" s="143">
        <f>SUMPRODUCT(('2019c'!$C$2:$C$323='(2019c)'!F$2)*('2019c'!$D$2:$D$323))</f>
        <v>244.126</v>
      </c>
      <c r="G3" s="143">
        <f>SUMPRODUCT(('2019c'!$C$2:$C$323='(2019c)'!G$2)*('2019c'!$D$2:$D$323))</f>
        <v>544.77300000000002</v>
      </c>
      <c r="H3" s="143">
        <f>SUM(C3:G3)</f>
        <v>1063.9490000000001</v>
      </c>
    </row>
    <row r="4" spans="2:8" x14ac:dyDescent="0.35">
      <c r="B4" s="144" t="s">
        <v>55</v>
      </c>
      <c r="C4" s="143">
        <f t="shared" ref="C4:H4" si="0">SUM(C5:C43)</f>
        <v>9</v>
      </c>
      <c r="D4" s="143">
        <f t="shared" si="0"/>
        <v>38.64</v>
      </c>
      <c r="E4" s="143">
        <f t="shared" si="0"/>
        <v>163.43</v>
      </c>
      <c r="F4" s="143">
        <f t="shared" si="0"/>
        <v>179.416</v>
      </c>
      <c r="G4" s="143">
        <f t="shared" si="0"/>
        <v>383.14300000000003</v>
      </c>
      <c r="H4" s="143">
        <f t="shared" si="0"/>
        <v>773.62900000000002</v>
      </c>
    </row>
    <row r="5" spans="2:8" x14ac:dyDescent="0.35">
      <c r="B5" s="144" t="s">
        <v>7</v>
      </c>
      <c r="C5" s="143">
        <f>SUMPRODUCT(('2019c'!$B$2:$B$323='(2019c)'!$B5)*('2019c'!$C$2:$C$323='(2019c)'!C$2)*('2019c'!$D$2:$D$323))</f>
        <v>1</v>
      </c>
      <c r="D5" s="143">
        <f>SUMPRODUCT(('2019c'!$B$2:$B$323='(2019c)'!$B5)*('2019c'!$C$2:$C$323='(2019c)'!D$2)*('2019c'!$D$2:$D$323))</f>
        <v>2</v>
      </c>
      <c r="E5" s="143">
        <f>SUMPRODUCT(('2019c'!$B$2:$B$323='(2019c)'!$B5)*('2019c'!$C$2:$C$323='(2019c)'!E$2)*('2019c'!$D$2:$D$323))</f>
        <v>10</v>
      </c>
      <c r="F5" s="143">
        <f>SUMPRODUCT(('2019c'!$B$2:$B$323='(2019c)'!$B5)*('2019c'!$C$2:$C$323='(2019c)'!F$2)*('2019c'!$D$2:$D$323))</f>
        <v>8.5</v>
      </c>
      <c r="G5" s="143">
        <f>SUMPRODUCT(('2019c'!$B$2:$B$323='(2019c)'!$B5)*('2019c'!$C$2:$C$323='(2019c)'!G$2)*('2019c'!$D$2:$D$323))</f>
        <v>15.31</v>
      </c>
      <c r="H5" s="143">
        <f t="shared" ref="H5:H43" si="1">SUM(C5:G5)</f>
        <v>36.81</v>
      </c>
    </row>
    <row r="6" spans="2:8" x14ac:dyDescent="0.35">
      <c r="B6" s="144" t="s">
        <v>8</v>
      </c>
      <c r="C6" s="143">
        <f>SUMPRODUCT(('2019c'!$B$2:$B$323='(2019c)'!$B6)*('2019c'!$C$2:$C$323='(2019c)'!C$2)*('2019c'!$D$2:$D$323))</f>
        <v>0</v>
      </c>
      <c r="D6" s="143">
        <f>SUMPRODUCT(('2019c'!$B$2:$B$323='(2019c)'!$B6)*('2019c'!$C$2:$C$323='(2019c)'!D$2)*('2019c'!$D$2:$D$323))</f>
        <v>1</v>
      </c>
      <c r="E6" s="143">
        <f>SUMPRODUCT(('2019c'!$B$2:$B$323='(2019c)'!$B6)*('2019c'!$C$2:$C$323='(2019c)'!E$2)*('2019c'!$D$2:$D$323))</f>
        <v>7</v>
      </c>
      <c r="F6" s="143">
        <f>SUMPRODUCT(('2019c'!$B$2:$B$323='(2019c)'!$B6)*('2019c'!$C$2:$C$323='(2019c)'!F$2)*('2019c'!$D$2:$D$323))</f>
        <v>4</v>
      </c>
      <c r="G6" s="143">
        <f>SUMPRODUCT(('2019c'!$B$2:$B$323='(2019c)'!$B6)*('2019c'!$C$2:$C$323='(2019c)'!G$2)*('2019c'!$D$2:$D$323))</f>
        <v>12</v>
      </c>
      <c r="H6" s="143">
        <f t="shared" si="1"/>
        <v>24</v>
      </c>
    </row>
    <row r="7" spans="2:8" x14ac:dyDescent="0.35">
      <c r="B7" s="144" t="s">
        <v>9</v>
      </c>
      <c r="C7" s="143">
        <f>SUMPRODUCT(('2019c'!$B$2:$B$323='(2019c)'!$B7)*('2019c'!$C$2:$C$323='(2019c)'!C$2)*('2019c'!$D$2:$D$323))</f>
        <v>1</v>
      </c>
      <c r="D7" s="143">
        <f>SUMPRODUCT(('2019c'!$B$2:$B$323='(2019c)'!$B7)*('2019c'!$C$2:$C$323='(2019c)'!D$2)*('2019c'!$D$2:$D$323))</f>
        <v>2</v>
      </c>
      <c r="E7" s="143">
        <f>SUMPRODUCT(('2019c'!$B$2:$B$323='(2019c)'!$B7)*('2019c'!$C$2:$C$323='(2019c)'!E$2)*('2019c'!$D$2:$D$323))</f>
        <v>5</v>
      </c>
      <c r="F7" s="143">
        <f>SUMPRODUCT(('2019c'!$B$2:$B$323='(2019c)'!$B7)*('2019c'!$C$2:$C$323='(2019c)'!F$2)*('2019c'!$D$2:$D$323))</f>
        <v>11.875999999999999</v>
      </c>
      <c r="G7" s="143">
        <f>SUMPRODUCT(('2019c'!$B$2:$B$323='(2019c)'!$B7)*('2019c'!$C$2:$C$323='(2019c)'!G$2)*('2019c'!$D$2:$D$323))</f>
        <v>18.812999999999999</v>
      </c>
      <c r="H7" s="143">
        <f t="shared" si="1"/>
        <v>38.688999999999993</v>
      </c>
    </row>
    <row r="8" spans="2:8" x14ac:dyDescent="0.35">
      <c r="B8" s="144" t="s">
        <v>10</v>
      </c>
      <c r="C8" s="143">
        <f>SUMPRODUCT(('2019c'!$B$2:$B$323='(2019c)'!$B8)*('2019c'!$C$2:$C$323='(2019c)'!C$2)*('2019c'!$D$2:$D$323))</f>
        <v>0</v>
      </c>
      <c r="D8" s="143">
        <f>SUMPRODUCT(('2019c'!$B$2:$B$323='(2019c)'!$B8)*('2019c'!$C$2:$C$323='(2019c)'!D$2)*('2019c'!$D$2:$D$323))</f>
        <v>0</v>
      </c>
      <c r="E8" s="143">
        <f>SUMPRODUCT(('2019c'!$B$2:$B$323='(2019c)'!$B8)*('2019c'!$C$2:$C$323='(2019c)'!E$2)*('2019c'!$D$2:$D$323))</f>
        <v>0</v>
      </c>
      <c r="F8" s="143">
        <f>SUMPRODUCT(('2019c'!$B$2:$B$323='(2019c)'!$B8)*('2019c'!$C$2:$C$323='(2019c)'!F$2)*('2019c'!$D$2:$D$323))</f>
        <v>0</v>
      </c>
      <c r="G8" s="143">
        <f>SUMPRODUCT(('2019c'!$B$2:$B$323='(2019c)'!$B8)*('2019c'!$C$2:$C$323='(2019c)'!G$2)*('2019c'!$D$2:$D$323))</f>
        <v>0</v>
      </c>
      <c r="H8" s="143">
        <f t="shared" si="1"/>
        <v>0</v>
      </c>
    </row>
    <row r="9" spans="2:8" x14ac:dyDescent="0.35">
      <c r="B9" s="144" t="s">
        <v>11</v>
      </c>
      <c r="C9" s="143">
        <f>SUMPRODUCT(('2019c'!$B$2:$B$323='(2019c)'!$B9)*('2019c'!$C$2:$C$323='(2019c)'!C$2)*('2019c'!$D$2:$D$323))</f>
        <v>0</v>
      </c>
      <c r="D9" s="143">
        <f>SUMPRODUCT(('2019c'!$B$2:$B$323='(2019c)'!$B9)*('2019c'!$C$2:$C$323='(2019c)'!D$2)*('2019c'!$D$2:$D$323))</f>
        <v>2</v>
      </c>
      <c r="E9" s="143">
        <f>SUMPRODUCT(('2019c'!$B$2:$B$323='(2019c)'!$B9)*('2019c'!$C$2:$C$323='(2019c)'!E$2)*('2019c'!$D$2:$D$323))</f>
        <v>6.18</v>
      </c>
      <c r="F9" s="143">
        <f>SUMPRODUCT(('2019c'!$B$2:$B$323='(2019c)'!$B9)*('2019c'!$C$2:$C$323='(2019c)'!F$2)*('2019c'!$D$2:$D$323))</f>
        <v>9.5</v>
      </c>
      <c r="G9" s="143">
        <f>SUMPRODUCT(('2019c'!$B$2:$B$323='(2019c)'!$B9)*('2019c'!$C$2:$C$323='(2019c)'!G$2)*('2019c'!$D$2:$D$323))</f>
        <v>23</v>
      </c>
      <c r="H9" s="143">
        <f t="shared" si="1"/>
        <v>40.68</v>
      </c>
    </row>
    <row r="10" spans="2:8" x14ac:dyDescent="0.35">
      <c r="B10" s="144" t="s">
        <v>12</v>
      </c>
      <c r="C10" s="143">
        <f>SUMPRODUCT(('2019c'!$B$2:$B$323='(2019c)'!$B10)*('2019c'!$C$2:$C$323='(2019c)'!C$2)*('2019c'!$D$2:$D$323))</f>
        <v>0</v>
      </c>
      <c r="D10" s="143">
        <f>SUMPRODUCT(('2019c'!$B$2:$B$323='(2019c)'!$B10)*('2019c'!$C$2:$C$323='(2019c)'!D$2)*('2019c'!$D$2:$D$323))</f>
        <v>0</v>
      </c>
      <c r="E10" s="143">
        <f>SUMPRODUCT(('2019c'!$B$2:$B$323='(2019c)'!$B10)*('2019c'!$C$2:$C$323='(2019c)'!E$2)*('2019c'!$D$2:$D$323))</f>
        <v>0</v>
      </c>
      <c r="F10" s="143">
        <f>SUMPRODUCT(('2019c'!$B$2:$B$323='(2019c)'!$B10)*('2019c'!$C$2:$C$323='(2019c)'!F$2)*('2019c'!$D$2:$D$323))</f>
        <v>0</v>
      </c>
      <c r="G10" s="143">
        <f>SUMPRODUCT(('2019c'!$B$2:$B$323='(2019c)'!$B10)*('2019c'!$C$2:$C$323='(2019c)'!G$2)*('2019c'!$D$2:$D$323))</f>
        <v>0</v>
      </c>
      <c r="H10" s="143">
        <f t="shared" si="1"/>
        <v>0</v>
      </c>
    </row>
    <row r="11" spans="2:8" x14ac:dyDescent="0.35">
      <c r="B11" s="144" t="s">
        <v>13</v>
      </c>
      <c r="C11" s="143">
        <f>SUMPRODUCT(('2019c'!$B$2:$B$323='(2019c)'!$B11)*('2019c'!$C$2:$C$323='(2019c)'!C$2)*('2019c'!$D$2:$D$323))</f>
        <v>0</v>
      </c>
      <c r="D11" s="143">
        <f>SUMPRODUCT(('2019c'!$B$2:$B$323='(2019c)'!$B11)*('2019c'!$C$2:$C$323='(2019c)'!D$2)*('2019c'!$D$2:$D$323))</f>
        <v>0</v>
      </c>
      <c r="E11" s="143">
        <f>SUMPRODUCT(('2019c'!$B$2:$B$323='(2019c)'!$B11)*('2019c'!$C$2:$C$323='(2019c)'!E$2)*('2019c'!$D$2:$D$323))</f>
        <v>4.5</v>
      </c>
      <c r="F11" s="143">
        <f>SUMPRODUCT(('2019c'!$B$2:$B$323='(2019c)'!$B11)*('2019c'!$C$2:$C$323='(2019c)'!F$2)*('2019c'!$D$2:$D$323))</f>
        <v>7</v>
      </c>
      <c r="G11" s="143">
        <f>SUMPRODUCT(('2019c'!$B$2:$B$323='(2019c)'!$B11)*('2019c'!$C$2:$C$323='(2019c)'!G$2)*('2019c'!$D$2:$D$323))</f>
        <v>8</v>
      </c>
      <c r="H11" s="143">
        <f t="shared" si="1"/>
        <v>19.5</v>
      </c>
    </row>
    <row r="12" spans="2:8" x14ac:dyDescent="0.35">
      <c r="B12" s="144" t="s">
        <v>14</v>
      </c>
      <c r="C12" s="143">
        <f>SUMPRODUCT(('2019c'!$B$2:$B$323='(2019c)'!$B12)*('2019c'!$C$2:$C$323='(2019c)'!C$2)*('2019c'!$D$2:$D$323))</f>
        <v>0</v>
      </c>
      <c r="D12" s="143">
        <f>SUMPRODUCT(('2019c'!$B$2:$B$323='(2019c)'!$B12)*('2019c'!$C$2:$C$323='(2019c)'!D$2)*('2019c'!$D$2:$D$323))</f>
        <v>0</v>
      </c>
      <c r="E12" s="143">
        <f>SUMPRODUCT(('2019c'!$B$2:$B$323='(2019c)'!$B12)*('2019c'!$C$2:$C$323='(2019c)'!E$2)*('2019c'!$D$2:$D$323))</f>
        <v>2</v>
      </c>
      <c r="F12" s="143">
        <f>SUMPRODUCT(('2019c'!$B$2:$B$323='(2019c)'!$B12)*('2019c'!$C$2:$C$323='(2019c)'!F$2)*('2019c'!$D$2:$D$323))</f>
        <v>6</v>
      </c>
      <c r="G12" s="143">
        <f>SUMPRODUCT(('2019c'!$B$2:$B$323='(2019c)'!$B12)*('2019c'!$C$2:$C$323='(2019c)'!G$2)*('2019c'!$D$2:$D$323))</f>
        <v>7.88</v>
      </c>
      <c r="H12" s="143">
        <f t="shared" si="1"/>
        <v>15.879999999999999</v>
      </c>
    </row>
    <row r="13" spans="2:8" x14ac:dyDescent="0.35">
      <c r="B13" s="144" t="s">
        <v>15</v>
      </c>
      <c r="C13" s="143">
        <f>SUMPRODUCT(('2019c'!$B$2:$B$323='(2019c)'!$B13)*('2019c'!$C$2:$C$323='(2019c)'!C$2)*('2019c'!$D$2:$D$323))</f>
        <v>0</v>
      </c>
      <c r="D13" s="143">
        <f>SUMPRODUCT(('2019c'!$B$2:$B$323='(2019c)'!$B13)*('2019c'!$C$2:$C$323='(2019c)'!D$2)*('2019c'!$D$2:$D$323))</f>
        <v>0</v>
      </c>
      <c r="E13" s="143">
        <f>SUMPRODUCT(('2019c'!$B$2:$B$323='(2019c)'!$B13)*('2019c'!$C$2:$C$323='(2019c)'!E$2)*('2019c'!$D$2:$D$323))</f>
        <v>0</v>
      </c>
      <c r="F13" s="143">
        <f>SUMPRODUCT(('2019c'!$B$2:$B$323='(2019c)'!$B13)*('2019c'!$C$2:$C$323='(2019c)'!F$2)*('2019c'!$D$2:$D$323))</f>
        <v>0</v>
      </c>
      <c r="G13" s="143">
        <f>SUMPRODUCT(('2019c'!$B$2:$B$323='(2019c)'!$B13)*('2019c'!$C$2:$C$323='(2019c)'!G$2)*('2019c'!$D$2:$D$323))</f>
        <v>0</v>
      </c>
      <c r="H13" s="143">
        <f t="shared" si="1"/>
        <v>0</v>
      </c>
    </row>
    <row r="14" spans="2:8" x14ac:dyDescent="0.35">
      <c r="B14" s="144" t="s">
        <v>16</v>
      </c>
      <c r="C14" s="143">
        <f>SUMPRODUCT(('2019c'!$B$2:$B$323='(2019c)'!$B14)*('2019c'!$C$2:$C$323='(2019c)'!C$2)*('2019c'!$D$2:$D$323))</f>
        <v>0</v>
      </c>
      <c r="D14" s="143">
        <f>SUMPRODUCT(('2019c'!$B$2:$B$323='(2019c)'!$B14)*('2019c'!$C$2:$C$323='(2019c)'!D$2)*('2019c'!$D$2:$D$323))</f>
        <v>1</v>
      </c>
      <c r="E14" s="143">
        <f>SUMPRODUCT(('2019c'!$B$2:$B$323='(2019c)'!$B14)*('2019c'!$C$2:$C$323='(2019c)'!E$2)*('2019c'!$D$2:$D$323))</f>
        <v>6</v>
      </c>
      <c r="F14" s="143">
        <f>SUMPRODUCT(('2019c'!$B$2:$B$323='(2019c)'!$B14)*('2019c'!$C$2:$C$323='(2019c)'!F$2)*('2019c'!$D$2:$D$323))</f>
        <v>4</v>
      </c>
      <c r="G14" s="143">
        <f>SUMPRODUCT(('2019c'!$B$2:$B$323='(2019c)'!$B14)*('2019c'!$C$2:$C$323='(2019c)'!G$2)*('2019c'!$D$2:$D$323))</f>
        <v>17</v>
      </c>
      <c r="H14" s="143">
        <f t="shared" si="1"/>
        <v>28</v>
      </c>
    </row>
    <row r="15" spans="2:8" x14ac:dyDescent="0.35">
      <c r="B15" s="144" t="s">
        <v>17</v>
      </c>
      <c r="C15" s="143">
        <f>SUMPRODUCT(('2019c'!$B$2:$B$323='(2019c)'!$B15)*('2019c'!$C$2:$C$323='(2019c)'!C$2)*('2019c'!$D$2:$D$323))</f>
        <v>0</v>
      </c>
      <c r="D15" s="143">
        <f>SUMPRODUCT(('2019c'!$B$2:$B$323='(2019c)'!$B15)*('2019c'!$C$2:$C$323='(2019c)'!D$2)*('2019c'!$D$2:$D$323))</f>
        <v>1.6400000000000001</v>
      </c>
      <c r="E15" s="143">
        <f>SUMPRODUCT(('2019c'!$B$2:$B$323='(2019c)'!$B15)*('2019c'!$C$2:$C$323='(2019c)'!E$2)*('2019c'!$D$2:$D$323))</f>
        <v>7</v>
      </c>
      <c r="F15" s="143">
        <f>SUMPRODUCT(('2019c'!$B$2:$B$323='(2019c)'!$B15)*('2019c'!$C$2:$C$323='(2019c)'!F$2)*('2019c'!$D$2:$D$323))</f>
        <v>11</v>
      </c>
      <c r="G15" s="143">
        <f>SUMPRODUCT(('2019c'!$B$2:$B$323='(2019c)'!$B15)*('2019c'!$C$2:$C$323='(2019c)'!G$2)*('2019c'!$D$2:$D$323))</f>
        <v>13</v>
      </c>
      <c r="H15" s="143">
        <f t="shared" si="1"/>
        <v>32.64</v>
      </c>
    </row>
    <row r="16" spans="2:8" x14ac:dyDescent="0.35">
      <c r="B16" s="144" t="s">
        <v>115</v>
      </c>
      <c r="C16" s="143">
        <f>SUMPRODUCT(('2019c'!$B$2:$B$323='(2019c)'!$B16)*('2019c'!$C$2:$C$323='(2019c)'!C$2)*('2019c'!$D$2:$D$323))</f>
        <v>1</v>
      </c>
      <c r="D16" s="143">
        <f>SUMPRODUCT(('2019c'!$B$2:$B$323='(2019c)'!$B16)*('2019c'!$C$2:$C$323='(2019c)'!D$2)*('2019c'!$D$2:$D$323))</f>
        <v>3</v>
      </c>
      <c r="E16" s="143">
        <f>SUMPRODUCT(('2019c'!$B$2:$B$323='(2019c)'!$B16)*('2019c'!$C$2:$C$323='(2019c)'!E$2)*('2019c'!$D$2:$D$323))</f>
        <v>7</v>
      </c>
      <c r="F16" s="143">
        <f>SUMPRODUCT(('2019c'!$B$2:$B$323='(2019c)'!$B16)*('2019c'!$C$2:$C$323='(2019c)'!F$2)*('2019c'!$D$2:$D$323))</f>
        <v>7</v>
      </c>
      <c r="G16" s="143">
        <f>SUMPRODUCT(('2019c'!$B$2:$B$323='(2019c)'!$B16)*('2019c'!$C$2:$C$323='(2019c)'!G$2)*('2019c'!$D$2:$D$323))</f>
        <v>15.5</v>
      </c>
      <c r="H16" s="143">
        <f t="shared" si="1"/>
        <v>33.5</v>
      </c>
    </row>
    <row r="17" spans="2:8" x14ac:dyDescent="0.35">
      <c r="B17" s="144" t="s">
        <v>19</v>
      </c>
      <c r="C17" s="143">
        <f>SUMPRODUCT(('2019c'!$B$2:$B$323='(2019c)'!$B17)*('2019c'!$C$2:$C$323='(2019c)'!C$2)*('2019c'!$D$2:$D$323))</f>
        <v>0</v>
      </c>
      <c r="D17" s="143">
        <f>SUMPRODUCT(('2019c'!$B$2:$B$323='(2019c)'!$B17)*('2019c'!$C$2:$C$323='(2019c)'!D$2)*('2019c'!$D$2:$D$323))</f>
        <v>1</v>
      </c>
      <c r="E17" s="143">
        <f>SUMPRODUCT(('2019c'!$B$2:$B$323='(2019c)'!$B17)*('2019c'!$C$2:$C$323='(2019c)'!E$2)*('2019c'!$D$2:$D$323))</f>
        <v>8</v>
      </c>
      <c r="F17" s="143">
        <f>SUMPRODUCT(('2019c'!$B$2:$B$323='(2019c)'!$B17)*('2019c'!$C$2:$C$323='(2019c)'!F$2)*('2019c'!$D$2:$D$323))</f>
        <v>4</v>
      </c>
      <c r="G17" s="143">
        <f>SUMPRODUCT(('2019c'!$B$2:$B$323='(2019c)'!$B17)*('2019c'!$C$2:$C$323='(2019c)'!G$2)*('2019c'!$D$2:$D$323))</f>
        <v>8</v>
      </c>
      <c r="H17" s="143">
        <f t="shared" si="1"/>
        <v>21</v>
      </c>
    </row>
    <row r="18" spans="2:8" x14ac:dyDescent="0.35">
      <c r="B18" s="144" t="s">
        <v>20</v>
      </c>
      <c r="C18" s="143">
        <f>SUMPRODUCT(('2019c'!$B$2:$B$323='(2019c)'!$B18)*('2019c'!$C$2:$C$323='(2019c)'!C$2)*('2019c'!$D$2:$D$323))</f>
        <v>1</v>
      </c>
      <c r="D18" s="143">
        <f>SUMPRODUCT(('2019c'!$B$2:$B$323='(2019c)'!$B18)*('2019c'!$C$2:$C$323='(2019c)'!D$2)*('2019c'!$D$2:$D$323))</f>
        <v>1</v>
      </c>
      <c r="E18" s="143">
        <f>SUMPRODUCT(('2019c'!$B$2:$B$323='(2019c)'!$B18)*('2019c'!$C$2:$C$323='(2019c)'!E$2)*('2019c'!$D$2:$D$323))</f>
        <v>6.75</v>
      </c>
      <c r="F18" s="143">
        <f>SUMPRODUCT(('2019c'!$B$2:$B$323='(2019c)'!$B18)*('2019c'!$C$2:$C$323='(2019c)'!F$2)*('2019c'!$D$2:$D$323))</f>
        <v>14</v>
      </c>
      <c r="G18" s="143">
        <f>SUMPRODUCT(('2019c'!$B$2:$B$323='(2019c)'!$B18)*('2019c'!$C$2:$C$323='(2019c)'!G$2)*('2019c'!$D$2:$D$323))</f>
        <v>22.21</v>
      </c>
      <c r="H18" s="143">
        <f t="shared" si="1"/>
        <v>44.96</v>
      </c>
    </row>
    <row r="19" spans="2:8" x14ac:dyDescent="0.35">
      <c r="B19" s="144" t="s">
        <v>21</v>
      </c>
      <c r="C19" s="143">
        <f>SUMPRODUCT(('2019c'!$B$2:$B$323='(2019c)'!$B19)*('2019c'!$C$2:$C$323='(2019c)'!C$2)*('2019c'!$D$2:$D$323))</f>
        <v>1</v>
      </c>
      <c r="D19" s="143">
        <f>SUMPRODUCT(('2019c'!$B$2:$B$323='(2019c)'!$B19)*('2019c'!$C$2:$C$323='(2019c)'!D$2)*('2019c'!$D$2:$D$323))</f>
        <v>0</v>
      </c>
      <c r="E19" s="143">
        <f>SUMPRODUCT(('2019c'!$B$2:$B$323='(2019c)'!$B19)*('2019c'!$C$2:$C$323='(2019c)'!E$2)*('2019c'!$D$2:$D$323))</f>
        <v>10</v>
      </c>
      <c r="F19" s="143">
        <f>SUMPRODUCT(('2019c'!$B$2:$B$323='(2019c)'!$B19)*('2019c'!$C$2:$C$323='(2019c)'!F$2)*('2019c'!$D$2:$D$323))</f>
        <v>3</v>
      </c>
      <c r="G19" s="143">
        <f>SUMPRODUCT(('2019c'!$B$2:$B$323='(2019c)'!$B19)*('2019c'!$C$2:$C$323='(2019c)'!G$2)*('2019c'!$D$2:$D$323))</f>
        <v>16.8</v>
      </c>
      <c r="H19" s="143">
        <f t="shared" si="1"/>
        <v>30.8</v>
      </c>
    </row>
    <row r="20" spans="2:8" x14ac:dyDescent="0.35">
      <c r="B20" s="144" t="s">
        <v>22</v>
      </c>
      <c r="C20" s="143">
        <f>SUMPRODUCT(('2019c'!$B$2:$B$323='(2019c)'!$B20)*('2019c'!$C$2:$C$323='(2019c)'!C$2)*('2019c'!$D$2:$D$323))</f>
        <v>0</v>
      </c>
      <c r="D20" s="143">
        <f>SUMPRODUCT(('2019c'!$B$2:$B$323='(2019c)'!$B20)*('2019c'!$C$2:$C$323='(2019c)'!D$2)*('2019c'!$D$2:$D$323))</f>
        <v>2</v>
      </c>
      <c r="E20" s="143">
        <f>SUMPRODUCT(('2019c'!$B$2:$B$323='(2019c)'!$B20)*('2019c'!$C$2:$C$323='(2019c)'!E$2)*('2019c'!$D$2:$D$323))</f>
        <v>4</v>
      </c>
      <c r="F20" s="143">
        <f>SUMPRODUCT(('2019c'!$B$2:$B$323='(2019c)'!$B20)*('2019c'!$C$2:$C$323='(2019c)'!F$2)*('2019c'!$D$2:$D$323))</f>
        <v>3.5</v>
      </c>
      <c r="G20" s="143">
        <f>SUMPRODUCT(('2019c'!$B$2:$B$323='(2019c)'!$B20)*('2019c'!$C$2:$C$323='(2019c)'!G$2)*('2019c'!$D$2:$D$323))</f>
        <v>8.06</v>
      </c>
      <c r="H20" s="143">
        <f t="shared" si="1"/>
        <v>17.560000000000002</v>
      </c>
    </row>
    <row r="21" spans="2:8" x14ac:dyDescent="0.35">
      <c r="B21" s="144" t="s">
        <v>25</v>
      </c>
      <c r="C21" s="143">
        <f>SUMPRODUCT(('2019c'!$B$2:$B$323='(2019c)'!$B21)*('2019c'!$C$2:$C$323='(2019c)'!C$2)*('2019c'!$D$2:$D$323))</f>
        <v>1</v>
      </c>
      <c r="D21" s="143">
        <f>SUMPRODUCT(('2019c'!$B$2:$B$323='(2019c)'!$B21)*('2019c'!$C$2:$C$323='(2019c)'!D$2)*('2019c'!$D$2:$D$323))</f>
        <v>3</v>
      </c>
      <c r="E21" s="143">
        <f>SUMPRODUCT(('2019c'!$B$2:$B$323='(2019c)'!$B21)*('2019c'!$C$2:$C$323='(2019c)'!E$2)*('2019c'!$D$2:$D$323))</f>
        <v>4</v>
      </c>
      <c r="F21" s="143">
        <f>SUMPRODUCT(('2019c'!$B$2:$B$323='(2019c)'!$B21)*('2019c'!$C$2:$C$323='(2019c)'!F$2)*('2019c'!$D$2:$D$323))</f>
        <v>8.5</v>
      </c>
      <c r="G21" s="143">
        <f>SUMPRODUCT(('2019c'!$B$2:$B$323='(2019c)'!$B21)*('2019c'!$C$2:$C$323='(2019c)'!G$2)*('2019c'!$D$2:$D$323))</f>
        <v>16.2</v>
      </c>
      <c r="H21" s="143">
        <f t="shared" si="1"/>
        <v>32.700000000000003</v>
      </c>
    </row>
    <row r="22" spans="2:8" x14ac:dyDescent="0.35">
      <c r="B22" s="144" t="s">
        <v>26</v>
      </c>
      <c r="C22" s="143">
        <f>SUMPRODUCT(('2019c'!$B$2:$B$323='(2019c)'!$B22)*('2019c'!$C$2:$C$323='(2019c)'!C$2)*('2019c'!$D$2:$D$323))</f>
        <v>0</v>
      </c>
      <c r="D22" s="143">
        <f>SUMPRODUCT(('2019c'!$B$2:$B$323='(2019c)'!$B22)*('2019c'!$C$2:$C$323='(2019c)'!D$2)*('2019c'!$D$2:$D$323))</f>
        <v>1</v>
      </c>
      <c r="E22" s="143">
        <f>SUMPRODUCT(('2019c'!$B$2:$B$323='(2019c)'!$B22)*('2019c'!$C$2:$C$323='(2019c)'!E$2)*('2019c'!$D$2:$D$323))</f>
        <v>2</v>
      </c>
      <c r="F22" s="143">
        <f>SUMPRODUCT(('2019c'!$B$2:$B$323='(2019c)'!$B22)*('2019c'!$C$2:$C$323='(2019c)'!F$2)*('2019c'!$D$2:$D$323))</f>
        <v>5.25</v>
      </c>
      <c r="G22" s="143">
        <f>SUMPRODUCT(('2019c'!$B$2:$B$323='(2019c)'!$B22)*('2019c'!$C$2:$C$323='(2019c)'!G$2)*('2019c'!$D$2:$D$323))</f>
        <v>8</v>
      </c>
      <c r="H22" s="143">
        <f t="shared" si="1"/>
        <v>16.25</v>
      </c>
    </row>
    <row r="23" spans="2:8" x14ac:dyDescent="0.35">
      <c r="B23" s="144" t="s">
        <v>27</v>
      </c>
      <c r="C23" s="143">
        <f>SUMPRODUCT(('2019c'!$B$2:$B$323='(2019c)'!$B23)*('2019c'!$C$2:$C$323='(2019c)'!C$2)*('2019c'!$D$2:$D$323))</f>
        <v>1</v>
      </c>
      <c r="D23" s="143">
        <f>SUMPRODUCT(('2019c'!$B$2:$B$323='(2019c)'!$B23)*('2019c'!$C$2:$C$323='(2019c)'!D$2)*('2019c'!$D$2:$D$323))</f>
        <v>1</v>
      </c>
      <c r="E23" s="143">
        <f>SUMPRODUCT(('2019c'!$B$2:$B$323='(2019c)'!$B23)*('2019c'!$C$2:$C$323='(2019c)'!E$2)*('2019c'!$D$2:$D$323))</f>
        <v>8</v>
      </c>
      <c r="F23" s="143">
        <f>SUMPRODUCT(('2019c'!$B$2:$B$323='(2019c)'!$B23)*('2019c'!$C$2:$C$323='(2019c)'!F$2)*('2019c'!$D$2:$D$323))</f>
        <v>1</v>
      </c>
      <c r="G23" s="143">
        <f>SUMPRODUCT(('2019c'!$B$2:$B$323='(2019c)'!$B23)*('2019c'!$C$2:$C$323='(2019c)'!G$2)*('2019c'!$D$2:$D$323))</f>
        <v>15</v>
      </c>
      <c r="H23" s="143">
        <f t="shared" si="1"/>
        <v>26</v>
      </c>
    </row>
    <row r="24" spans="2:8" x14ac:dyDescent="0.35">
      <c r="B24" s="144" t="s">
        <v>28</v>
      </c>
      <c r="C24" s="143">
        <f>SUMPRODUCT(('2019c'!$B$2:$B$323='(2019c)'!$B24)*('2019c'!$C$2:$C$323='(2019c)'!C$2)*('2019c'!$D$2:$D$323))</f>
        <v>0</v>
      </c>
      <c r="D24" s="143">
        <f>SUMPRODUCT(('2019c'!$B$2:$B$323='(2019c)'!$B24)*('2019c'!$C$2:$C$323='(2019c)'!D$2)*('2019c'!$D$2:$D$323))</f>
        <v>0</v>
      </c>
      <c r="E24" s="143">
        <f>SUMPRODUCT(('2019c'!$B$2:$B$323='(2019c)'!$B24)*('2019c'!$C$2:$C$323='(2019c)'!E$2)*('2019c'!$D$2:$D$323))</f>
        <v>7</v>
      </c>
      <c r="F24" s="143">
        <f>SUMPRODUCT(('2019c'!$B$2:$B$323='(2019c)'!$B24)*('2019c'!$C$2:$C$323='(2019c)'!F$2)*('2019c'!$D$2:$D$323))</f>
        <v>9.2899999999999991</v>
      </c>
      <c r="G24" s="143">
        <f>SUMPRODUCT(('2019c'!$B$2:$B$323='(2019c)'!$B24)*('2019c'!$C$2:$C$323='(2019c)'!G$2)*('2019c'!$D$2:$D$323))</f>
        <v>11</v>
      </c>
      <c r="H24" s="143">
        <f t="shared" si="1"/>
        <v>27.29</v>
      </c>
    </row>
    <row r="25" spans="2:8" x14ac:dyDescent="0.35">
      <c r="B25" t="s">
        <v>29</v>
      </c>
      <c r="C25" s="143">
        <f>SUMPRODUCT(('2019c'!$B$2:$B$323='(2019c)'!$B25)*('2019c'!$C$2:$C$323='(2019c)'!C$2)*('2019c'!$D$2:$D$323))</f>
        <v>0</v>
      </c>
      <c r="D25" s="143">
        <f>SUMPRODUCT(('2019c'!$B$2:$B$323='(2019c)'!$B25)*('2019c'!$C$2:$C$323='(2019c)'!D$2)*('2019c'!$D$2:$D$323))</f>
        <v>0</v>
      </c>
      <c r="E25" s="143">
        <f>SUMPRODUCT(('2019c'!$B$2:$B$323='(2019c)'!$B25)*('2019c'!$C$2:$C$323='(2019c)'!E$2)*('2019c'!$D$2:$D$323))</f>
        <v>0</v>
      </c>
      <c r="F25" s="143">
        <f>SUMPRODUCT(('2019c'!$B$2:$B$323='(2019c)'!$B25)*('2019c'!$C$2:$C$323='(2019c)'!F$2)*('2019c'!$D$2:$D$323))</f>
        <v>0</v>
      </c>
      <c r="G25" s="143">
        <f>SUMPRODUCT(('2019c'!$B$2:$B$323='(2019c)'!$B25)*('2019c'!$C$2:$C$323='(2019c)'!G$2)*('2019c'!$D$2:$D$323))</f>
        <v>0</v>
      </c>
      <c r="H25" s="143">
        <f t="shared" si="1"/>
        <v>0</v>
      </c>
    </row>
    <row r="26" spans="2:8" x14ac:dyDescent="0.35">
      <c r="B26" s="144" t="s">
        <v>31</v>
      </c>
      <c r="C26" s="143">
        <f>SUMPRODUCT(('2019c'!$B$2:$B$323='(2019c)'!$B26)*('2019c'!$C$2:$C$323='(2019c)'!C$2)*('2019c'!$D$2:$D$323))</f>
        <v>0</v>
      </c>
      <c r="D26" s="143">
        <f>SUMPRODUCT(('2019c'!$B$2:$B$323='(2019c)'!$B26)*('2019c'!$C$2:$C$323='(2019c)'!D$2)*('2019c'!$D$2:$D$323))</f>
        <v>2</v>
      </c>
      <c r="E26" s="143">
        <f>SUMPRODUCT(('2019c'!$B$2:$B$323='(2019c)'!$B26)*('2019c'!$C$2:$C$323='(2019c)'!E$2)*('2019c'!$D$2:$D$323))</f>
        <v>4</v>
      </c>
      <c r="F26" s="143">
        <f>SUMPRODUCT(('2019c'!$B$2:$B$323='(2019c)'!$B26)*('2019c'!$C$2:$C$323='(2019c)'!F$2)*('2019c'!$D$2:$D$323))</f>
        <v>15</v>
      </c>
      <c r="G26" s="143">
        <f>SUMPRODUCT(('2019c'!$B$2:$B$323='(2019c)'!$B26)*('2019c'!$C$2:$C$323='(2019c)'!G$2)*('2019c'!$D$2:$D$323))</f>
        <v>19</v>
      </c>
      <c r="H26" s="143">
        <f t="shared" si="1"/>
        <v>40</v>
      </c>
    </row>
    <row r="27" spans="2:8" x14ac:dyDescent="0.35">
      <c r="B27" s="144" t="s">
        <v>32</v>
      </c>
      <c r="C27" s="143">
        <f>SUMPRODUCT(('2019c'!$B$2:$B$323='(2019c)'!$B27)*('2019c'!$C$2:$C$323='(2019c)'!C$2)*('2019c'!$D$2:$D$323))</f>
        <v>0</v>
      </c>
      <c r="D27" s="143">
        <f>SUMPRODUCT(('2019c'!$B$2:$B$323='(2019c)'!$B27)*('2019c'!$C$2:$C$323='(2019c)'!D$2)*('2019c'!$D$2:$D$323))</f>
        <v>0</v>
      </c>
      <c r="E27" s="143">
        <f>SUMPRODUCT(('2019c'!$B$2:$B$323='(2019c)'!$B27)*('2019c'!$C$2:$C$323='(2019c)'!E$2)*('2019c'!$D$2:$D$323))</f>
        <v>0</v>
      </c>
      <c r="F27" s="143">
        <f>SUMPRODUCT(('2019c'!$B$2:$B$323='(2019c)'!$B27)*('2019c'!$C$2:$C$323='(2019c)'!F$2)*('2019c'!$D$2:$D$323))</f>
        <v>1</v>
      </c>
      <c r="G27" s="143">
        <f>SUMPRODUCT(('2019c'!$B$2:$B$323='(2019c)'!$B27)*('2019c'!$C$2:$C$323='(2019c)'!G$2)*('2019c'!$D$2:$D$323))</f>
        <v>0</v>
      </c>
      <c r="H27" s="143">
        <f t="shared" si="1"/>
        <v>1</v>
      </c>
    </row>
    <row r="28" spans="2:8" x14ac:dyDescent="0.35">
      <c r="B28" s="144" t="s">
        <v>33</v>
      </c>
      <c r="C28" s="143">
        <f>SUMPRODUCT(('2019c'!$B$2:$B$323='(2019c)'!$B28)*('2019c'!$C$2:$C$323='(2019c)'!C$2)*('2019c'!$D$2:$D$323))</f>
        <v>0</v>
      </c>
      <c r="D28" s="143">
        <f>SUMPRODUCT(('2019c'!$B$2:$B$323='(2019c)'!$B28)*('2019c'!$C$2:$C$323='(2019c)'!D$2)*('2019c'!$D$2:$D$323))</f>
        <v>1</v>
      </c>
      <c r="E28" s="143">
        <f>SUMPRODUCT(('2019c'!$B$2:$B$323='(2019c)'!$B28)*('2019c'!$C$2:$C$323='(2019c)'!E$2)*('2019c'!$D$2:$D$323))</f>
        <v>5</v>
      </c>
      <c r="F28" s="143">
        <f>SUMPRODUCT(('2019c'!$B$2:$B$323='(2019c)'!$B28)*('2019c'!$C$2:$C$323='(2019c)'!F$2)*('2019c'!$D$2:$D$323))</f>
        <v>8</v>
      </c>
      <c r="G28" s="143">
        <f>SUMPRODUCT(('2019c'!$B$2:$B$323='(2019c)'!$B28)*('2019c'!$C$2:$C$323='(2019c)'!G$2)*('2019c'!$D$2:$D$323))</f>
        <v>12</v>
      </c>
      <c r="H28" s="143">
        <f t="shared" si="1"/>
        <v>26</v>
      </c>
    </row>
    <row r="29" spans="2:8" x14ac:dyDescent="0.35">
      <c r="B29" s="144" t="s">
        <v>34</v>
      </c>
      <c r="C29" s="143">
        <f>SUMPRODUCT(('2019c'!$B$2:$B$323='(2019c)'!$B29)*('2019c'!$C$2:$C$323='(2019c)'!C$2)*('2019c'!$D$2:$D$323))</f>
        <v>0</v>
      </c>
      <c r="D29" s="143">
        <f>SUMPRODUCT(('2019c'!$B$2:$B$323='(2019c)'!$B29)*('2019c'!$C$2:$C$323='(2019c)'!D$2)*('2019c'!$D$2:$D$323))</f>
        <v>1</v>
      </c>
      <c r="E29" s="143">
        <f>SUMPRODUCT(('2019c'!$B$2:$B$323='(2019c)'!$B29)*('2019c'!$C$2:$C$323='(2019c)'!E$2)*('2019c'!$D$2:$D$323))</f>
        <v>4</v>
      </c>
      <c r="F29" s="143">
        <f>SUMPRODUCT(('2019c'!$B$2:$B$323='(2019c)'!$B29)*('2019c'!$C$2:$C$323='(2019c)'!F$2)*('2019c'!$D$2:$D$323))</f>
        <v>3</v>
      </c>
      <c r="G29" s="143">
        <f>SUMPRODUCT(('2019c'!$B$2:$B$323='(2019c)'!$B29)*('2019c'!$C$2:$C$323='(2019c)'!G$2)*('2019c'!$D$2:$D$323))</f>
        <v>9</v>
      </c>
      <c r="H29" s="143">
        <f t="shared" si="1"/>
        <v>17</v>
      </c>
    </row>
    <row r="30" spans="2:8" x14ac:dyDescent="0.35">
      <c r="B30" s="144" t="s">
        <v>36</v>
      </c>
      <c r="C30" s="143">
        <f>SUMPRODUCT(('2019c'!$B$2:$B$323='(2019c)'!$B30)*('2019c'!$C$2:$C$323='(2019c)'!C$2)*('2019c'!$D$2:$D$323))</f>
        <v>0</v>
      </c>
      <c r="D30" s="143">
        <f>SUMPRODUCT(('2019c'!$B$2:$B$323='(2019c)'!$B30)*('2019c'!$C$2:$C$323='(2019c)'!D$2)*('2019c'!$D$2:$D$323))</f>
        <v>1</v>
      </c>
      <c r="E30" s="143">
        <f>SUMPRODUCT(('2019c'!$B$2:$B$323='(2019c)'!$B30)*('2019c'!$C$2:$C$323='(2019c)'!E$2)*('2019c'!$D$2:$D$323))</f>
        <v>4</v>
      </c>
      <c r="F30" s="143">
        <f>SUMPRODUCT(('2019c'!$B$2:$B$323='(2019c)'!$B30)*('2019c'!$C$2:$C$323='(2019c)'!F$2)*('2019c'!$D$2:$D$323))</f>
        <v>4</v>
      </c>
      <c r="G30" s="143">
        <f>SUMPRODUCT(('2019c'!$B$2:$B$323='(2019c)'!$B30)*('2019c'!$C$2:$C$323='(2019c)'!G$2)*('2019c'!$D$2:$D$323))</f>
        <v>14.62</v>
      </c>
      <c r="H30" s="143">
        <f t="shared" si="1"/>
        <v>23.619999999999997</v>
      </c>
    </row>
    <row r="31" spans="2:8" x14ac:dyDescent="0.35">
      <c r="B31" t="s">
        <v>37</v>
      </c>
      <c r="C31" s="143">
        <f>SUMPRODUCT(('2019c'!$B$2:$B$323='(2019c)'!$B31)*('2019c'!$C$2:$C$323='(2019c)'!C$2)*('2019c'!$D$2:$D$323))</f>
        <v>1</v>
      </c>
      <c r="D31" s="143">
        <f>SUMPRODUCT(('2019c'!$B$2:$B$323='(2019c)'!$B31)*('2019c'!$C$2:$C$323='(2019c)'!D$2)*('2019c'!$D$2:$D$323))</f>
        <v>5</v>
      </c>
      <c r="E31" s="143">
        <f>SUMPRODUCT(('2019c'!$B$2:$B$323='(2019c)'!$B31)*('2019c'!$C$2:$C$323='(2019c)'!E$2)*('2019c'!$D$2:$D$323))</f>
        <v>15</v>
      </c>
      <c r="F31" s="143">
        <f>SUMPRODUCT(('2019c'!$B$2:$B$323='(2019c)'!$B31)*('2019c'!$C$2:$C$323='(2019c)'!F$2)*('2019c'!$D$2:$D$323))</f>
        <v>0</v>
      </c>
      <c r="G31" s="143">
        <f>SUMPRODUCT(('2019c'!$B$2:$B$323='(2019c)'!$B31)*('2019c'!$C$2:$C$323='(2019c)'!G$2)*('2019c'!$D$2:$D$323))</f>
        <v>36</v>
      </c>
      <c r="H31" s="143">
        <f t="shared" si="1"/>
        <v>57</v>
      </c>
    </row>
    <row r="32" spans="2:8" x14ac:dyDescent="0.35">
      <c r="B32" s="144" t="s">
        <v>38</v>
      </c>
      <c r="C32" s="143">
        <f>SUMPRODUCT(('2019c'!$B$2:$B$323='(2019c)'!$B32)*('2019c'!$C$2:$C$323='(2019c)'!C$2)*('2019c'!$D$2:$D$323))</f>
        <v>0</v>
      </c>
      <c r="D32" s="143">
        <f>SUMPRODUCT(('2019c'!$B$2:$B$323='(2019c)'!$B32)*('2019c'!$C$2:$C$323='(2019c)'!D$2)*('2019c'!$D$2:$D$323))</f>
        <v>1</v>
      </c>
      <c r="E32" s="143">
        <f>SUMPRODUCT(('2019c'!$B$2:$B$323='(2019c)'!$B32)*('2019c'!$C$2:$C$323='(2019c)'!E$2)*('2019c'!$D$2:$D$323))</f>
        <v>2</v>
      </c>
      <c r="F32" s="143">
        <f>SUMPRODUCT(('2019c'!$B$2:$B$323='(2019c)'!$B32)*('2019c'!$C$2:$C$323='(2019c)'!F$2)*('2019c'!$D$2:$D$323))</f>
        <v>6</v>
      </c>
      <c r="G32" s="143">
        <f>SUMPRODUCT(('2019c'!$B$2:$B$323='(2019c)'!$B32)*('2019c'!$C$2:$C$323='(2019c)'!G$2)*('2019c'!$D$2:$D$323))</f>
        <v>6</v>
      </c>
      <c r="H32" s="143">
        <f t="shared" si="1"/>
        <v>15</v>
      </c>
    </row>
    <row r="33" spans="2:8" x14ac:dyDescent="0.35">
      <c r="B33" s="144" t="s">
        <v>39</v>
      </c>
      <c r="C33" s="143">
        <f>SUMPRODUCT(('2019c'!$B$2:$B$323='(2019c)'!$B33)*('2019c'!$C$2:$C$323='(2019c)'!C$2)*('2019c'!$D$2:$D$323))</f>
        <v>0</v>
      </c>
      <c r="D33" s="143">
        <f>SUMPRODUCT(('2019c'!$B$2:$B$323='(2019c)'!$B33)*('2019c'!$C$2:$C$323='(2019c)'!D$2)*('2019c'!$D$2:$D$323))</f>
        <v>0</v>
      </c>
      <c r="E33" s="143">
        <f>SUMPRODUCT(('2019c'!$B$2:$B$323='(2019c)'!$B33)*('2019c'!$C$2:$C$323='(2019c)'!E$2)*('2019c'!$D$2:$D$323))</f>
        <v>4</v>
      </c>
      <c r="F33" s="143">
        <f>SUMPRODUCT(('2019c'!$B$2:$B$323='(2019c)'!$B33)*('2019c'!$C$2:$C$323='(2019c)'!F$2)*('2019c'!$D$2:$D$323))</f>
        <v>3</v>
      </c>
      <c r="G33" s="143">
        <f>SUMPRODUCT(('2019c'!$B$2:$B$323='(2019c)'!$B33)*('2019c'!$C$2:$C$323='(2019c)'!G$2)*('2019c'!$D$2:$D$323))</f>
        <v>9.5</v>
      </c>
      <c r="H33" s="143">
        <f t="shared" si="1"/>
        <v>16.5</v>
      </c>
    </row>
    <row r="34" spans="2:8" x14ac:dyDescent="0.35">
      <c r="B34" s="144" t="s">
        <v>40</v>
      </c>
      <c r="C34" s="143">
        <f>SUMPRODUCT(('2019c'!$B$2:$B$323='(2019c)'!$B34)*('2019c'!$C$2:$C$323='(2019c)'!C$2)*('2019c'!$D$2:$D$323))</f>
        <v>0</v>
      </c>
      <c r="D34" s="143">
        <f>SUMPRODUCT(('2019c'!$B$2:$B$323='(2019c)'!$B34)*('2019c'!$C$2:$C$323='(2019c)'!D$2)*('2019c'!$D$2:$D$323))</f>
        <v>0</v>
      </c>
      <c r="E34" s="143">
        <f>SUMPRODUCT(('2019c'!$B$2:$B$323='(2019c)'!$B34)*('2019c'!$C$2:$C$323='(2019c)'!E$2)*('2019c'!$D$2:$D$323))</f>
        <v>1</v>
      </c>
      <c r="F34" s="143">
        <f>SUMPRODUCT(('2019c'!$B$2:$B$323='(2019c)'!$B34)*('2019c'!$C$2:$C$323='(2019c)'!F$2)*('2019c'!$D$2:$D$323))</f>
        <v>4</v>
      </c>
      <c r="G34" s="143">
        <f>SUMPRODUCT(('2019c'!$B$2:$B$323='(2019c)'!$B34)*('2019c'!$C$2:$C$323='(2019c)'!G$2)*('2019c'!$D$2:$D$323))</f>
        <v>4</v>
      </c>
      <c r="H34" s="143">
        <f t="shared" si="1"/>
        <v>9</v>
      </c>
    </row>
    <row r="35" spans="2:8" x14ac:dyDescent="0.35">
      <c r="B35" s="144" t="s">
        <v>41</v>
      </c>
      <c r="C35" s="143">
        <f>SUMPRODUCT(('2019c'!$B$2:$B$323='(2019c)'!$B35)*('2019c'!$C$2:$C$323='(2019c)'!C$2)*('2019c'!$D$2:$D$323))</f>
        <v>1</v>
      </c>
      <c r="D35" s="143">
        <f>SUMPRODUCT(('2019c'!$B$2:$B$323='(2019c)'!$B35)*('2019c'!$C$2:$C$323='(2019c)'!D$2)*('2019c'!$D$2:$D$323))</f>
        <v>2</v>
      </c>
      <c r="E35" s="143">
        <f>SUMPRODUCT(('2019c'!$B$2:$B$323='(2019c)'!$B35)*('2019c'!$C$2:$C$323='(2019c)'!E$2)*('2019c'!$D$2:$D$323))</f>
        <v>7</v>
      </c>
      <c r="F35" s="143">
        <f>SUMPRODUCT(('2019c'!$B$2:$B$323='(2019c)'!$B35)*('2019c'!$C$2:$C$323='(2019c)'!F$2)*('2019c'!$D$2:$D$323))</f>
        <v>5</v>
      </c>
      <c r="G35" s="143">
        <f>SUMPRODUCT(('2019c'!$B$2:$B$323='(2019c)'!$B35)*('2019c'!$C$2:$C$323='(2019c)'!G$2)*('2019c'!$D$2:$D$323))</f>
        <v>10.75</v>
      </c>
      <c r="H35" s="143">
        <f t="shared" si="1"/>
        <v>25.75</v>
      </c>
    </row>
    <row r="36" spans="2:8" x14ac:dyDescent="0.35">
      <c r="B36" s="144" t="s">
        <v>42</v>
      </c>
      <c r="C36" s="143">
        <f>SUMPRODUCT(('2019c'!$B$2:$B$323='(2019c)'!$B36)*('2019c'!$C$2:$C$323='(2019c)'!C$2)*('2019c'!$D$2:$D$323))</f>
        <v>0</v>
      </c>
      <c r="D36" s="143">
        <f>SUMPRODUCT(('2019c'!$B$2:$B$323='(2019c)'!$B36)*('2019c'!$C$2:$C$323='(2019c)'!D$2)*('2019c'!$D$2:$D$323))</f>
        <v>0</v>
      </c>
      <c r="E36" s="143">
        <f>SUMPRODUCT(('2019c'!$B$2:$B$323='(2019c)'!$B36)*('2019c'!$C$2:$C$323='(2019c)'!E$2)*('2019c'!$D$2:$D$323))</f>
        <v>0</v>
      </c>
      <c r="F36" s="143">
        <f>SUMPRODUCT(('2019c'!$B$2:$B$323='(2019c)'!$B36)*('2019c'!$C$2:$C$323='(2019c)'!F$2)*('2019c'!$D$2:$D$323))</f>
        <v>0</v>
      </c>
      <c r="G36" s="143">
        <f>SUMPRODUCT(('2019c'!$B$2:$B$323='(2019c)'!$B36)*('2019c'!$C$2:$C$323='(2019c)'!G$2)*('2019c'!$D$2:$D$323))</f>
        <v>0</v>
      </c>
      <c r="H36" s="143">
        <f t="shared" si="1"/>
        <v>0</v>
      </c>
    </row>
    <row r="37" spans="2:8" x14ac:dyDescent="0.35">
      <c r="B37" s="144" t="s">
        <v>43</v>
      </c>
      <c r="C37" s="143">
        <f>SUMPRODUCT(('2019c'!$B$2:$B$323='(2019c)'!$B37)*('2019c'!$C$2:$C$323='(2019c)'!C$2)*('2019c'!$D$2:$D$323))</f>
        <v>0</v>
      </c>
      <c r="D37" s="143">
        <f>SUMPRODUCT(('2019c'!$B$2:$B$323='(2019c)'!$B37)*('2019c'!$C$2:$C$323='(2019c)'!D$2)*('2019c'!$D$2:$D$323))</f>
        <v>1</v>
      </c>
      <c r="E37" s="143">
        <f>SUMPRODUCT(('2019c'!$B$2:$B$323='(2019c)'!$B37)*('2019c'!$C$2:$C$323='(2019c)'!E$2)*('2019c'!$D$2:$D$323))</f>
        <v>5</v>
      </c>
      <c r="F37" s="143">
        <f>SUMPRODUCT(('2019c'!$B$2:$B$323='(2019c)'!$B37)*('2019c'!$C$2:$C$323='(2019c)'!F$2)*('2019c'!$D$2:$D$323))</f>
        <v>4</v>
      </c>
      <c r="G37" s="143">
        <f>SUMPRODUCT(('2019c'!$B$2:$B$323='(2019c)'!$B37)*('2019c'!$C$2:$C$323='(2019c)'!G$2)*('2019c'!$D$2:$D$323))</f>
        <v>8.5</v>
      </c>
      <c r="H37" s="143">
        <f t="shared" si="1"/>
        <v>18.5</v>
      </c>
    </row>
    <row r="38" spans="2:8" x14ac:dyDescent="0.35">
      <c r="B38" s="144" t="s">
        <v>45</v>
      </c>
      <c r="C38" s="143">
        <f>SUMPRODUCT(('2019c'!$B$2:$B$323='(2019c)'!$B38)*('2019c'!$C$2:$C$323='(2019c)'!C$2)*('2019c'!$D$2:$D$323))</f>
        <v>0</v>
      </c>
      <c r="D38" s="143">
        <f>SUMPRODUCT(('2019c'!$B$2:$B$323='(2019c)'!$B38)*('2019c'!$C$2:$C$323='(2019c)'!D$2)*('2019c'!$D$2:$D$323))</f>
        <v>0</v>
      </c>
      <c r="E38" s="143">
        <f>SUMPRODUCT(('2019c'!$B$2:$B$323='(2019c)'!$B38)*('2019c'!$C$2:$C$323='(2019c)'!E$2)*('2019c'!$D$2:$D$323))</f>
        <v>0</v>
      </c>
      <c r="F38" s="143">
        <f>SUMPRODUCT(('2019c'!$B$2:$B$323='(2019c)'!$B38)*('2019c'!$C$2:$C$323='(2019c)'!F$2)*('2019c'!$D$2:$D$323))</f>
        <v>0</v>
      </c>
      <c r="G38" s="143">
        <f>SUMPRODUCT(('2019c'!$B$2:$B$323='(2019c)'!$B38)*('2019c'!$C$2:$C$323='(2019c)'!G$2)*('2019c'!$D$2:$D$323))</f>
        <v>0</v>
      </c>
      <c r="H38" s="143">
        <f t="shared" si="1"/>
        <v>0</v>
      </c>
    </row>
    <row r="39" spans="2:8" x14ac:dyDescent="0.35">
      <c r="B39" s="144" t="s">
        <v>46</v>
      </c>
      <c r="C39" s="143">
        <f>SUMPRODUCT(('2019c'!$B$2:$B$323='(2019c)'!$B39)*('2019c'!$C$2:$C$323='(2019c)'!C$2)*('2019c'!$D$2:$D$323))</f>
        <v>0</v>
      </c>
      <c r="D39" s="143">
        <f>SUMPRODUCT(('2019c'!$B$2:$B$323='(2019c)'!$B39)*('2019c'!$C$2:$C$323='(2019c)'!D$2)*('2019c'!$D$2:$D$323))</f>
        <v>0</v>
      </c>
      <c r="E39" s="143">
        <f>SUMPRODUCT(('2019c'!$B$2:$B$323='(2019c)'!$B39)*('2019c'!$C$2:$C$323='(2019c)'!E$2)*('2019c'!$D$2:$D$323))</f>
        <v>0</v>
      </c>
      <c r="F39" s="143">
        <f>SUMPRODUCT(('2019c'!$B$2:$B$323='(2019c)'!$B39)*('2019c'!$C$2:$C$323='(2019c)'!F$2)*('2019c'!$D$2:$D$323))</f>
        <v>0</v>
      </c>
      <c r="G39" s="143">
        <f>SUMPRODUCT(('2019c'!$B$2:$B$323='(2019c)'!$B39)*('2019c'!$C$2:$C$323='(2019c)'!G$2)*('2019c'!$D$2:$D$323))</f>
        <v>0</v>
      </c>
      <c r="H39" s="143">
        <f t="shared" si="1"/>
        <v>0</v>
      </c>
    </row>
    <row r="40" spans="2:8" x14ac:dyDescent="0.35">
      <c r="B40" s="144" t="s">
        <v>47</v>
      </c>
      <c r="C40" s="143">
        <f>SUMPRODUCT(('2019c'!$B$2:$B$323='(2019c)'!$B40)*('2019c'!$C$2:$C$323='(2019c)'!C$2)*('2019c'!$D$2:$D$323))</f>
        <v>0</v>
      </c>
      <c r="D40" s="143">
        <f>SUMPRODUCT(('2019c'!$B$2:$B$323='(2019c)'!$B40)*('2019c'!$C$2:$C$323='(2019c)'!D$2)*('2019c'!$D$2:$D$323))</f>
        <v>2</v>
      </c>
      <c r="E40" s="143">
        <f>SUMPRODUCT(('2019c'!$B$2:$B$323='(2019c)'!$B40)*('2019c'!$C$2:$C$323='(2019c)'!E$2)*('2019c'!$D$2:$D$323))</f>
        <v>4</v>
      </c>
      <c r="F40" s="143">
        <f>SUMPRODUCT(('2019c'!$B$2:$B$323='(2019c)'!$B40)*('2019c'!$C$2:$C$323='(2019c)'!F$2)*('2019c'!$D$2:$D$323))</f>
        <v>5</v>
      </c>
      <c r="G40" s="143">
        <f>SUMPRODUCT(('2019c'!$B$2:$B$323='(2019c)'!$B40)*('2019c'!$C$2:$C$323='(2019c)'!G$2)*('2019c'!$D$2:$D$323))</f>
        <v>10</v>
      </c>
      <c r="H40" s="143">
        <f t="shared" si="1"/>
        <v>21</v>
      </c>
    </row>
    <row r="41" spans="2:8" x14ac:dyDescent="0.35">
      <c r="B41" s="144" t="s">
        <v>49</v>
      </c>
      <c r="C41" s="143">
        <f>SUMPRODUCT(('2019c'!$B$2:$B$323='(2019c)'!$B41)*('2019c'!$C$2:$C$323='(2019c)'!C$2)*('2019c'!$D$2:$D$323))</f>
        <v>0</v>
      </c>
      <c r="D41" s="143">
        <f>SUMPRODUCT(('2019c'!$B$2:$B$323='(2019c)'!$B41)*('2019c'!$C$2:$C$323='(2019c)'!D$2)*('2019c'!$D$2:$D$323))</f>
        <v>1</v>
      </c>
      <c r="E41" s="143">
        <f>SUMPRODUCT(('2019c'!$B$2:$B$323='(2019c)'!$B41)*('2019c'!$C$2:$C$323='(2019c)'!E$2)*('2019c'!$D$2:$D$323))</f>
        <v>4</v>
      </c>
      <c r="F41" s="143">
        <f>SUMPRODUCT(('2019c'!$B$2:$B$323='(2019c)'!$B41)*('2019c'!$C$2:$C$323='(2019c)'!F$2)*('2019c'!$D$2:$D$323))</f>
        <v>4</v>
      </c>
      <c r="G41" s="143">
        <f>SUMPRODUCT(('2019c'!$B$2:$B$323='(2019c)'!$B41)*('2019c'!$C$2:$C$323='(2019c)'!G$2)*('2019c'!$D$2:$D$323))</f>
        <v>8</v>
      </c>
      <c r="H41" s="143">
        <f t="shared" si="1"/>
        <v>17</v>
      </c>
    </row>
    <row r="42" spans="2:8" x14ac:dyDescent="0.35">
      <c r="B42" s="144" t="s">
        <v>51</v>
      </c>
      <c r="C42" s="143">
        <f>SUMPRODUCT(('2019c'!$B$2:$B$323='(2019c)'!$B42)*('2019c'!$C$2:$C$323='(2019c)'!C$2)*('2019c'!$D$2:$D$323))</f>
        <v>0</v>
      </c>
      <c r="D42" s="143">
        <f>SUMPRODUCT(('2019c'!$B$2:$B$323='(2019c)'!$B42)*('2019c'!$C$2:$C$323='(2019c)'!D$2)*('2019c'!$D$2:$D$323))</f>
        <v>0</v>
      </c>
      <c r="E42" s="143">
        <f>SUMPRODUCT(('2019c'!$B$2:$B$323='(2019c)'!$B42)*('2019c'!$C$2:$C$323='(2019c)'!E$2)*('2019c'!$D$2:$D$323))</f>
        <v>0</v>
      </c>
      <c r="F42" s="143">
        <f>SUMPRODUCT(('2019c'!$B$2:$B$323='(2019c)'!$B42)*('2019c'!$C$2:$C$323='(2019c)'!F$2)*('2019c'!$D$2:$D$323))</f>
        <v>0</v>
      </c>
      <c r="G42" s="143">
        <f>SUMPRODUCT(('2019c'!$B$2:$B$323='(2019c)'!$B42)*('2019c'!$C$2:$C$323='(2019c)'!G$2)*('2019c'!$D$2:$D$323))</f>
        <v>0</v>
      </c>
      <c r="H42" s="143">
        <f t="shared" si="1"/>
        <v>0</v>
      </c>
    </row>
    <row r="43" spans="2:8" x14ac:dyDescent="0.35">
      <c r="B43" s="144" t="s">
        <v>30</v>
      </c>
      <c r="C43" s="143">
        <f>SUMPRODUCT(('2019c'!$B$2:$B$323='(2019c)'!$B43)*('2019c'!$C$2:$C$323='(2019c)'!C$2)*('2019c'!$D$2:$D$323))</f>
        <v>0</v>
      </c>
      <c r="D43" s="143">
        <f>SUMPRODUCT(('2019c'!$B$2:$B$323='(2019c)'!$B43)*('2019c'!$C$2:$C$323='(2019c)'!D$2)*('2019c'!$D$2:$D$323))</f>
        <v>0</v>
      </c>
      <c r="E43" s="143">
        <f>SUMPRODUCT(('2019c'!$B$2:$B$323='(2019c)'!$B43)*('2019c'!$C$2:$C$323='(2019c)'!E$2)*('2019c'!$D$2:$D$323))</f>
        <v>0</v>
      </c>
      <c r="F43" s="143">
        <f>SUMPRODUCT(('2019c'!$B$2:$B$323='(2019c)'!$B43)*('2019c'!$C$2:$C$323='(2019c)'!F$2)*('2019c'!$D$2:$D$323))</f>
        <v>0</v>
      </c>
      <c r="G43" s="143">
        <f>SUMPRODUCT(('2019c'!$B$2:$B$323='(2019c)'!$B43)*('2019c'!$C$2:$C$323='(2019c)'!G$2)*('2019c'!$D$2:$D$323))</f>
        <v>0</v>
      </c>
      <c r="H43" s="143">
        <f t="shared" si="1"/>
        <v>0</v>
      </c>
    </row>
    <row r="44" spans="2:8" x14ac:dyDescent="0.35">
      <c r="B44" s="144" t="s">
        <v>59</v>
      </c>
      <c r="C44" s="143">
        <f t="shared" ref="C44:H44" si="2">SUM(C45:C51)</f>
        <v>3</v>
      </c>
      <c r="D44" s="143">
        <f t="shared" si="2"/>
        <v>9</v>
      </c>
      <c r="E44" s="143">
        <f t="shared" si="2"/>
        <v>51.980000000000004</v>
      </c>
      <c r="F44" s="143">
        <f t="shared" si="2"/>
        <v>64.709999999999994</v>
      </c>
      <c r="G44" s="143">
        <f t="shared" si="2"/>
        <v>161.63</v>
      </c>
      <c r="H44" s="143">
        <f t="shared" si="2"/>
        <v>290.32000000000005</v>
      </c>
    </row>
    <row r="45" spans="2:8" x14ac:dyDescent="0.35">
      <c r="B45" s="144" t="s">
        <v>24</v>
      </c>
      <c r="C45" s="143">
        <f>SUMPRODUCT(('2019c'!$B$2:$B$323='(2019c)'!$B45)*('2019c'!$C$2:$C$323='(2019c)'!C$2)*('2019c'!$D$2:$D$323))</f>
        <v>0</v>
      </c>
      <c r="D45" s="143">
        <f>SUMPRODUCT(('2019c'!$B$2:$B$323='(2019c)'!$B45)*('2019c'!$C$2:$C$323='(2019c)'!D$2)*('2019c'!$D$2:$D$323))</f>
        <v>0</v>
      </c>
      <c r="E45" s="143">
        <f>SUMPRODUCT(('2019c'!$B$2:$B$323='(2019c)'!$B45)*('2019c'!$C$2:$C$323='(2019c)'!E$2)*('2019c'!$D$2:$D$323))</f>
        <v>0</v>
      </c>
      <c r="F45" s="143">
        <f>SUMPRODUCT(('2019c'!$B$2:$B$323='(2019c)'!$B45)*('2019c'!$C$2:$C$323='(2019c)'!F$2)*('2019c'!$D$2:$D$323))</f>
        <v>0</v>
      </c>
      <c r="G45" s="143">
        <f>SUMPRODUCT(('2019c'!$B$2:$B$323='(2019c)'!$B45)*('2019c'!$C$2:$C$323='(2019c)'!G$2)*('2019c'!$D$2:$D$323))</f>
        <v>0</v>
      </c>
      <c r="H45" s="143">
        <f t="shared" ref="H45:H51" si="3">SUM(C45:G45)</f>
        <v>0</v>
      </c>
    </row>
    <row r="46" spans="2:8" x14ac:dyDescent="0.35">
      <c r="B46" s="144" t="s">
        <v>35</v>
      </c>
      <c r="C46" s="143">
        <f>SUMPRODUCT(('2019c'!$B$2:$B$323='(2019c)'!$B46)*('2019c'!$C$2:$C$323='(2019c)'!C$2)*('2019c'!$D$2:$D$323))</f>
        <v>0</v>
      </c>
      <c r="D46" s="143">
        <f>SUMPRODUCT(('2019c'!$B$2:$B$323='(2019c)'!$B46)*('2019c'!$C$2:$C$323='(2019c)'!D$2)*('2019c'!$D$2:$D$323))</f>
        <v>0</v>
      </c>
      <c r="E46" s="143">
        <f>SUMPRODUCT(('2019c'!$B$2:$B$323='(2019c)'!$B46)*('2019c'!$C$2:$C$323='(2019c)'!E$2)*('2019c'!$D$2:$D$323))</f>
        <v>9</v>
      </c>
      <c r="F46" s="143">
        <f>SUMPRODUCT(('2019c'!$B$2:$B$323='(2019c)'!$B46)*('2019c'!$C$2:$C$323='(2019c)'!F$2)*('2019c'!$D$2:$D$323))</f>
        <v>4</v>
      </c>
      <c r="G46" s="143">
        <f>SUMPRODUCT(('2019c'!$B$2:$B$323='(2019c)'!$B46)*('2019c'!$C$2:$C$323='(2019c)'!G$2)*('2019c'!$D$2:$D$323))</f>
        <v>19.23</v>
      </c>
      <c r="H46" s="143">
        <f t="shared" si="3"/>
        <v>32.230000000000004</v>
      </c>
    </row>
    <row r="47" spans="2:8" x14ac:dyDescent="0.35">
      <c r="B47" s="144" t="s">
        <v>44</v>
      </c>
      <c r="C47" s="143">
        <f>SUMPRODUCT(('2019c'!$B$2:$B$323='(2019c)'!$B47)*('2019c'!$C$2:$C$323='(2019c)'!C$2)*('2019c'!$D$2:$D$323))</f>
        <v>0</v>
      </c>
      <c r="D47" s="143">
        <f>SUMPRODUCT(('2019c'!$B$2:$B$323='(2019c)'!$B47)*('2019c'!$C$2:$C$323='(2019c)'!D$2)*('2019c'!$D$2:$D$323))</f>
        <v>3</v>
      </c>
      <c r="E47" s="143">
        <f>SUMPRODUCT(('2019c'!$B$2:$B$323='(2019c)'!$B47)*('2019c'!$C$2:$C$323='(2019c)'!E$2)*('2019c'!$D$2:$D$323))</f>
        <v>6</v>
      </c>
      <c r="F47" s="143">
        <f>SUMPRODUCT(('2019c'!$B$2:$B$323='(2019c)'!$B47)*('2019c'!$C$2:$C$323='(2019c)'!F$2)*('2019c'!$D$2:$D$323))</f>
        <v>8</v>
      </c>
      <c r="G47" s="143">
        <f>SUMPRODUCT(('2019c'!$B$2:$B$323='(2019c)'!$B47)*('2019c'!$C$2:$C$323='(2019c)'!G$2)*('2019c'!$D$2:$D$323))</f>
        <v>11</v>
      </c>
      <c r="H47" s="143">
        <f t="shared" si="3"/>
        <v>28</v>
      </c>
    </row>
    <row r="48" spans="2:8" x14ac:dyDescent="0.35">
      <c r="B48" s="144" t="s">
        <v>48</v>
      </c>
      <c r="C48" s="143">
        <f>SUMPRODUCT(('2019c'!$B$2:$B$323='(2019c)'!$B48)*('2019c'!$C$2:$C$323='(2019c)'!C$2)*('2019c'!$D$2:$D$323))</f>
        <v>0</v>
      </c>
      <c r="D48" s="143">
        <f>SUMPRODUCT(('2019c'!$B$2:$B$323='(2019c)'!$B48)*('2019c'!$C$2:$C$323='(2019c)'!D$2)*('2019c'!$D$2:$D$323))</f>
        <v>1</v>
      </c>
      <c r="E48" s="143">
        <f>SUMPRODUCT(('2019c'!$B$2:$B$323='(2019c)'!$B48)*('2019c'!$C$2:$C$323='(2019c)'!E$2)*('2019c'!$D$2:$D$323))</f>
        <v>5</v>
      </c>
      <c r="F48" s="143">
        <f>SUMPRODUCT(('2019c'!$B$2:$B$323='(2019c)'!$B48)*('2019c'!$C$2:$C$323='(2019c)'!F$2)*('2019c'!$D$2:$D$323))</f>
        <v>5.88</v>
      </c>
      <c r="G48" s="143">
        <f>SUMPRODUCT(('2019c'!$B$2:$B$323='(2019c)'!$B48)*('2019c'!$C$2:$C$323='(2019c)'!G$2)*('2019c'!$D$2:$D$323))</f>
        <v>20.5</v>
      </c>
      <c r="H48" s="143">
        <f t="shared" si="3"/>
        <v>32.379999999999995</v>
      </c>
    </row>
    <row r="49" spans="2:8" x14ac:dyDescent="0.35">
      <c r="B49" s="144" t="s">
        <v>50</v>
      </c>
      <c r="C49" s="143">
        <f>SUMPRODUCT(('2019c'!$B$2:$B$323='(2019c)'!$B49)*('2019c'!$C$2:$C$323='(2019c)'!C$2)*('2019c'!$D$2:$D$323))</f>
        <v>2</v>
      </c>
      <c r="D49" s="143">
        <f>SUMPRODUCT(('2019c'!$B$2:$B$323='(2019c)'!$B49)*('2019c'!$C$2:$C$323='(2019c)'!D$2)*('2019c'!$D$2:$D$323))</f>
        <v>2</v>
      </c>
      <c r="E49" s="143">
        <f>SUMPRODUCT(('2019c'!$B$2:$B$323='(2019c)'!$B49)*('2019c'!$C$2:$C$323='(2019c)'!E$2)*('2019c'!$D$2:$D$323))</f>
        <v>15</v>
      </c>
      <c r="F49" s="143">
        <f>SUMPRODUCT(('2019c'!$B$2:$B$323='(2019c)'!$B49)*('2019c'!$C$2:$C$323='(2019c)'!F$2)*('2019c'!$D$2:$D$323))</f>
        <v>5.5</v>
      </c>
      <c r="G49" s="143">
        <f>SUMPRODUCT(('2019c'!$B$2:$B$323='(2019c)'!$B49)*('2019c'!$C$2:$C$323='(2019c)'!G$2)*('2019c'!$D$2:$D$323))</f>
        <v>32</v>
      </c>
      <c r="H49" s="143">
        <f t="shared" si="3"/>
        <v>56.5</v>
      </c>
    </row>
    <row r="50" spans="2:8" x14ac:dyDescent="0.35">
      <c r="B50" s="144" t="s">
        <v>52</v>
      </c>
      <c r="C50" s="143">
        <f>SUMPRODUCT(('2019c'!$B$2:$B$323='(2019c)'!$B50)*('2019c'!$C$2:$C$323='(2019c)'!C$2)*('2019c'!$D$2:$D$323))</f>
        <v>0</v>
      </c>
      <c r="D50" s="143">
        <f>SUMPRODUCT(('2019c'!$B$2:$B$323='(2019c)'!$B50)*('2019c'!$C$2:$C$323='(2019c)'!D$2)*('2019c'!$D$2:$D$323))</f>
        <v>1</v>
      </c>
      <c r="E50" s="143">
        <f>SUMPRODUCT(('2019c'!$B$2:$B$323='(2019c)'!$B50)*('2019c'!$C$2:$C$323='(2019c)'!E$2)*('2019c'!$D$2:$D$323))</f>
        <v>7.98</v>
      </c>
      <c r="F50" s="143">
        <f>SUMPRODUCT(('2019c'!$B$2:$B$323='(2019c)'!$B50)*('2019c'!$C$2:$C$323='(2019c)'!F$2)*('2019c'!$D$2:$D$323))</f>
        <v>11</v>
      </c>
      <c r="G50" s="143">
        <f>SUMPRODUCT(('2019c'!$B$2:$B$323='(2019c)'!$B50)*('2019c'!$C$2:$C$323='(2019c)'!G$2)*('2019c'!$D$2:$D$323))</f>
        <v>21.5</v>
      </c>
      <c r="H50" s="143">
        <f t="shared" si="3"/>
        <v>41.480000000000004</v>
      </c>
    </row>
    <row r="51" spans="2:8" x14ac:dyDescent="0.35">
      <c r="B51" s="144" t="s">
        <v>23</v>
      </c>
      <c r="C51" s="143">
        <f>SUMPRODUCT(('2019c'!$B$2:$B$323='(2019c)'!$B51)*('2019c'!$C$2:$C$323='(2019c)'!C$2)*('2019c'!$D$2:$D$323))</f>
        <v>1</v>
      </c>
      <c r="D51" s="143">
        <f>SUMPRODUCT(('2019c'!$B$2:$B$323='(2019c)'!$B51)*('2019c'!$C$2:$C$323='(2019c)'!D$2)*('2019c'!$D$2:$D$323))</f>
        <v>2</v>
      </c>
      <c r="E51" s="143">
        <f>SUMPRODUCT(('2019c'!$B$2:$B$323='(2019c)'!$B51)*('2019c'!$C$2:$C$323='(2019c)'!E$2)*('2019c'!$D$2:$D$323))</f>
        <v>9</v>
      </c>
      <c r="F51" s="143">
        <f>SUMPRODUCT(('2019c'!$B$2:$B$323='(2019c)'!$B51)*('2019c'!$C$2:$C$323='(2019c)'!F$2)*('2019c'!$D$2:$D$323))</f>
        <v>30.33</v>
      </c>
      <c r="G51" s="143">
        <f>SUMPRODUCT(('2019c'!$B$2:$B$323='(2019c)'!$B51)*('2019c'!$C$2:$C$323='(2019c)'!G$2)*('2019c'!$D$2:$D$323))</f>
        <v>57.4</v>
      </c>
      <c r="H51" s="143">
        <f t="shared" si="3"/>
        <v>99.72999999999999</v>
      </c>
    </row>
  </sheetData>
  <mergeCells count="1">
    <mergeCell ref="B1:H1"/>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13697-47C1-4C5B-A72D-78D93BA6BD69}">
  <sheetPr codeName="Sheet32"/>
  <dimension ref="A1:E323"/>
  <sheetViews>
    <sheetView workbookViewId="0">
      <selection activeCell="A4" sqref="A4:H4"/>
    </sheetView>
  </sheetViews>
  <sheetFormatPr defaultColWidth="9.1796875" defaultRowHeight="14.5" x14ac:dyDescent="0.35"/>
  <cols>
    <col min="1" max="1" width="22.453125" style="5" bestFit="1" customWidth="1"/>
    <col min="2" max="2" width="22.7265625" style="5" bestFit="1" customWidth="1"/>
    <col min="3" max="3" width="13.81640625" style="5" bestFit="1" customWidth="1"/>
    <col min="4" max="4" width="10.453125" style="5" bestFit="1" customWidth="1"/>
    <col min="5" max="5" width="5.54296875" style="5" bestFit="1" customWidth="1"/>
    <col min="6" max="16384" width="9.1796875" style="5"/>
  </cols>
  <sheetData>
    <row r="1" spans="1:5" x14ac:dyDescent="0.35">
      <c r="A1" s="5" t="s">
        <v>152</v>
      </c>
      <c r="B1" s="140" t="s">
        <v>61</v>
      </c>
      <c r="C1" s="140" t="s">
        <v>175</v>
      </c>
      <c r="D1" s="5" t="s">
        <v>176</v>
      </c>
    </row>
    <row r="2" spans="1:5" x14ac:dyDescent="0.35">
      <c r="A2" s="5">
        <v>2019</v>
      </c>
      <c r="B2" s="140" t="s">
        <v>7</v>
      </c>
      <c r="C2" s="140" t="s">
        <v>169</v>
      </c>
      <c r="D2" s="5">
        <v>4</v>
      </c>
    </row>
    <row r="3" spans="1:5" x14ac:dyDescent="0.35">
      <c r="A3" s="5">
        <v>2019</v>
      </c>
      <c r="B3" s="140" t="s">
        <v>7</v>
      </c>
      <c r="C3" s="140" t="s">
        <v>170</v>
      </c>
      <c r="D3" s="140">
        <v>4</v>
      </c>
      <c r="E3" s="140"/>
    </row>
    <row r="4" spans="1:5" x14ac:dyDescent="0.35">
      <c r="A4" s="5">
        <v>2019</v>
      </c>
      <c r="B4" s="140" t="s">
        <v>7</v>
      </c>
      <c r="C4" s="140" t="s">
        <v>171</v>
      </c>
      <c r="D4" s="140">
        <v>7</v>
      </c>
      <c r="E4" s="140"/>
    </row>
    <row r="5" spans="1:5" x14ac:dyDescent="0.35">
      <c r="A5" s="5">
        <v>2019</v>
      </c>
      <c r="B5" s="140" t="s">
        <v>7</v>
      </c>
      <c r="C5" s="140" t="s">
        <v>172</v>
      </c>
      <c r="D5" s="140">
        <v>19</v>
      </c>
      <c r="E5" s="140"/>
    </row>
    <row r="6" spans="1:5" x14ac:dyDescent="0.35">
      <c r="A6" s="5">
        <v>2019</v>
      </c>
      <c r="B6" s="140" t="s">
        <v>7</v>
      </c>
      <c r="C6" s="140" t="s">
        <v>173</v>
      </c>
      <c r="D6" s="140">
        <v>76.02</v>
      </c>
      <c r="E6" s="140"/>
    </row>
    <row r="7" spans="1:5" x14ac:dyDescent="0.35">
      <c r="A7" s="5">
        <v>2019</v>
      </c>
      <c r="B7" s="140" t="s">
        <v>7</v>
      </c>
      <c r="C7" s="140" t="s">
        <v>174</v>
      </c>
      <c r="D7" s="140">
        <v>60.5</v>
      </c>
      <c r="E7" s="140"/>
    </row>
    <row r="8" spans="1:5" x14ac:dyDescent="0.35">
      <c r="A8" s="5">
        <v>2019</v>
      </c>
      <c r="B8" s="140" t="s">
        <v>7</v>
      </c>
      <c r="C8" s="140" t="s">
        <v>78</v>
      </c>
      <c r="D8" s="140">
        <v>295.41000000000003</v>
      </c>
      <c r="E8" s="140"/>
    </row>
    <row r="9" spans="1:5" x14ac:dyDescent="0.35">
      <c r="A9" s="5">
        <v>2019</v>
      </c>
      <c r="B9" s="140" t="s">
        <v>8</v>
      </c>
      <c r="C9" s="140" t="s">
        <v>169</v>
      </c>
      <c r="D9" s="140">
        <v>2</v>
      </c>
      <c r="E9" s="140"/>
    </row>
    <row r="10" spans="1:5" x14ac:dyDescent="0.35">
      <c r="A10" s="5">
        <v>2019</v>
      </c>
      <c r="B10" s="140" t="s">
        <v>8</v>
      </c>
      <c r="C10" s="140" t="s">
        <v>170</v>
      </c>
      <c r="D10" s="140">
        <v>4</v>
      </c>
      <c r="E10" s="140"/>
    </row>
    <row r="11" spans="1:5" x14ac:dyDescent="0.35">
      <c r="A11" s="5">
        <v>2019</v>
      </c>
      <c r="B11" s="140" t="s">
        <v>8</v>
      </c>
      <c r="C11" s="140" t="s">
        <v>171</v>
      </c>
      <c r="D11" s="140">
        <v>10</v>
      </c>
      <c r="E11" s="140"/>
    </row>
    <row r="12" spans="1:5" x14ac:dyDescent="0.35">
      <c r="A12" s="5">
        <v>2019</v>
      </c>
      <c r="B12" s="140" t="s">
        <v>8</v>
      </c>
      <c r="C12" s="140" t="s">
        <v>172</v>
      </c>
      <c r="D12" s="140">
        <v>13</v>
      </c>
      <c r="E12" s="140"/>
    </row>
    <row r="13" spans="1:5" x14ac:dyDescent="0.35">
      <c r="A13" s="5">
        <v>2019</v>
      </c>
      <c r="B13" s="140" t="s">
        <v>8</v>
      </c>
      <c r="C13" s="140" t="s">
        <v>173</v>
      </c>
      <c r="D13" s="140">
        <v>37</v>
      </c>
      <c r="E13" s="140"/>
    </row>
    <row r="14" spans="1:5" x14ac:dyDescent="0.35">
      <c r="A14" s="5">
        <v>2019</v>
      </c>
      <c r="B14" s="140" t="s">
        <v>8</v>
      </c>
      <c r="C14" s="140" t="s">
        <v>174</v>
      </c>
      <c r="D14" s="140">
        <v>45</v>
      </c>
      <c r="E14" s="140"/>
    </row>
    <row r="15" spans="1:5" x14ac:dyDescent="0.35">
      <c r="A15" s="5">
        <v>2019</v>
      </c>
      <c r="B15" s="140" t="s">
        <v>8</v>
      </c>
      <c r="C15" s="140" t="s">
        <v>78</v>
      </c>
      <c r="D15" s="140">
        <v>170</v>
      </c>
      <c r="E15" s="140"/>
    </row>
    <row r="16" spans="1:5" x14ac:dyDescent="0.35">
      <c r="A16" s="5">
        <v>2019</v>
      </c>
      <c r="B16" s="140" t="s">
        <v>9</v>
      </c>
      <c r="C16" s="140" t="s">
        <v>169</v>
      </c>
      <c r="D16" s="140">
        <v>3</v>
      </c>
      <c r="E16" s="140"/>
    </row>
    <row r="17" spans="1:5" x14ac:dyDescent="0.35">
      <c r="A17" s="5">
        <v>2019</v>
      </c>
      <c r="B17" s="140" t="s">
        <v>9</v>
      </c>
      <c r="C17" s="140" t="s">
        <v>170</v>
      </c>
      <c r="D17" s="140">
        <v>2</v>
      </c>
      <c r="E17" s="140"/>
    </row>
    <row r="18" spans="1:5" x14ac:dyDescent="0.35">
      <c r="A18" s="5">
        <v>2019</v>
      </c>
      <c r="B18" s="140" t="s">
        <v>9</v>
      </c>
      <c r="C18" s="140" t="s">
        <v>171</v>
      </c>
      <c r="D18" s="140">
        <v>6</v>
      </c>
      <c r="E18" s="140"/>
    </row>
    <row r="19" spans="1:5" x14ac:dyDescent="0.35">
      <c r="A19" s="5">
        <v>2019</v>
      </c>
      <c r="B19" s="140" t="s">
        <v>9</v>
      </c>
      <c r="C19" s="140" t="s">
        <v>172</v>
      </c>
      <c r="D19" s="140">
        <v>17</v>
      </c>
      <c r="E19" s="140"/>
    </row>
    <row r="20" spans="1:5" x14ac:dyDescent="0.35">
      <c r="A20" s="5">
        <v>2019</v>
      </c>
      <c r="B20" s="140" t="s">
        <v>9</v>
      </c>
      <c r="C20" s="140" t="s">
        <v>173</v>
      </c>
      <c r="D20" s="140">
        <v>54</v>
      </c>
      <c r="E20" s="140"/>
    </row>
    <row r="21" spans="1:5" x14ac:dyDescent="0.35">
      <c r="A21" s="5">
        <v>2019</v>
      </c>
      <c r="B21" s="140" t="s">
        <v>9</v>
      </c>
      <c r="C21" s="140" t="s">
        <v>174</v>
      </c>
      <c r="D21" s="140">
        <v>61</v>
      </c>
      <c r="E21" s="140"/>
    </row>
    <row r="22" spans="1:5" x14ac:dyDescent="0.35">
      <c r="A22" s="5">
        <v>2019</v>
      </c>
      <c r="B22" s="140" t="s">
        <v>9</v>
      </c>
      <c r="C22" s="140" t="s">
        <v>78</v>
      </c>
      <c r="D22" s="140">
        <v>223</v>
      </c>
      <c r="E22" s="140"/>
    </row>
    <row r="23" spans="1:5" x14ac:dyDescent="0.35">
      <c r="A23" s="5">
        <v>2019</v>
      </c>
      <c r="B23" s="140" t="s">
        <v>10</v>
      </c>
      <c r="C23" s="140" t="s">
        <v>169</v>
      </c>
      <c r="D23" s="140">
        <v>2</v>
      </c>
      <c r="E23" s="140"/>
    </row>
    <row r="24" spans="1:5" x14ac:dyDescent="0.35">
      <c r="A24" s="5">
        <v>2019</v>
      </c>
      <c r="B24" s="140" t="s">
        <v>10</v>
      </c>
      <c r="C24" s="140" t="s">
        <v>170</v>
      </c>
      <c r="D24" s="140">
        <v>2</v>
      </c>
      <c r="E24" s="140"/>
    </row>
    <row r="25" spans="1:5" x14ac:dyDescent="0.35">
      <c r="A25" s="5">
        <v>2019</v>
      </c>
      <c r="B25" s="140" t="s">
        <v>10</v>
      </c>
      <c r="C25" s="140" t="s">
        <v>171</v>
      </c>
      <c r="D25" s="140">
        <v>6</v>
      </c>
      <c r="E25" s="140"/>
    </row>
    <row r="26" spans="1:5" x14ac:dyDescent="0.35">
      <c r="A26" s="5">
        <v>2019</v>
      </c>
      <c r="B26" s="140" t="s">
        <v>10</v>
      </c>
      <c r="C26" s="140" t="s">
        <v>172</v>
      </c>
      <c r="D26" s="140">
        <v>22</v>
      </c>
      <c r="E26" s="140"/>
    </row>
    <row r="27" spans="1:5" x14ac:dyDescent="0.35">
      <c r="A27" s="5">
        <v>2019</v>
      </c>
      <c r="B27" s="140" t="s">
        <v>10</v>
      </c>
      <c r="C27" s="140" t="s">
        <v>173</v>
      </c>
      <c r="D27" s="140">
        <v>34</v>
      </c>
      <c r="E27" s="140"/>
    </row>
    <row r="28" spans="1:5" x14ac:dyDescent="0.35">
      <c r="A28" s="5">
        <v>2019</v>
      </c>
      <c r="B28" s="140" t="s">
        <v>10</v>
      </c>
      <c r="C28" s="140" t="s">
        <v>174</v>
      </c>
      <c r="D28" s="140">
        <v>41</v>
      </c>
      <c r="E28" s="140"/>
    </row>
    <row r="29" spans="1:5" x14ac:dyDescent="0.35">
      <c r="A29" s="5">
        <v>2019</v>
      </c>
      <c r="B29" s="140" t="s">
        <v>10</v>
      </c>
      <c r="C29" s="140" t="s">
        <v>78</v>
      </c>
      <c r="D29" s="140">
        <v>129</v>
      </c>
      <c r="E29" s="140"/>
    </row>
    <row r="30" spans="1:5" x14ac:dyDescent="0.35">
      <c r="A30" s="5">
        <v>2019</v>
      </c>
      <c r="B30" s="140" t="s">
        <v>11</v>
      </c>
      <c r="C30" s="140" t="s">
        <v>169</v>
      </c>
      <c r="D30" s="140">
        <v>2</v>
      </c>
      <c r="E30" s="140"/>
    </row>
    <row r="31" spans="1:5" x14ac:dyDescent="0.35">
      <c r="A31" s="5">
        <v>2019</v>
      </c>
      <c r="B31" s="140" t="s">
        <v>11</v>
      </c>
      <c r="C31" s="140" t="s">
        <v>170</v>
      </c>
      <c r="D31" s="140">
        <v>3</v>
      </c>
      <c r="E31" s="140"/>
    </row>
    <row r="32" spans="1:5" x14ac:dyDescent="0.35">
      <c r="A32" s="5">
        <v>2019</v>
      </c>
      <c r="B32" s="140" t="s">
        <v>11</v>
      </c>
      <c r="C32" s="140" t="s">
        <v>171</v>
      </c>
      <c r="D32" s="140">
        <v>10</v>
      </c>
      <c r="E32" s="140"/>
    </row>
    <row r="33" spans="1:5" x14ac:dyDescent="0.35">
      <c r="A33" s="5">
        <v>2019</v>
      </c>
      <c r="B33" s="140" t="s">
        <v>11</v>
      </c>
      <c r="C33" s="140" t="s">
        <v>172</v>
      </c>
      <c r="D33" s="140">
        <v>25</v>
      </c>
      <c r="E33" s="140"/>
    </row>
    <row r="34" spans="1:5" x14ac:dyDescent="0.35">
      <c r="A34" s="5">
        <v>2019</v>
      </c>
      <c r="B34" s="140" t="s">
        <v>11</v>
      </c>
      <c r="C34" s="140" t="s">
        <v>173</v>
      </c>
      <c r="D34" s="140">
        <v>49</v>
      </c>
      <c r="E34" s="140"/>
    </row>
    <row r="35" spans="1:5" x14ac:dyDescent="0.35">
      <c r="A35" s="5">
        <v>2019</v>
      </c>
      <c r="B35" s="140" t="s">
        <v>11</v>
      </c>
      <c r="C35" s="140" t="s">
        <v>174</v>
      </c>
      <c r="D35" s="140">
        <v>27</v>
      </c>
      <c r="E35" s="140"/>
    </row>
    <row r="36" spans="1:5" x14ac:dyDescent="0.35">
      <c r="A36" s="5">
        <v>2019</v>
      </c>
      <c r="B36" s="140" t="s">
        <v>11</v>
      </c>
      <c r="C36" s="140" t="s">
        <v>78</v>
      </c>
      <c r="D36" s="140">
        <v>136.5</v>
      </c>
      <c r="E36" s="140"/>
    </row>
    <row r="37" spans="1:5" x14ac:dyDescent="0.35">
      <c r="A37" s="5">
        <v>2019</v>
      </c>
      <c r="B37" s="140" t="s">
        <v>12</v>
      </c>
      <c r="C37" s="140" t="s">
        <v>169</v>
      </c>
      <c r="D37" s="140">
        <v>3</v>
      </c>
      <c r="E37" s="140"/>
    </row>
    <row r="38" spans="1:5" x14ac:dyDescent="0.35">
      <c r="A38" s="5">
        <v>2019</v>
      </c>
      <c r="B38" s="140" t="s">
        <v>12</v>
      </c>
      <c r="C38" s="140" t="s">
        <v>170</v>
      </c>
      <c r="D38" s="140">
        <v>3</v>
      </c>
      <c r="E38" s="140"/>
    </row>
    <row r="39" spans="1:5" x14ac:dyDescent="0.35">
      <c r="A39" s="5">
        <v>2019</v>
      </c>
      <c r="B39" s="140" t="s">
        <v>12</v>
      </c>
      <c r="C39" s="140" t="s">
        <v>171</v>
      </c>
      <c r="D39" s="140">
        <v>7</v>
      </c>
      <c r="E39" s="140"/>
    </row>
    <row r="40" spans="1:5" x14ac:dyDescent="0.35">
      <c r="A40" s="5">
        <v>2019</v>
      </c>
      <c r="B40" s="140" t="s">
        <v>12</v>
      </c>
      <c r="C40" s="140" t="s">
        <v>172</v>
      </c>
      <c r="D40" s="140">
        <v>25</v>
      </c>
      <c r="E40" s="140"/>
    </row>
    <row r="41" spans="1:5" x14ac:dyDescent="0.35">
      <c r="A41" s="5">
        <v>2019</v>
      </c>
      <c r="B41" s="140" t="s">
        <v>12</v>
      </c>
      <c r="C41" s="140" t="s">
        <v>173</v>
      </c>
      <c r="D41" s="140">
        <v>63</v>
      </c>
      <c r="E41" s="140"/>
    </row>
    <row r="42" spans="1:5" x14ac:dyDescent="0.35">
      <c r="A42" s="5">
        <v>2019</v>
      </c>
      <c r="B42" s="140" t="s">
        <v>12</v>
      </c>
      <c r="C42" s="140" t="s">
        <v>174</v>
      </c>
      <c r="D42" s="140">
        <v>58</v>
      </c>
      <c r="E42" s="140"/>
    </row>
    <row r="43" spans="1:5" x14ac:dyDescent="0.35">
      <c r="A43" s="5">
        <v>2019</v>
      </c>
      <c r="B43" s="140" t="s">
        <v>12</v>
      </c>
      <c r="C43" s="140" t="s">
        <v>78</v>
      </c>
      <c r="D43" s="140">
        <v>255</v>
      </c>
      <c r="E43" s="140"/>
    </row>
    <row r="44" spans="1:5" x14ac:dyDescent="0.35">
      <c r="A44" s="5">
        <v>2019</v>
      </c>
      <c r="B44" s="140" t="s">
        <v>13</v>
      </c>
      <c r="C44" s="140" t="s">
        <v>169</v>
      </c>
      <c r="D44" s="140">
        <v>2</v>
      </c>
      <c r="E44" s="140"/>
    </row>
    <row r="45" spans="1:5" x14ac:dyDescent="0.35">
      <c r="A45" s="5">
        <v>2019</v>
      </c>
      <c r="B45" s="140" t="s">
        <v>13</v>
      </c>
      <c r="C45" s="140" t="s">
        <v>170</v>
      </c>
      <c r="D45" s="140">
        <v>2</v>
      </c>
      <c r="E45" s="140"/>
    </row>
    <row r="46" spans="1:5" x14ac:dyDescent="0.35">
      <c r="A46" s="5">
        <v>2019</v>
      </c>
      <c r="B46" s="140" t="s">
        <v>13</v>
      </c>
      <c r="C46" s="140" t="s">
        <v>171</v>
      </c>
      <c r="D46" s="140">
        <v>5</v>
      </c>
      <c r="E46" s="140"/>
    </row>
    <row r="47" spans="1:5" x14ac:dyDescent="0.35">
      <c r="A47" s="5">
        <v>2019</v>
      </c>
      <c r="B47" s="140" t="s">
        <v>13</v>
      </c>
      <c r="C47" s="140" t="s">
        <v>172</v>
      </c>
      <c r="D47" s="140">
        <v>16</v>
      </c>
      <c r="E47" s="140"/>
    </row>
    <row r="48" spans="1:5" x14ac:dyDescent="0.35">
      <c r="A48" s="5">
        <v>2019</v>
      </c>
      <c r="B48" s="140" t="s">
        <v>13</v>
      </c>
      <c r="C48" s="140" t="s">
        <v>173</v>
      </c>
      <c r="D48" s="140">
        <v>49</v>
      </c>
      <c r="E48" s="140"/>
    </row>
    <row r="49" spans="1:5" x14ac:dyDescent="0.35">
      <c r="A49" s="5">
        <v>2019</v>
      </c>
      <c r="B49" s="5" t="s">
        <v>13</v>
      </c>
      <c r="C49" s="140" t="s">
        <v>174</v>
      </c>
      <c r="D49" s="140">
        <v>53</v>
      </c>
      <c r="E49" s="140"/>
    </row>
    <row r="50" spans="1:5" x14ac:dyDescent="0.35">
      <c r="A50" s="5">
        <v>2019</v>
      </c>
      <c r="B50" s="5" t="s">
        <v>13</v>
      </c>
      <c r="C50" s="140" t="s">
        <v>78</v>
      </c>
      <c r="D50" s="140">
        <v>199</v>
      </c>
      <c r="E50" s="140"/>
    </row>
    <row r="51" spans="1:5" x14ac:dyDescent="0.35">
      <c r="A51" s="5">
        <v>2019</v>
      </c>
      <c r="B51" s="5" t="s">
        <v>14</v>
      </c>
      <c r="C51" s="140" t="s">
        <v>169</v>
      </c>
      <c r="D51" s="140">
        <v>2</v>
      </c>
      <c r="E51" s="140"/>
    </row>
    <row r="52" spans="1:5" x14ac:dyDescent="0.35">
      <c r="A52" s="5">
        <v>2019</v>
      </c>
      <c r="B52" s="5" t="s">
        <v>14</v>
      </c>
      <c r="C52" s="140" t="s">
        <v>170</v>
      </c>
      <c r="D52" s="5">
        <v>4</v>
      </c>
    </row>
    <row r="53" spans="1:5" x14ac:dyDescent="0.35">
      <c r="A53" s="5">
        <v>2019</v>
      </c>
      <c r="B53" s="5" t="s">
        <v>14</v>
      </c>
      <c r="C53" s="140" t="s">
        <v>171</v>
      </c>
      <c r="D53" s="5">
        <v>5</v>
      </c>
    </row>
    <row r="54" spans="1:5" x14ac:dyDescent="0.35">
      <c r="A54" s="5">
        <v>2019</v>
      </c>
      <c r="B54" s="5" t="s">
        <v>14</v>
      </c>
      <c r="C54" s="140" t="s">
        <v>172</v>
      </c>
      <c r="D54" s="5">
        <v>17</v>
      </c>
    </row>
    <row r="55" spans="1:5" x14ac:dyDescent="0.35">
      <c r="A55" s="5">
        <v>2019</v>
      </c>
      <c r="B55" s="5" t="s">
        <v>14</v>
      </c>
      <c r="C55" s="140" t="s">
        <v>173</v>
      </c>
      <c r="D55" s="5">
        <v>37.5</v>
      </c>
    </row>
    <row r="56" spans="1:5" x14ac:dyDescent="0.35">
      <c r="A56" s="5">
        <v>2019</v>
      </c>
      <c r="B56" s="5" t="s">
        <v>14</v>
      </c>
      <c r="C56" s="140" t="s">
        <v>174</v>
      </c>
      <c r="D56" s="5">
        <v>20</v>
      </c>
    </row>
    <row r="57" spans="1:5" x14ac:dyDescent="0.35">
      <c r="A57" s="5">
        <v>2019</v>
      </c>
      <c r="B57" s="5" t="s">
        <v>14</v>
      </c>
      <c r="C57" s="140" t="s">
        <v>78</v>
      </c>
      <c r="D57" s="5">
        <v>105</v>
      </c>
    </row>
    <row r="58" spans="1:5" x14ac:dyDescent="0.35">
      <c r="A58" s="5">
        <v>2019</v>
      </c>
      <c r="B58" s="5" t="s">
        <v>15</v>
      </c>
      <c r="C58" s="140" t="s">
        <v>169</v>
      </c>
      <c r="D58" s="5">
        <v>2</v>
      </c>
    </row>
    <row r="59" spans="1:5" x14ac:dyDescent="0.35">
      <c r="A59" s="5">
        <v>2019</v>
      </c>
      <c r="B59" s="5" t="s">
        <v>15</v>
      </c>
      <c r="C59" s="140" t="s">
        <v>170</v>
      </c>
      <c r="D59" s="5">
        <v>4</v>
      </c>
    </row>
    <row r="60" spans="1:5" x14ac:dyDescent="0.35">
      <c r="A60" s="5">
        <v>2019</v>
      </c>
      <c r="B60" s="5" t="s">
        <v>15</v>
      </c>
      <c r="C60" s="140" t="s">
        <v>171</v>
      </c>
      <c r="D60" s="5">
        <v>10</v>
      </c>
    </row>
    <row r="61" spans="1:5" x14ac:dyDescent="0.35">
      <c r="A61" s="5">
        <v>2019</v>
      </c>
      <c r="B61" s="5" t="s">
        <v>15</v>
      </c>
      <c r="C61" s="140" t="s">
        <v>172</v>
      </c>
      <c r="D61" s="5">
        <v>17</v>
      </c>
    </row>
    <row r="62" spans="1:5" x14ac:dyDescent="0.35">
      <c r="A62" s="5">
        <v>2019</v>
      </c>
      <c r="B62" s="5" t="s">
        <v>15</v>
      </c>
      <c r="C62" s="140" t="s">
        <v>173</v>
      </c>
      <c r="D62" s="5">
        <v>26</v>
      </c>
    </row>
    <row r="63" spans="1:5" x14ac:dyDescent="0.35">
      <c r="A63" s="5">
        <v>2019</v>
      </c>
      <c r="B63" s="5" t="s">
        <v>15</v>
      </c>
      <c r="C63" s="140" t="s">
        <v>174</v>
      </c>
      <c r="D63" s="5">
        <v>25.13</v>
      </c>
    </row>
    <row r="64" spans="1:5" x14ac:dyDescent="0.35">
      <c r="A64" s="5">
        <v>2019</v>
      </c>
      <c r="B64" s="5" t="s">
        <v>15</v>
      </c>
      <c r="C64" s="140" t="s">
        <v>78</v>
      </c>
      <c r="D64" s="5">
        <v>122</v>
      </c>
    </row>
    <row r="65" spans="1:4" x14ac:dyDescent="0.35">
      <c r="A65" s="5">
        <v>2019</v>
      </c>
      <c r="B65" s="5" t="s">
        <v>16</v>
      </c>
      <c r="C65" s="140" t="s">
        <v>169</v>
      </c>
      <c r="D65" s="5">
        <v>2</v>
      </c>
    </row>
    <row r="66" spans="1:4" x14ac:dyDescent="0.35">
      <c r="A66" s="5">
        <v>2019</v>
      </c>
      <c r="B66" s="5" t="s">
        <v>16</v>
      </c>
      <c r="C66" s="140" t="s">
        <v>170</v>
      </c>
      <c r="D66" s="5">
        <v>3</v>
      </c>
    </row>
    <row r="67" spans="1:4" x14ac:dyDescent="0.35">
      <c r="A67" s="5">
        <v>2019</v>
      </c>
      <c r="B67" s="5" t="s">
        <v>16</v>
      </c>
      <c r="C67" s="140" t="s">
        <v>171</v>
      </c>
      <c r="D67" s="5">
        <v>9</v>
      </c>
    </row>
    <row r="68" spans="1:4" x14ac:dyDescent="0.35">
      <c r="A68" s="5">
        <v>2019</v>
      </c>
      <c r="B68" s="5" t="s">
        <v>16</v>
      </c>
      <c r="C68" s="140" t="s">
        <v>172</v>
      </c>
      <c r="D68" s="5">
        <v>20</v>
      </c>
    </row>
    <row r="69" spans="1:4" x14ac:dyDescent="0.35">
      <c r="A69" s="5">
        <v>2019</v>
      </c>
      <c r="B69" s="5" t="s">
        <v>16</v>
      </c>
      <c r="C69" s="140" t="s">
        <v>173</v>
      </c>
      <c r="D69" s="5">
        <v>58</v>
      </c>
    </row>
    <row r="70" spans="1:4" x14ac:dyDescent="0.35">
      <c r="A70" s="5">
        <v>2019</v>
      </c>
      <c r="B70" s="5" t="s">
        <v>16</v>
      </c>
      <c r="C70" s="140" t="s">
        <v>174</v>
      </c>
      <c r="D70" s="5">
        <v>61</v>
      </c>
    </row>
    <row r="71" spans="1:4" x14ac:dyDescent="0.35">
      <c r="A71" s="5">
        <v>2019</v>
      </c>
      <c r="B71" s="5" t="s">
        <v>16</v>
      </c>
      <c r="C71" s="140" t="s">
        <v>78</v>
      </c>
      <c r="D71" s="5">
        <v>196</v>
      </c>
    </row>
    <row r="72" spans="1:4" x14ac:dyDescent="0.35">
      <c r="A72" s="5">
        <v>2019</v>
      </c>
      <c r="B72" s="5" t="s">
        <v>17</v>
      </c>
      <c r="C72" s="140" t="s">
        <v>169</v>
      </c>
      <c r="D72" s="5">
        <v>3</v>
      </c>
    </row>
    <row r="73" spans="1:4" x14ac:dyDescent="0.35">
      <c r="A73" s="5">
        <v>2019</v>
      </c>
      <c r="B73" s="5" t="s">
        <v>17</v>
      </c>
      <c r="C73" s="140" t="s">
        <v>170</v>
      </c>
      <c r="D73" s="5">
        <v>7</v>
      </c>
    </row>
    <row r="74" spans="1:4" x14ac:dyDescent="0.35">
      <c r="A74" s="5">
        <v>2019</v>
      </c>
      <c r="B74" s="5" t="s">
        <v>17</v>
      </c>
      <c r="C74" s="140" t="s">
        <v>171</v>
      </c>
      <c r="D74" s="5">
        <v>26</v>
      </c>
    </row>
    <row r="75" spans="1:4" x14ac:dyDescent="0.35">
      <c r="A75" s="5">
        <v>2019</v>
      </c>
      <c r="B75" s="5" t="s">
        <v>17</v>
      </c>
      <c r="C75" s="140" t="s">
        <v>172</v>
      </c>
      <c r="D75" s="5">
        <v>51.5</v>
      </c>
    </row>
    <row r="76" spans="1:4" x14ac:dyDescent="0.35">
      <c r="A76" s="5">
        <v>2019</v>
      </c>
      <c r="B76" s="5" t="s">
        <v>17</v>
      </c>
      <c r="C76" s="140" t="s">
        <v>173</v>
      </c>
      <c r="D76" s="5">
        <v>110.8</v>
      </c>
    </row>
    <row r="77" spans="1:4" x14ac:dyDescent="0.35">
      <c r="A77" s="5">
        <v>2019</v>
      </c>
      <c r="B77" s="5" t="s">
        <v>17</v>
      </c>
      <c r="C77" s="140" t="s">
        <v>174</v>
      </c>
      <c r="D77" s="5">
        <v>74.5</v>
      </c>
    </row>
    <row r="78" spans="1:4" x14ac:dyDescent="0.35">
      <c r="A78" s="5">
        <v>2019</v>
      </c>
      <c r="B78" s="5" t="s">
        <v>17</v>
      </c>
      <c r="C78" s="140" t="s">
        <v>78</v>
      </c>
      <c r="D78" s="5">
        <v>249.5</v>
      </c>
    </row>
    <row r="79" spans="1:4" x14ac:dyDescent="0.35">
      <c r="A79" s="5">
        <v>2019</v>
      </c>
      <c r="B79" s="5" t="s">
        <v>19</v>
      </c>
      <c r="C79" s="140" t="s">
        <v>169</v>
      </c>
      <c r="D79" s="5">
        <v>3</v>
      </c>
    </row>
    <row r="80" spans="1:4" x14ac:dyDescent="0.35">
      <c r="A80" s="5">
        <v>2019</v>
      </c>
      <c r="B80" s="5" t="s">
        <v>19</v>
      </c>
      <c r="C80" s="140" t="s">
        <v>170</v>
      </c>
      <c r="D80" s="5">
        <v>3</v>
      </c>
    </row>
    <row r="81" spans="1:4" x14ac:dyDescent="0.35">
      <c r="A81" s="5">
        <v>2019</v>
      </c>
      <c r="B81" s="5" t="s">
        <v>19</v>
      </c>
      <c r="C81" s="140" t="s">
        <v>171</v>
      </c>
      <c r="D81" s="5">
        <v>4</v>
      </c>
    </row>
    <row r="82" spans="1:4" x14ac:dyDescent="0.35">
      <c r="A82" s="5">
        <v>2019</v>
      </c>
      <c r="B82" s="5" t="s">
        <v>19</v>
      </c>
      <c r="C82" s="140" t="s">
        <v>172</v>
      </c>
      <c r="D82" s="5">
        <v>23</v>
      </c>
    </row>
    <row r="83" spans="1:4" x14ac:dyDescent="0.35">
      <c r="A83" s="5">
        <v>2019</v>
      </c>
      <c r="B83" s="5" t="s">
        <v>19</v>
      </c>
      <c r="C83" s="140" t="s">
        <v>173</v>
      </c>
      <c r="D83" s="5">
        <v>37</v>
      </c>
    </row>
    <row r="84" spans="1:4" x14ac:dyDescent="0.35">
      <c r="A84" s="5">
        <v>2019</v>
      </c>
      <c r="B84" s="5" t="s">
        <v>19</v>
      </c>
      <c r="C84" s="140" t="s">
        <v>174</v>
      </c>
      <c r="D84" s="5">
        <v>52</v>
      </c>
    </row>
    <row r="85" spans="1:4" x14ac:dyDescent="0.35">
      <c r="A85" s="5">
        <v>2019</v>
      </c>
      <c r="B85" s="5" t="s">
        <v>19</v>
      </c>
      <c r="C85" s="140" t="s">
        <v>78</v>
      </c>
      <c r="D85" s="5">
        <v>173</v>
      </c>
    </row>
    <row r="86" spans="1:4" x14ac:dyDescent="0.35">
      <c r="A86" s="5">
        <v>2019</v>
      </c>
      <c r="B86" s="5" t="s">
        <v>20</v>
      </c>
      <c r="C86" s="140" t="s">
        <v>169</v>
      </c>
      <c r="D86" s="5">
        <v>3</v>
      </c>
    </row>
    <row r="87" spans="1:4" x14ac:dyDescent="0.35">
      <c r="A87" s="5">
        <v>2019</v>
      </c>
      <c r="B87" s="5" t="s">
        <v>20</v>
      </c>
      <c r="C87" s="140" t="s">
        <v>170</v>
      </c>
      <c r="D87" s="5">
        <v>3</v>
      </c>
    </row>
    <row r="88" spans="1:4" x14ac:dyDescent="0.35">
      <c r="A88" s="5">
        <v>2019</v>
      </c>
      <c r="B88" s="5" t="s">
        <v>20</v>
      </c>
      <c r="C88" s="140" t="s">
        <v>171</v>
      </c>
      <c r="D88" s="5">
        <v>8</v>
      </c>
    </row>
    <row r="89" spans="1:4" x14ac:dyDescent="0.35">
      <c r="A89" s="5">
        <v>2019</v>
      </c>
      <c r="B89" s="5" t="s">
        <v>20</v>
      </c>
      <c r="C89" s="140" t="s">
        <v>172</v>
      </c>
      <c r="D89" s="5">
        <v>25</v>
      </c>
    </row>
    <row r="90" spans="1:4" x14ac:dyDescent="0.35">
      <c r="A90" s="5">
        <v>2019</v>
      </c>
      <c r="B90" s="5" t="s">
        <v>20</v>
      </c>
      <c r="C90" s="140" t="s">
        <v>173</v>
      </c>
      <c r="D90" s="5">
        <v>55.5</v>
      </c>
    </row>
    <row r="91" spans="1:4" x14ac:dyDescent="0.35">
      <c r="A91" s="5">
        <v>2019</v>
      </c>
      <c r="B91" s="5" t="s">
        <v>20</v>
      </c>
      <c r="C91" s="140" t="s">
        <v>174</v>
      </c>
      <c r="D91" s="5">
        <v>58.5</v>
      </c>
    </row>
    <row r="92" spans="1:4" x14ac:dyDescent="0.35">
      <c r="A92" s="5">
        <v>2019</v>
      </c>
      <c r="B92" s="5" t="s">
        <v>20</v>
      </c>
      <c r="C92" s="140" t="s">
        <v>78</v>
      </c>
      <c r="D92" s="5">
        <v>197.5</v>
      </c>
    </row>
    <row r="93" spans="1:4" x14ac:dyDescent="0.35">
      <c r="A93" s="5">
        <v>2019</v>
      </c>
      <c r="B93" s="5" t="s">
        <v>21</v>
      </c>
      <c r="C93" s="140" t="s">
        <v>169</v>
      </c>
      <c r="D93" s="5">
        <v>1</v>
      </c>
    </row>
    <row r="94" spans="1:4" x14ac:dyDescent="0.35">
      <c r="A94" s="5">
        <v>2019</v>
      </c>
      <c r="B94" s="5" t="s">
        <v>21</v>
      </c>
      <c r="C94" s="140" t="s">
        <v>170</v>
      </c>
      <c r="D94" s="5">
        <v>4</v>
      </c>
    </row>
    <row r="95" spans="1:4" x14ac:dyDescent="0.35">
      <c r="A95" s="5">
        <v>2019</v>
      </c>
      <c r="B95" s="5" t="s">
        <v>21</v>
      </c>
      <c r="C95" s="140" t="s">
        <v>171</v>
      </c>
      <c r="D95" s="5">
        <v>13</v>
      </c>
    </row>
    <row r="96" spans="1:4" x14ac:dyDescent="0.35">
      <c r="A96" s="5">
        <v>2019</v>
      </c>
      <c r="B96" s="5" t="s">
        <v>21</v>
      </c>
      <c r="C96" s="140" t="s">
        <v>172</v>
      </c>
      <c r="D96" s="5">
        <v>39</v>
      </c>
    </row>
    <row r="97" spans="1:4" x14ac:dyDescent="0.35">
      <c r="A97" s="5">
        <v>2019</v>
      </c>
      <c r="B97" s="5" t="s">
        <v>21</v>
      </c>
      <c r="C97" s="140" t="s">
        <v>173</v>
      </c>
      <c r="D97" s="5">
        <v>118</v>
      </c>
    </row>
    <row r="98" spans="1:4" x14ac:dyDescent="0.35">
      <c r="A98" s="5">
        <v>2019</v>
      </c>
      <c r="B98" s="5" t="s">
        <v>21</v>
      </c>
      <c r="C98" s="140" t="s">
        <v>174</v>
      </c>
      <c r="D98" s="5">
        <v>85</v>
      </c>
    </row>
    <row r="99" spans="1:4" x14ac:dyDescent="0.35">
      <c r="A99" s="5">
        <v>2019</v>
      </c>
      <c r="B99" s="5" t="s">
        <v>21</v>
      </c>
      <c r="C99" s="140" t="s">
        <v>78</v>
      </c>
      <c r="D99" s="5">
        <v>368</v>
      </c>
    </row>
    <row r="100" spans="1:4" x14ac:dyDescent="0.35">
      <c r="A100" s="5">
        <v>2019</v>
      </c>
      <c r="B100" s="5" t="s">
        <v>22</v>
      </c>
      <c r="C100" s="140" t="s">
        <v>169</v>
      </c>
      <c r="D100" s="5">
        <v>3</v>
      </c>
    </row>
    <row r="101" spans="1:4" x14ac:dyDescent="0.35">
      <c r="A101" s="5">
        <v>2019</v>
      </c>
      <c r="B101" s="5" t="s">
        <v>22</v>
      </c>
      <c r="C101" s="140" t="s">
        <v>170</v>
      </c>
      <c r="D101" s="5">
        <v>4</v>
      </c>
    </row>
    <row r="102" spans="1:4" x14ac:dyDescent="0.35">
      <c r="A102" s="5">
        <v>2019</v>
      </c>
      <c r="B102" s="5" t="s">
        <v>22</v>
      </c>
      <c r="C102" s="140" t="s">
        <v>171</v>
      </c>
      <c r="D102" s="5">
        <v>6</v>
      </c>
    </row>
    <row r="103" spans="1:4" x14ac:dyDescent="0.35">
      <c r="A103" s="5">
        <v>2019</v>
      </c>
      <c r="B103" s="5" t="s">
        <v>22</v>
      </c>
      <c r="C103" s="140" t="s">
        <v>172</v>
      </c>
      <c r="D103" s="5">
        <v>17</v>
      </c>
    </row>
    <row r="104" spans="1:4" x14ac:dyDescent="0.35">
      <c r="A104" s="5">
        <v>2019</v>
      </c>
      <c r="B104" s="5" t="s">
        <v>22</v>
      </c>
      <c r="C104" s="140" t="s">
        <v>173</v>
      </c>
      <c r="D104" s="5">
        <v>19</v>
      </c>
    </row>
    <row r="105" spans="1:4" x14ac:dyDescent="0.35">
      <c r="A105" s="5">
        <v>2019</v>
      </c>
      <c r="B105" s="5" t="s">
        <v>22</v>
      </c>
      <c r="C105" s="140" t="s">
        <v>174</v>
      </c>
      <c r="D105" s="5">
        <v>32</v>
      </c>
    </row>
    <row r="106" spans="1:4" x14ac:dyDescent="0.35">
      <c r="A106" s="5">
        <v>2019</v>
      </c>
      <c r="B106" s="5" t="s">
        <v>22</v>
      </c>
      <c r="C106" s="140" t="s">
        <v>78</v>
      </c>
      <c r="D106" s="5">
        <v>88.89</v>
      </c>
    </row>
    <row r="107" spans="1:4" x14ac:dyDescent="0.35">
      <c r="A107" s="5">
        <v>2019</v>
      </c>
      <c r="B107" s="5" t="s">
        <v>23</v>
      </c>
      <c r="C107" s="140" t="s">
        <v>169</v>
      </c>
      <c r="D107" s="5">
        <v>1</v>
      </c>
    </row>
    <row r="108" spans="1:4" x14ac:dyDescent="0.35">
      <c r="A108" s="5">
        <v>2019</v>
      </c>
      <c r="B108" s="5" t="s">
        <v>23</v>
      </c>
      <c r="C108" s="140" t="s">
        <v>170</v>
      </c>
      <c r="D108" s="5">
        <v>26</v>
      </c>
    </row>
    <row r="109" spans="1:4" x14ac:dyDescent="0.35">
      <c r="A109" s="5">
        <v>2019</v>
      </c>
      <c r="B109" s="5" t="s">
        <v>23</v>
      </c>
      <c r="C109" s="140" t="s">
        <v>171</v>
      </c>
      <c r="D109" s="5">
        <v>67</v>
      </c>
    </row>
    <row r="110" spans="1:4" x14ac:dyDescent="0.35">
      <c r="A110" s="5">
        <v>2019</v>
      </c>
      <c r="B110" s="5" t="s">
        <v>23</v>
      </c>
      <c r="C110" s="140" t="s">
        <v>172</v>
      </c>
      <c r="D110" s="5">
        <v>154</v>
      </c>
    </row>
    <row r="111" spans="1:4" x14ac:dyDescent="0.35">
      <c r="A111" s="5">
        <v>2019</v>
      </c>
      <c r="B111" s="5" t="s">
        <v>23</v>
      </c>
      <c r="C111" s="140" t="s">
        <v>173</v>
      </c>
      <c r="D111" s="5">
        <v>686.42</v>
      </c>
    </row>
    <row r="112" spans="1:4" x14ac:dyDescent="0.35">
      <c r="A112" s="5">
        <v>2019</v>
      </c>
      <c r="B112" s="5" t="s">
        <v>23</v>
      </c>
      <c r="C112" s="140" t="s">
        <v>174</v>
      </c>
      <c r="D112" s="5">
        <v>548.82000000000005</v>
      </c>
    </row>
    <row r="113" spans="1:4" x14ac:dyDescent="0.35">
      <c r="A113" s="5">
        <v>2019</v>
      </c>
      <c r="B113" s="5" t="s">
        <v>23</v>
      </c>
      <c r="C113" s="140" t="s">
        <v>78</v>
      </c>
      <c r="D113" s="5">
        <v>3187.27</v>
      </c>
    </row>
    <row r="114" spans="1:4" x14ac:dyDescent="0.35">
      <c r="A114" s="5">
        <v>2019</v>
      </c>
      <c r="B114" s="5" t="s">
        <v>24</v>
      </c>
      <c r="C114" s="140" t="s">
        <v>169</v>
      </c>
      <c r="D114" s="5">
        <v>5</v>
      </c>
    </row>
    <row r="115" spans="1:4" x14ac:dyDescent="0.35">
      <c r="A115" s="5">
        <v>2019</v>
      </c>
      <c r="B115" s="5" t="s">
        <v>24</v>
      </c>
      <c r="C115" s="140" t="s">
        <v>170</v>
      </c>
      <c r="D115" s="5">
        <v>6</v>
      </c>
    </row>
    <row r="116" spans="1:4" x14ac:dyDescent="0.35">
      <c r="A116" s="5">
        <v>2019</v>
      </c>
      <c r="B116" s="5" t="s">
        <v>24</v>
      </c>
      <c r="C116" s="140" t="s">
        <v>171</v>
      </c>
      <c r="D116" s="5">
        <v>13</v>
      </c>
    </row>
    <row r="117" spans="1:4" x14ac:dyDescent="0.35">
      <c r="A117" s="5">
        <v>2019</v>
      </c>
      <c r="B117" s="5" t="s">
        <v>24</v>
      </c>
      <c r="C117" s="140" t="s">
        <v>172</v>
      </c>
      <c r="D117" s="5">
        <v>57</v>
      </c>
    </row>
    <row r="118" spans="1:4" x14ac:dyDescent="0.35">
      <c r="A118" s="5">
        <v>2019</v>
      </c>
      <c r="B118" s="5" t="s">
        <v>24</v>
      </c>
      <c r="C118" s="140" t="s">
        <v>173</v>
      </c>
      <c r="D118" s="5">
        <v>208</v>
      </c>
    </row>
    <row r="119" spans="1:4" x14ac:dyDescent="0.35">
      <c r="A119" s="5">
        <v>2019</v>
      </c>
      <c r="B119" s="5" t="s">
        <v>24</v>
      </c>
      <c r="C119" s="140" t="s">
        <v>174</v>
      </c>
      <c r="D119" s="5">
        <v>179</v>
      </c>
    </row>
    <row r="120" spans="1:4" x14ac:dyDescent="0.35">
      <c r="A120" s="5">
        <v>2019</v>
      </c>
      <c r="B120" s="5" t="s">
        <v>24</v>
      </c>
      <c r="C120" s="140" t="s">
        <v>78</v>
      </c>
      <c r="D120" s="5">
        <v>895.19</v>
      </c>
    </row>
    <row r="121" spans="1:4" x14ac:dyDescent="0.35">
      <c r="A121" s="5">
        <v>2019</v>
      </c>
      <c r="B121" s="5" t="s">
        <v>25</v>
      </c>
      <c r="C121" s="140" t="s">
        <v>169</v>
      </c>
      <c r="D121" s="5">
        <v>4</v>
      </c>
    </row>
    <row r="122" spans="1:4" x14ac:dyDescent="0.35">
      <c r="A122" s="5">
        <v>2019</v>
      </c>
      <c r="B122" s="5" t="s">
        <v>25</v>
      </c>
      <c r="C122" s="140" t="s">
        <v>170</v>
      </c>
      <c r="D122" s="5">
        <v>5</v>
      </c>
    </row>
    <row r="123" spans="1:4" x14ac:dyDescent="0.35">
      <c r="A123" s="5">
        <v>2019</v>
      </c>
      <c r="B123" s="5" t="s">
        <v>25</v>
      </c>
      <c r="C123" s="140" t="s">
        <v>171</v>
      </c>
      <c r="D123" s="5">
        <v>18</v>
      </c>
    </row>
    <row r="124" spans="1:4" x14ac:dyDescent="0.35">
      <c r="A124" s="5">
        <v>2019</v>
      </c>
      <c r="B124" s="5" t="s">
        <v>25</v>
      </c>
      <c r="C124" s="140" t="s">
        <v>172</v>
      </c>
      <c r="D124" s="5">
        <v>36.5</v>
      </c>
    </row>
    <row r="125" spans="1:4" x14ac:dyDescent="0.35">
      <c r="A125" s="5">
        <v>2019</v>
      </c>
      <c r="B125" s="5" t="s">
        <v>25</v>
      </c>
      <c r="C125" s="140" t="s">
        <v>173</v>
      </c>
      <c r="D125" s="5">
        <v>91</v>
      </c>
    </row>
    <row r="126" spans="1:4" x14ac:dyDescent="0.35">
      <c r="A126" s="5">
        <v>2019</v>
      </c>
      <c r="B126" s="5" t="s">
        <v>25</v>
      </c>
      <c r="C126" s="140" t="s">
        <v>174</v>
      </c>
      <c r="D126" s="5">
        <v>96.5</v>
      </c>
    </row>
    <row r="127" spans="1:4" x14ac:dyDescent="0.35">
      <c r="A127" s="5">
        <v>2019</v>
      </c>
      <c r="B127" s="5" t="s">
        <v>25</v>
      </c>
      <c r="C127" s="140" t="s">
        <v>78</v>
      </c>
      <c r="D127" s="5">
        <v>399.04500000000002</v>
      </c>
    </row>
    <row r="128" spans="1:4" x14ac:dyDescent="0.35">
      <c r="A128" s="5">
        <v>2019</v>
      </c>
      <c r="B128" s="5" t="s">
        <v>26</v>
      </c>
      <c r="C128" s="140" t="s">
        <v>169</v>
      </c>
      <c r="D128" s="5">
        <v>3</v>
      </c>
    </row>
    <row r="129" spans="1:4" x14ac:dyDescent="0.35">
      <c r="A129" s="5">
        <v>2019</v>
      </c>
      <c r="B129" s="5" t="s">
        <v>26</v>
      </c>
      <c r="C129" s="140" t="s">
        <v>170</v>
      </c>
      <c r="D129" s="5">
        <v>3</v>
      </c>
    </row>
    <row r="130" spans="1:4" x14ac:dyDescent="0.35">
      <c r="A130" s="5">
        <v>2019</v>
      </c>
      <c r="B130" s="5" t="s">
        <v>26</v>
      </c>
      <c r="C130" s="140" t="s">
        <v>171</v>
      </c>
      <c r="D130" s="5">
        <v>11</v>
      </c>
    </row>
    <row r="131" spans="1:4" x14ac:dyDescent="0.35">
      <c r="A131" s="5">
        <v>2019</v>
      </c>
      <c r="B131" s="5" t="s">
        <v>26</v>
      </c>
      <c r="C131" s="140" t="s">
        <v>172</v>
      </c>
      <c r="D131" s="5">
        <v>17</v>
      </c>
    </row>
    <row r="132" spans="1:4" x14ac:dyDescent="0.35">
      <c r="A132" s="5">
        <v>2019</v>
      </c>
      <c r="B132" s="5" t="s">
        <v>26</v>
      </c>
      <c r="C132" s="140" t="s">
        <v>173</v>
      </c>
      <c r="D132" s="5">
        <v>45</v>
      </c>
    </row>
    <row r="133" spans="1:4" x14ac:dyDescent="0.35">
      <c r="A133" s="5">
        <v>2019</v>
      </c>
      <c r="B133" s="5" t="s">
        <v>26</v>
      </c>
      <c r="C133" s="140" t="s">
        <v>174</v>
      </c>
      <c r="D133" s="5">
        <v>43</v>
      </c>
    </row>
    <row r="134" spans="1:4" x14ac:dyDescent="0.35">
      <c r="A134" s="5">
        <v>2019</v>
      </c>
      <c r="B134" s="5" t="s">
        <v>26</v>
      </c>
      <c r="C134" s="140" t="s">
        <v>78</v>
      </c>
      <c r="D134" s="5">
        <v>102</v>
      </c>
    </row>
    <row r="135" spans="1:4" x14ac:dyDescent="0.35">
      <c r="A135" s="5">
        <v>2019</v>
      </c>
      <c r="B135" s="5" t="s">
        <v>27</v>
      </c>
      <c r="C135" s="140" t="s">
        <v>169</v>
      </c>
      <c r="D135" s="5">
        <v>3</v>
      </c>
    </row>
    <row r="136" spans="1:4" x14ac:dyDescent="0.35">
      <c r="A136" s="5">
        <v>2019</v>
      </c>
      <c r="B136" s="5" t="s">
        <v>27</v>
      </c>
      <c r="C136" s="140" t="s">
        <v>170</v>
      </c>
      <c r="D136" s="5">
        <v>4</v>
      </c>
    </row>
    <row r="137" spans="1:4" x14ac:dyDescent="0.35">
      <c r="A137" s="5">
        <v>2019</v>
      </c>
      <c r="B137" s="5" t="s">
        <v>27</v>
      </c>
      <c r="C137" s="140" t="s">
        <v>171</v>
      </c>
      <c r="D137" s="5">
        <v>10</v>
      </c>
    </row>
    <row r="138" spans="1:4" x14ac:dyDescent="0.35">
      <c r="A138" s="5">
        <v>2019</v>
      </c>
      <c r="B138" s="5" t="s">
        <v>27</v>
      </c>
      <c r="C138" s="140" t="s">
        <v>172</v>
      </c>
      <c r="D138" s="5">
        <v>19.600000000000001</v>
      </c>
    </row>
    <row r="139" spans="1:4" x14ac:dyDescent="0.35">
      <c r="A139" s="5">
        <v>2019</v>
      </c>
      <c r="B139" s="5" t="s">
        <v>27</v>
      </c>
      <c r="C139" s="140" t="s">
        <v>173</v>
      </c>
      <c r="D139" s="5">
        <v>74</v>
      </c>
    </row>
    <row r="140" spans="1:4" x14ac:dyDescent="0.35">
      <c r="A140" s="5">
        <v>2019</v>
      </c>
      <c r="B140" s="5" t="s">
        <v>27</v>
      </c>
      <c r="C140" s="140" t="s">
        <v>174</v>
      </c>
      <c r="D140" s="5">
        <v>76</v>
      </c>
    </row>
    <row r="141" spans="1:4" x14ac:dyDescent="0.35">
      <c r="A141" s="5">
        <v>2019</v>
      </c>
      <c r="B141" s="5" t="s">
        <v>27</v>
      </c>
      <c r="C141" s="140" t="s">
        <v>78</v>
      </c>
      <c r="D141" s="5">
        <v>277</v>
      </c>
    </row>
    <row r="142" spans="1:4" x14ac:dyDescent="0.35">
      <c r="A142" s="5">
        <v>2019</v>
      </c>
      <c r="B142" s="5" t="s">
        <v>28</v>
      </c>
      <c r="C142" s="140" t="s">
        <v>169</v>
      </c>
      <c r="D142" s="5">
        <v>2</v>
      </c>
    </row>
    <row r="143" spans="1:4" x14ac:dyDescent="0.35">
      <c r="A143" s="5">
        <v>2019</v>
      </c>
      <c r="B143" s="5" t="s">
        <v>28</v>
      </c>
      <c r="C143" s="140" t="s">
        <v>170</v>
      </c>
      <c r="D143" s="5">
        <v>3</v>
      </c>
    </row>
    <row r="144" spans="1:4" x14ac:dyDescent="0.35">
      <c r="A144" s="5">
        <v>2019</v>
      </c>
      <c r="B144" s="5" t="s">
        <v>28</v>
      </c>
      <c r="C144" s="140" t="s">
        <v>171</v>
      </c>
      <c r="D144" s="5">
        <v>12</v>
      </c>
    </row>
    <row r="145" spans="1:4" x14ac:dyDescent="0.35">
      <c r="A145" s="5">
        <v>2019</v>
      </c>
      <c r="B145" s="5" t="s">
        <v>28</v>
      </c>
      <c r="C145" s="140" t="s">
        <v>172</v>
      </c>
      <c r="D145" s="5">
        <v>24</v>
      </c>
    </row>
    <row r="146" spans="1:4" x14ac:dyDescent="0.35">
      <c r="A146" s="5">
        <v>2019</v>
      </c>
      <c r="B146" s="5" t="s">
        <v>28</v>
      </c>
      <c r="C146" s="140" t="s">
        <v>173</v>
      </c>
      <c r="D146" s="5">
        <v>76</v>
      </c>
    </row>
    <row r="147" spans="1:4" x14ac:dyDescent="0.35">
      <c r="A147" s="5">
        <v>2019</v>
      </c>
      <c r="B147" s="5" t="s">
        <v>28</v>
      </c>
      <c r="C147" s="140" t="s">
        <v>174</v>
      </c>
      <c r="D147" s="5">
        <v>65</v>
      </c>
    </row>
    <row r="148" spans="1:4" x14ac:dyDescent="0.35">
      <c r="A148" s="5">
        <v>2019</v>
      </c>
      <c r="B148" s="5" t="s">
        <v>28</v>
      </c>
      <c r="C148" s="140" t="s">
        <v>78</v>
      </c>
      <c r="D148" s="5">
        <v>312</v>
      </c>
    </row>
    <row r="149" spans="1:4" x14ac:dyDescent="0.35">
      <c r="A149" s="5">
        <v>2019</v>
      </c>
      <c r="B149" s="5" t="s">
        <v>29</v>
      </c>
      <c r="C149" s="140" t="s">
        <v>169</v>
      </c>
      <c r="D149" s="5">
        <v>0</v>
      </c>
    </row>
    <row r="150" spans="1:4" x14ac:dyDescent="0.35">
      <c r="A150" s="5">
        <v>2019</v>
      </c>
      <c r="B150" s="5" t="s">
        <v>29</v>
      </c>
      <c r="C150" s="140" t="s">
        <v>170</v>
      </c>
      <c r="D150" s="5">
        <v>0</v>
      </c>
    </row>
    <row r="151" spans="1:4" x14ac:dyDescent="0.35">
      <c r="A151" s="5">
        <v>2019</v>
      </c>
      <c r="B151" s="5" t="s">
        <v>29</v>
      </c>
      <c r="C151" s="140" t="s">
        <v>171</v>
      </c>
      <c r="D151" s="5">
        <v>2</v>
      </c>
    </row>
    <row r="152" spans="1:4" x14ac:dyDescent="0.35">
      <c r="A152" s="5">
        <v>2019</v>
      </c>
      <c r="B152" s="5" t="s">
        <v>29</v>
      </c>
      <c r="C152" s="140" t="s">
        <v>172</v>
      </c>
      <c r="D152" s="5">
        <v>6</v>
      </c>
    </row>
    <row r="153" spans="1:4" x14ac:dyDescent="0.35">
      <c r="A153" s="5">
        <v>2019</v>
      </c>
      <c r="B153" s="5" t="s">
        <v>29</v>
      </c>
      <c r="C153" s="140" t="s">
        <v>173</v>
      </c>
      <c r="D153" s="5">
        <v>14</v>
      </c>
    </row>
    <row r="154" spans="1:4" x14ac:dyDescent="0.35">
      <c r="A154" s="5">
        <v>2019</v>
      </c>
      <c r="B154" s="5" t="s">
        <v>29</v>
      </c>
      <c r="C154" s="140" t="s">
        <v>174</v>
      </c>
      <c r="D154" s="5">
        <v>7</v>
      </c>
    </row>
    <row r="155" spans="1:4" x14ac:dyDescent="0.35">
      <c r="A155" s="5">
        <v>2019</v>
      </c>
      <c r="B155" s="5" t="s">
        <v>29</v>
      </c>
      <c r="C155" s="140" t="s">
        <v>78</v>
      </c>
      <c r="D155" s="5">
        <v>39</v>
      </c>
    </row>
    <row r="156" spans="1:4" x14ac:dyDescent="0.35">
      <c r="A156" s="5">
        <v>2019</v>
      </c>
      <c r="B156" s="5" t="s">
        <v>30</v>
      </c>
      <c r="C156" s="140" t="s">
        <v>169</v>
      </c>
    </row>
    <row r="157" spans="1:4" x14ac:dyDescent="0.35">
      <c r="A157" s="5">
        <v>2019</v>
      </c>
      <c r="B157" s="5" t="s">
        <v>30</v>
      </c>
      <c r="C157" s="140" t="s">
        <v>170</v>
      </c>
    </row>
    <row r="158" spans="1:4" x14ac:dyDescent="0.35">
      <c r="A158" s="5">
        <v>2019</v>
      </c>
      <c r="B158" s="5" t="s">
        <v>30</v>
      </c>
      <c r="C158" s="140" t="s">
        <v>171</v>
      </c>
    </row>
    <row r="159" spans="1:4" x14ac:dyDescent="0.35">
      <c r="A159" s="5">
        <v>2019</v>
      </c>
      <c r="B159" s="5" t="s">
        <v>30</v>
      </c>
      <c r="C159" s="140" t="s">
        <v>172</v>
      </c>
    </row>
    <row r="160" spans="1:4" x14ac:dyDescent="0.35">
      <c r="A160" s="5">
        <v>2019</v>
      </c>
      <c r="B160" s="5" t="s">
        <v>30</v>
      </c>
      <c r="C160" s="140" t="s">
        <v>173</v>
      </c>
    </row>
    <row r="161" spans="1:4" x14ac:dyDescent="0.35">
      <c r="A161" s="5">
        <v>2019</v>
      </c>
      <c r="B161" s="5" t="s">
        <v>30</v>
      </c>
      <c r="C161" s="140" t="s">
        <v>174</v>
      </c>
    </row>
    <row r="162" spans="1:4" x14ac:dyDescent="0.35">
      <c r="A162" s="5">
        <v>2019</v>
      </c>
      <c r="B162" s="5" t="s">
        <v>30</v>
      </c>
      <c r="C162" s="140" t="s">
        <v>78</v>
      </c>
    </row>
    <row r="163" spans="1:4" x14ac:dyDescent="0.35">
      <c r="A163" s="5">
        <v>2019</v>
      </c>
      <c r="B163" s="5" t="s">
        <v>31</v>
      </c>
      <c r="C163" s="140" t="s">
        <v>169</v>
      </c>
      <c r="D163" s="5">
        <v>4</v>
      </c>
    </row>
    <row r="164" spans="1:4" x14ac:dyDescent="0.35">
      <c r="A164" s="5">
        <v>2019</v>
      </c>
      <c r="B164" s="5" t="s">
        <v>31</v>
      </c>
      <c r="C164" s="140" t="s">
        <v>170</v>
      </c>
      <c r="D164" s="5">
        <v>4</v>
      </c>
    </row>
    <row r="165" spans="1:4" x14ac:dyDescent="0.35">
      <c r="A165" s="5">
        <v>2019</v>
      </c>
      <c r="B165" s="5" t="s">
        <v>31</v>
      </c>
      <c r="C165" s="140" t="s">
        <v>171</v>
      </c>
      <c r="D165" s="5">
        <v>15</v>
      </c>
    </row>
    <row r="166" spans="1:4" x14ac:dyDescent="0.35">
      <c r="A166" s="5">
        <v>2019</v>
      </c>
      <c r="B166" s="5" t="s">
        <v>31</v>
      </c>
      <c r="C166" s="140" t="s">
        <v>172</v>
      </c>
      <c r="D166" s="5">
        <v>49</v>
      </c>
    </row>
    <row r="167" spans="1:4" x14ac:dyDescent="0.35">
      <c r="A167" s="5">
        <v>2019</v>
      </c>
      <c r="B167" s="5" t="s">
        <v>31</v>
      </c>
      <c r="C167" s="140" t="s">
        <v>173</v>
      </c>
      <c r="D167" s="5">
        <v>61</v>
      </c>
    </row>
    <row r="168" spans="1:4" x14ac:dyDescent="0.35">
      <c r="A168" s="5">
        <v>2019</v>
      </c>
      <c r="B168" s="5" t="s">
        <v>31</v>
      </c>
      <c r="C168" s="140" t="s">
        <v>174</v>
      </c>
      <c r="D168" s="5">
        <v>129</v>
      </c>
    </row>
    <row r="169" spans="1:4" x14ac:dyDescent="0.35">
      <c r="A169" s="5">
        <v>2019</v>
      </c>
      <c r="B169" s="5" t="s">
        <v>31</v>
      </c>
      <c r="C169" s="140" t="s">
        <v>78</v>
      </c>
      <c r="D169" s="5">
        <v>396</v>
      </c>
    </row>
    <row r="170" spans="1:4" x14ac:dyDescent="0.35">
      <c r="A170" s="5">
        <v>2019</v>
      </c>
      <c r="B170" s="5" t="s">
        <v>32</v>
      </c>
      <c r="C170" s="140" t="s">
        <v>169</v>
      </c>
      <c r="D170" s="5">
        <v>3</v>
      </c>
    </row>
    <row r="171" spans="1:4" x14ac:dyDescent="0.35">
      <c r="A171" s="5">
        <v>2019</v>
      </c>
      <c r="B171" s="5" t="s">
        <v>32</v>
      </c>
      <c r="C171" s="140" t="s">
        <v>170</v>
      </c>
      <c r="D171" s="5">
        <v>4</v>
      </c>
    </row>
    <row r="172" spans="1:4" x14ac:dyDescent="0.35">
      <c r="A172" s="5">
        <v>2019</v>
      </c>
      <c r="B172" s="5" t="s">
        <v>32</v>
      </c>
      <c r="C172" s="140" t="s">
        <v>171</v>
      </c>
      <c r="D172" s="5">
        <v>11</v>
      </c>
    </row>
    <row r="173" spans="1:4" x14ac:dyDescent="0.35">
      <c r="A173" s="5">
        <v>2019</v>
      </c>
      <c r="B173" s="5" t="s">
        <v>32</v>
      </c>
      <c r="C173" s="140" t="s">
        <v>172</v>
      </c>
      <c r="D173" s="5">
        <v>30</v>
      </c>
    </row>
    <row r="174" spans="1:4" x14ac:dyDescent="0.35">
      <c r="A174" s="5">
        <v>2019</v>
      </c>
      <c r="B174" s="5" t="s">
        <v>32</v>
      </c>
      <c r="C174" s="140" t="s">
        <v>173</v>
      </c>
      <c r="D174" s="5">
        <v>88</v>
      </c>
    </row>
    <row r="175" spans="1:4" x14ac:dyDescent="0.35">
      <c r="A175" s="5">
        <v>2019</v>
      </c>
      <c r="B175" s="5" t="s">
        <v>32</v>
      </c>
      <c r="C175" s="140" t="s">
        <v>174</v>
      </c>
      <c r="D175" s="5">
        <v>112</v>
      </c>
    </row>
    <row r="176" spans="1:4" x14ac:dyDescent="0.35">
      <c r="A176" s="5">
        <v>2019</v>
      </c>
      <c r="B176" s="5" t="s">
        <v>32</v>
      </c>
      <c r="C176" s="140" t="s">
        <v>78</v>
      </c>
      <c r="D176" s="5">
        <v>397</v>
      </c>
    </row>
    <row r="177" spans="1:4" x14ac:dyDescent="0.35">
      <c r="A177" s="5">
        <v>2019</v>
      </c>
      <c r="B177" s="5" t="s">
        <v>33</v>
      </c>
      <c r="C177" s="140" t="s">
        <v>169</v>
      </c>
      <c r="D177" s="5">
        <v>4</v>
      </c>
    </row>
    <row r="178" spans="1:4" x14ac:dyDescent="0.35">
      <c r="A178" s="5">
        <v>2019</v>
      </c>
      <c r="B178" s="5" t="s">
        <v>33</v>
      </c>
      <c r="C178" s="140" t="s">
        <v>170</v>
      </c>
      <c r="D178" s="5">
        <v>3</v>
      </c>
    </row>
    <row r="179" spans="1:4" x14ac:dyDescent="0.35">
      <c r="A179" s="5">
        <v>2019</v>
      </c>
      <c r="B179" s="5" t="s">
        <v>33</v>
      </c>
      <c r="C179" s="140" t="s">
        <v>171</v>
      </c>
      <c r="D179" s="5">
        <v>5</v>
      </c>
    </row>
    <row r="180" spans="1:4" x14ac:dyDescent="0.35">
      <c r="A180" s="5">
        <v>2019</v>
      </c>
      <c r="B180" s="5" t="s">
        <v>33</v>
      </c>
      <c r="C180" s="140" t="s">
        <v>172</v>
      </c>
      <c r="D180" s="5">
        <v>20</v>
      </c>
    </row>
    <row r="181" spans="1:4" x14ac:dyDescent="0.35">
      <c r="A181" s="5">
        <v>2019</v>
      </c>
      <c r="B181" s="5" t="s">
        <v>33</v>
      </c>
      <c r="C181" s="140" t="s">
        <v>173</v>
      </c>
      <c r="D181" s="5">
        <v>52</v>
      </c>
    </row>
    <row r="182" spans="1:4" x14ac:dyDescent="0.35">
      <c r="A182" s="5">
        <v>2019</v>
      </c>
      <c r="B182" s="5" t="s">
        <v>33</v>
      </c>
      <c r="C182" s="140" t="s">
        <v>174</v>
      </c>
      <c r="D182" s="5">
        <v>63</v>
      </c>
    </row>
    <row r="183" spans="1:4" x14ac:dyDescent="0.35">
      <c r="A183" s="5">
        <v>2019</v>
      </c>
      <c r="B183" s="5" t="s">
        <v>33</v>
      </c>
      <c r="C183" s="140" t="s">
        <v>78</v>
      </c>
      <c r="D183" s="5">
        <v>195.5</v>
      </c>
    </row>
    <row r="184" spans="1:4" x14ac:dyDescent="0.35">
      <c r="A184" s="5">
        <v>2019</v>
      </c>
      <c r="B184" s="5" t="s">
        <v>34</v>
      </c>
      <c r="C184" s="140" t="s">
        <v>169</v>
      </c>
      <c r="D184" s="5">
        <v>3</v>
      </c>
    </row>
    <row r="185" spans="1:4" x14ac:dyDescent="0.35">
      <c r="A185" s="5">
        <v>2019</v>
      </c>
      <c r="B185" s="5" t="s">
        <v>34</v>
      </c>
      <c r="C185" s="140" t="s">
        <v>170</v>
      </c>
      <c r="D185" s="5">
        <v>3</v>
      </c>
    </row>
    <row r="186" spans="1:4" x14ac:dyDescent="0.35">
      <c r="A186" s="5">
        <v>2019</v>
      </c>
      <c r="B186" s="5" t="s">
        <v>34</v>
      </c>
      <c r="C186" s="140" t="s">
        <v>171</v>
      </c>
      <c r="D186" s="5">
        <v>8</v>
      </c>
    </row>
    <row r="187" spans="1:4" x14ac:dyDescent="0.35">
      <c r="A187" s="5">
        <v>2019</v>
      </c>
      <c r="B187" s="5" t="s">
        <v>34</v>
      </c>
      <c r="C187" s="140" t="s">
        <v>172</v>
      </c>
      <c r="D187" s="5">
        <v>20</v>
      </c>
    </row>
    <row r="188" spans="1:4" x14ac:dyDescent="0.35">
      <c r="A188" s="5">
        <v>2019</v>
      </c>
      <c r="B188" s="5" t="s">
        <v>34</v>
      </c>
      <c r="C188" s="140" t="s">
        <v>173</v>
      </c>
      <c r="D188" s="5">
        <v>37</v>
      </c>
    </row>
    <row r="189" spans="1:4" x14ac:dyDescent="0.35">
      <c r="A189" s="5">
        <v>2019</v>
      </c>
      <c r="B189" s="5" t="s">
        <v>34</v>
      </c>
      <c r="C189" s="140" t="s">
        <v>174</v>
      </c>
      <c r="D189" s="5">
        <v>45</v>
      </c>
    </row>
    <row r="190" spans="1:4" x14ac:dyDescent="0.35">
      <c r="A190" s="5">
        <v>2019</v>
      </c>
      <c r="B190" s="5" t="s">
        <v>34</v>
      </c>
      <c r="C190" s="140" t="s">
        <v>78</v>
      </c>
      <c r="D190" s="5">
        <v>62.71</v>
      </c>
    </row>
    <row r="191" spans="1:4" x14ac:dyDescent="0.35">
      <c r="A191" s="5">
        <v>2019</v>
      </c>
      <c r="B191" s="5" t="s">
        <v>35</v>
      </c>
      <c r="C191" s="140" t="s">
        <v>169</v>
      </c>
      <c r="D191" s="5">
        <v>3</v>
      </c>
    </row>
    <row r="192" spans="1:4" x14ac:dyDescent="0.35">
      <c r="A192" s="5">
        <v>2019</v>
      </c>
      <c r="B192" s="5" t="s">
        <v>35</v>
      </c>
      <c r="C192" s="140" t="s">
        <v>170</v>
      </c>
      <c r="D192" s="5">
        <v>4</v>
      </c>
    </row>
    <row r="193" spans="1:4" x14ac:dyDescent="0.35">
      <c r="A193" s="5">
        <v>2019</v>
      </c>
      <c r="B193" s="5" t="s">
        <v>35</v>
      </c>
      <c r="C193" s="140" t="s">
        <v>171</v>
      </c>
      <c r="D193" s="5">
        <v>13</v>
      </c>
    </row>
    <row r="194" spans="1:4" x14ac:dyDescent="0.35">
      <c r="A194" s="5">
        <v>2019</v>
      </c>
      <c r="B194" s="5" t="s">
        <v>35</v>
      </c>
      <c r="C194" s="140" t="s">
        <v>172</v>
      </c>
      <c r="D194" s="5">
        <v>29</v>
      </c>
    </row>
    <row r="195" spans="1:4" x14ac:dyDescent="0.35">
      <c r="A195" s="5">
        <v>2019</v>
      </c>
      <c r="B195" s="5" t="s">
        <v>35</v>
      </c>
      <c r="C195" s="140" t="s">
        <v>173</v>
      </c>
      <c r="D195" s="5">
        <v>115.44</v>
      </c>
    </row>
    <row r="196" spans="1:4" x14ac:dyDescent="0.35">
      <c r="A196" s="5">
        <v>2019</v>
      </c>
      <c r="B196" s="5" t="s">
        <v>35</v>
      </c>
      <c r="C196" s="140" t="s">
        <v>174</v>
      </c>
      <c r="D196" s="5">
        <v>46</v>
      </c>
    </row>
    <row r="197" spans="1:4" x14ac:dyDescent="0.35">
      <c r="A197" s="5">
        <v>2019</v>
      </c>
      <c r="B197" s="5" t="s">
        <v>35</v>
      </c>
      <c r="C197" s="140" t="s">
        <v>78</v>
      </c>
      <c r="D197" s="5">
        <v>396.87</v>
      </c>
    </row>
    <row r="198" spans="1:4" x14ac:dyDescent="0.35">
      <c r="A198" s="5">
        <v>2019</v>
      </c>
      <c r="B198" s="5" t="s">
        <v>36</v>
      </c>
      <c r="C198" s="140" t="s">
        <v>169</v>
      </c>
      <c r="D198" s="5">
        <v>4</v>
      </c>
    </row>
    <row r="199" spans="1:4" x14ac:dyDescent="0.35">
      <c r="A199" s="5">
        <v>2019</v>
      </c>
      <c r="B199" s="5" t="s">
        <v>36</v>
      </c>
      <c r="C199" s="140" t="s">
        <v>170</v>
      </c>
      <c r="D199" s="5">
        <v>3</v>
      </c>
    </row>
    <row r="200" spans="1:4" x14ac:dyDescent="0.35">
      <c r="A200" s="5">
        <v>2019</v>
      </c>
      <c r="B200" s="5" t="s">
        <v>36</v>
      </c>
      <c r="C200" s="140" t="s">
        <v>171</v>
      </c>
      <c r="D200" s="5">
        <v>9</v>
      </c>
    </row>
    <row r="201" spans="1:4" x14ac:dyDescent="0.35">
      <c r="A201" s="5">
        <v>2019</v>
      </c>
      <c r="B201" s="5" t="s">
        <v>36</v>
      </c>
      <c r="C201" s="140" t="s">
        <v>172</v>
      </c>
      <c r="D201" s="5">
        <v>25</v>
      </c>
    </row>
    <row r="202" spans="1:4" x14ac:dyDescent="0.35">
      <c r="A202" s="5">
        <v>2019</v>
      </c>
      <c r="B202" s="5" t="s">
        <v>36</v>
      </c>
      <c r="C202" s="140" t="s">
        <v>173</v>
      </c>
      <c r="D202" s="5">
        <v>38</v>
      </c>
    </row>
    <row r="203" spans="1:4" x14ac:dyDescent="0.35">
      <c r="A203" s="5">
        <v>2019</v>
      </c>
      <c r="B203" s="5" t="s">
        <v>36</v>
      </c>
      <c r="C203" s="140" t="s">
        <v>174</v>
      </c>
      <c r="D203" s="5">
        <v>39.5</v>
      </c>
    </row>
    <row r="204" spans="1:4" x14ac:dyDescent="0.35">
      <c r="A204" s="5">
        <v>2019</v>
      </c>
      <c r="B204" s="5" t="s">
        <v>36</v>
      </c>
      <c r="C204" s="140" t="s">
        <v>78</v>
      </c>
      <c r="D204" s="5">
        <v>157</v>
      </c>
    </row>
    <row r="205" spans="1:4" x14ac:dyDescent="0.35">
      <c r="A205" s="5">
        <v>2019</v>
      </c>
      <c r="B205" s="5" t="s">
        <v>38</v>
      </c>
      <c r="C205" s="140" t="s">
        <v>169</v>
      </c>
      <c r="D205" s="5">
        <v>2</v>
      </c>
    </row>
    <row r="206" spans="1:4" x14ac:dyDescent="0.35">
      <c r="A206" s="5">
        <v>2019</v>
      </c>
      <c r="B206" s="5" t="s">
        <v>38</v>
      </c>
      <c r="C206" s="140" t="s">
        <v>170</v>
      </c>
      <c r="D206" s="5">
        <v>2</v>
      </c>
    </row>
    <row r="207" spans="1:4" x14ac:dyDescent="0.35">
      <c r="A207" s="5">
        <v>2019</v>
      </c>
      <c r="B207" s="5" t="s">
        <v>38</v>
      </c>
      <c r="C207" s="140" t="s">
        <v>171</v>
      </c>
      <c r="D207" s="5">
        <v>9</v>
      </c>
    </row>
    <row r="208" spans="1:4" x14ac:dyDescent="0.35">
      <c r="A208" s="5">
        <v>2019</v>
      </c>
      <c r="B208" s="5" t="s">
        <v>38</v>
      </c>
      <c r="C208" s="140" t="s">
        <v>172</v>
      </c>
      <c r="D208" s="5">
        <v>16</v>
      </c>
    </row>
    <row r="209" spans="1:4" x14ac:dyDescent="0.35">
      <c r="A209" s="5">
        <v>2019</v>
      </c>
      <c r="B209" s="5" t="s">
        <v>38</v>
      </c>
      <c r="C209" s="140" t="s">
        <v>173</v>
      </c>
      <c r="D209" s="5">
        <v>54</v>
      </c>
    </row>
    <row r="210" spans="1:4" x14ac:dyDescent="0.35">
      <c r="A210" s="5">
        <v>2019</v>
      </c>
      <c r="B210" s="5" t="s">
        <v>38</v>
      </c>
      <c r="C210" s="140" t="s">
        <v>174</v>
      </c>
      <c r="D210" s="5">
        <v>56</v>
      </c>
    </row>
    <row r="211" spans="1:4" x14ac:dyDescent="0.35">
      <c r="A211" s="5">
        <v>2019</v>
      </c>
      <c r="B211" s="5" t="s">
        <v>38</v>
      </c>
      <c r="C211" s="140" t="s">
        <v>78</v>
      </c>
      <c r="D211" s="5">
        <v>158</v>
      </c>
    </row>
    <row r="212" spans="1:4" x14ac:dyDescent="0.35">
      <c r="A212" s="5">
        <v>2019</v>
      </c>
      <c r="B212" s="5" t="s">
        <v>39</v>
      </c>
      <c r="C212" s="140" t="s">
        <v>169</v>
      </c>
      <c r="D212" s="5">
        <v>3</v>
      </c>
    </row>
    <row r="213" spans="1:4" x14ac:dyDescent="0.35">
      <c r="A213" s="5">
        <v>2019</v>
      </c>
      <c r="B213" s="5" t="s">
        <v>39</v>
      </c>
      <c r="C213" s="140" t="s">
        <v>170</v>
      </c>
      <c r="D213" s="5">
        <v>2</v>
      </c>
    </row>
    <row r="214" spans="1:4" x14ac:dyDescent="0.35">
      <c r="A214" s="5">
        <v>2019</v>
      </c>
      <c r="B214" s="5" t="s">
        <v>39</v>
      </c>
      <c r="C214" s="140" t="s">
        <v>171</v>
      </c>
      <c r="D214" s="5">
        <v>9.91</v>
      </c>
    </row>
    <row r="215" spans="1:4" x14ac:dyDescent="0.35">
      <c r="A215" s="5">
        <v>2019</v>
      </c>
      <c r="B215" s="5" t="s">
        <v>39</v>
      </c>
      <c r="C215" s="140" t="s">
        <v>172</v>
      </c>
      <c r="D215" s="5">
        <v>21</v>
      </c>
    </row>
    <row r="216" spans="1:4" x14ac:dyDescent="0.35">
      <c r="A216" s="5">
        <v>2019</v>
      </c>
      <c r="B216" s="5" t="s">
        <v>39</v>
      </c>
      <c r="C216" s="140" t="s">
        <v>173</v>
      </c>
      <c r="D216" s="5">
        <v>47</v>
      </c>
    </row>
    <row r="217" spans="1:4" x14ac:dyDescent="0.35">
      <c r="A217" s="5">
        <v>2019</v>
      </c>
      <c r="B217" s="5" t="s">
        <v>39</v>
      </c>
      <c r="C217" s="140" t="s">
        <v>174</v>
      </c>
      <c r="D217" s="5">
        <v>34</v>
      </c>
    </row>
    <row r="218" spans="1:4" x14ac:dyDescent="0.35">
      <c r="A218" s="5">
        <v>2019</v>
      </c>
      <c r="B218" s="5" t="s">
        <v>39</v>
      </c>
      <c r="C218" s="140" t="s">
        <v>78</v>
      </c>
      <c r="D218" s="5">
        <v>116</v>
      </c>
    </row>
    <row r="219" spans="1:4" x14ac:dyDescent="0.35">
      <c r="A219" s="5">
        <v>2019</v>
      </c>
      <c r="B219" s="5" t="s">
        <v>40</v>
      </c>
      <c r="C219" s="140" t="s">
        <v>169</v>
      </c>
      <c r="D219" s="5">
        <v>2</v>
      </c>
    </row>
    <row r="220" spans="1:4" x14ac:dyDescent="0.35">
      <c r="A220" s="5">
        <v>2019</v>
      </c>
      <c r="B220" s="5" t="s">
        <v>40</v>
      </c>
      <c r="C220" s="140" t="s">
        <v>170</v>
      </c>
      <c r="D220" s="5">
        <v>1</v>
      </c>
    </row>
    <row r="221" spans="1:4" x14ac:dyDescent="0.35">
      <c r="A221" s="5">
        <v>2019</v>
      </c>
      <c r="B221" s="5" t="s">
        <v>40</v>
      </c>
      <c r="C221" s="140" t="s">
        <v>171</v>
      </c>
      <c r="D221" s="5">
        <v>4</v>
      </c>
    </row>
    <row r="222" spans="1:4" x14ac:dyDescent="0.35">
      <c r="A222" s="5">
        <v>2019</v>
      </c>
      <c r="B222" s="5" t="s">
        <v>40</v>
      </c>
      <c r="C222" s="140" t="s">
        <v>172</v>
      </c>
      <c r="D222" s="5">
        <v>14</v>
      </c>
    </row>
    <row r="223" spans="1:4" x14ac:dyDescent="0.35">
      <c r="A223" s="5">
        <v>2019</v>
      </c>
      <c r="B223" s="5" t="s">
        <v>40</v>
      </c>
      <c r="C223" s="140" t="s">
        <v>173</v>
      </c>
      <c r="D223" s="5">
        <v>19</v>
      </c>
    </row>
    <row r="224" spans="1:4" x14ac:dyDescent="0.35">
      <c r="A224" s="5">
        <v>2019</v>
      </c>
      <c r="B224" s="5" t="s">
        <v>40</v>
      </c>
      <c r="C224" s="140" t="s">
        <v>174</v>
      </c>
      <c r="D224" s="5">
        <v>21</v>
      </c>
    </row>
    <row r="225" spans="1:4" x14ac:dyDescent="0.35">
      <c r="A225" s="5">
        <v>2019</v>
      </c>
      <c r="B225" s="5" t="s">
        <v>40</v>
      </c>
      <c r="C225" s="140" t="s">
        <v>78</v>
      </c>
      <c r="D225" s="5">
        <v>73</v>
      </c>
    </row>
    <row r="226" spans="1:4" x14ac:dyDescent="0.35">
      <c r="A226" s="5">
        <v>2019</v>
      </c>
      <c r="B226" s="5" t="s">
        <v>41</v>
      </c>
      <c r="C226" s="140" t="s">
        <v>169</v>
      </c>
      <c r="D226" s="5">
        <v>3</v>
      </c>
    </row>
    <row r="227" spans="1:4" x14ac:dyDescent="0.35">
      <c r="A227" s="5">
        <v>2019</v>
      </c>
      <c r="B227" s="5" t="s">
        <v>41</v>
      </c>
      <c r="C227" s="140" t="s">
        <v>170</v>
      </c>
      <c r="D227" s="5">
        <v>4</v>
      </c>
    </row>
    <row r="228" spans="1:4" x14ac:dyDescent="0.35">
      <c r="A228" s="5">
        <v>2019</v>
      </c>
      <c r="B228" s="5" t="s">
        <v>41</v>
      </c>
      <c r="C228" s="140" t="s">
        <v>171</v>
      </c>
      <c r="D228" s="5">
        <v>8</v>
      </c>
    </row>
    <row r="229" spans="1:4" x14ac:dyDescent="0.35">
      <c r="A229" s="5">
        <v>2019</v>
      </c>
      <c r="B229" s="5" t="s">
        <v>41</v>
      </c>
      <c r="C229" s="140" t="s">
        <v>172</v>
      </c>
      <c r="D229" s="5">
        <v>23</v>
      </c>
    </row>
    <row r="230" spans="1:4" x14ac:dyDescent="0.35">
      <c r="A230" s="5">
        <v>2019</v>
      </c>
      <c r="B230" s="5" t="s">
        <v>41</v>
      </c>
      <c r="C230" s="140" t="s">
        <v>173</v>
      </c>
      <c r="D230" s="5">
        <v>77</v>
      </c>
    </row>
    <row r="231" spans="1:4" x14ac:dyDescent="0.35">
      <c r="A231" s="5">
        <v>2019</v>
      </c>
      <c r="B231" s="5" t="s">
        <v>41</v>
      </c>
      <c r="C231" s="140" t="s">
        <v>174</v>
      </c>
      <c r="D231" s="5">
        <v>72</v>
      </c>
    </row>
    <row r="232" spans="1:4" x14ac:dyDescent="0.35">
      <c r="A232" s="5">
        <v>2019</v>
      </c>
      <c r="B232" s="5" t="s">
        <v>41</v>
      </c>
      <c r="C232" s="140" t="s">
        <v>78</v>
      </c>
      <c r="D232" s="5">
        <v>264.08</v>
      </c>
    </row>
    <row r="233" spans="1:4" x14ac:dyDescent="0.35">
      <c r="A233" s="5">
        <v>2019</v>
      </c>
      <c r="B233" s="5" t="s">
        <v>42</v>
      </c>
      <c r="C233" s="140" t="s">
        <v>169</v>
      </c>
      <c r="D233" s="5">
        <v>3</v>
      </c>
    </row>
    <row r="234" spans="1:4" x14ac:dyDescent="0.35">
      <c r="A234" s="5">
        <v>2019</v>
      </c>
      <c r="B234" s="5" t="s">
        <v>42</v>
      </c>
      <c r="C234" s="140" t="s">
        <v>170</v>
      </c>
      <c r="D234" s="5">
        <v>3</v>
      </c>
    </row>
    <row r="235" spans="1:4" x14ac:dyDescent="0.35">
      <c r="A235" s="5">
        <v>2019</v>
      </c>
      <c r="B235" s="5" t="s">
        <v>42</v>
      </c>
      <c r="C235" s="140" t="s">
        <v>171</v>
      </c>
      <c r="D235" s="5">
        <v>9</v>
      </c>
    </row>
    <row r="236" spans="1:4" x14ac:dyDescent="0.35">
      <c r="A236" s="5">
        <v>2019</v>
      </c>
      <c r="B236" s="5" t="s">
        <v>42</v>
      </c>
      <c r="C236" s="140" t="s">
        <v>172</v>
      </c>
      <c r="D236" s="5">
        <v>25</v>
      </c>
    </row>
    <row r="237" spans="1:4" x14ac:dyDescent="0.35">
      <c r="A237" s="5">
        <v>2019</v>
      </c>
      <c r="B237" s="5" t="s">
        <v>42</v>
      </c>
      <c r="C237" s="140" t="s">
        <v>173</v>
      </c>
      <c r="D237" s="5">
        <v>49</v>
      </c>
    </row>
    <row r="238" spans="1:4" x14ac:dyDescent="0.35">
      <c r="A238" s="5">
        <v>2019</v>
      </c>
      <c r="B238" s="5" t="s">
        <v>42</v>
      </c>
      <c r="C238" s="140" t="s">
        <v>174</v>
      </c>
      <c r="D238" s="5">
        <v>36</v>
      </c>
    </row>
    <row r="239" spans="1:4" x14ac:dyDescent="0.35">
      <c r="A239" s="5">
        <v>2019</v>
      </c>
      <c r="B239" s="5" t="s">
        <v>42</v>
      </c>
      <c r="C239" s="140" t="s">
        <v>78</v>
      </c>
      <c r="D239" s="5">
        <v>110</v>
      </c>
    </row>
    <row r="240" spans="1:4" x14ac:dyDescent="0.35">
      <c r="A240" s="5">
        <v>2019</v>
      </c>
      <c r="B240" s="5" t="s">
        <v>43</v>
      </c>
      <c r="C240" s="140" t="s">
        <v>169</v>
      </c>
      <c r="D240" s="5">
        <v>3</v>
      </c>
    </row>
    <row r="241" spans="1:4" x14ac:dyDescent="0.35">
      <c r="A241" s="5">
        <v>2019</v>
      </c>
      <c r="B241" s="5" t="s">
        <v>43</v>
      </c>
      <c r="C241" s="140" t="s">
        <v>170</v>
      </c>
      <c r="D241" s="5">
        <v>3</v>
      </c>
    </row>
    <row r="242" spans="1:4" x14ac:dyDescent="0.35">
      <c r="A242" s="5">
        <v>2019</v>
      </c>
      <c r="B242" s="5" t="s">
        <v>43</v>
      </c>
      <c r="C242" s="140" t="s">
        <v>171</v>
      </c>
      <c r="D242" s="5">
        <v>7</v>
      </c>
    </row>
    <row r="243" spans="1:4" x14ac:dyDescent="0.35">
      <c r="A243" s="5">
        <v>2019</v>
      </c>
      <c r="B243" s="5" t="s">
        <v>43</v>
      </c>
      <c r="C243" s="140" t="s">
        <v>172</v>
      </c>
      <c r="D243" s="5">
        <v>14</v>
      </c>
    </row>
    <row r="244" spans="1:4" x14ac:dyDescent="0.35">
      <c r="A244" s="5">
        <v>2019</v>
      </c>
      <c r="B244" s="5" t="s">
        <v>43</v>
      </c>
      <c r="C244" s="140" t="s">
        <v>173</v>
      </c>
      <c r="D244" s="5">
        <v>25</v>
      </c>
    </row>
    <row r="245" spans="1:4" x14ac:dyDescent="0.35">
      <c r="A245" s="5">
        <v>2019</v>
      </c>
      <c r="B245" s="5" t="s">
        <v>43</v>
      </c>
      <c r="C245" s="140" t="s">
        <v>174</v>
      </c>
      <c r="D245" s="5">
        <v>24</v>
      </c>
    </row>
    <row r="246" spans="1:4" x14ac:dyDescent="0.35">
      <c r="A246" s="5">
        <v>2019</v>
      </c>
      <c r="B246" s="5" t="s">
        <v>43</v>
      </c>
      <c r="C246" s="140" t="s">
        <v>78</v>
      </c>
      <c r="D246" s="5">
        <v>105.86</v>
      </c>
    </row>
    <row r="247" spans="1:4" x14ac:dyDescent="0.35">
      <c r="A247" s="5">
        <v>2019</v>
      </c>
      <c r="B247" s="5" t="s">
        <v>44</v>
      </c>
      <c r="C247" s="140" t="s">
        <v>169</v>
      </c>
      <c r="D247" s="5">
        <v>3</v>
      </c>
    </row>
    <row r="248" spans="1:4" x14ac:dyDescent="0.35">
      <c r="A248" s="5">
        <v>2019</v>
      </c>
      <c r="B248" s="5" t="s">
        <v>44</v>
      </c>
      <c r="C248" s="140" t="s">
        <v>170</v>
      </c>
      <c r="D248" s="5">
        <v>3</v>
      </c>
    </row>
    <row r="249" spans="1:4" x14ac:dyDescent="0.35">
      <c r="A249" s="5">
        <v>2019</v>
      </c>
      <c r="B249" s="5" t="s">
        <v>44</v>
      </c>
      <c r="C249" s="140" t="s">
        <v>171</v>
      </c>
      <c r="D249" s="5">
        <v>10</v>
      </c>
    </row>
    <row r="250" spans="1:4" x14ac:dyDescent="0.35">
      <c r="A250" s="5">
        <v>2019</v>
      </c>
      <c r="B250" s="5" t="s">
        <v>44</v>
      </c>
      <c r="C250" s="140" t="s">
        <v>172</v>
      </c>
      <c r="D250" s="5">
        <v>24</v>
      </c>
    </row>
    <row r="251" spans="1:4" x14ac:dyDescent="0.35">
      <c r="A251" s="5">
        <v>2019</v>
      </c>
      <c r="B251" s="5" t="s">
        <v>44</v>
      </c>
      <c r="C251" s="140" t="s">
        <v>173</v>
      </c>
      <c r="D251" s="5">
        <v>84</v>
      </c>
    </row>
    <row r="252" spans="1:4" x14ac:dyDescent="0.35">
      <c r="A252" s="5">
        <v>2019</v>
      </c>
      <c r="B252" s="5" t="s">
        <v>44</v>
      </c>
      <c r="C252" s="140" t="s">
        <v>174</v>
      </c>
      <c r="D252" s="5">
        <v>83</v>
      </c>
    </row>
    <row r="253" spans="1:4" x14ac:dyDescent="0.35">
      <c r="A253" s="5">
        <v>2019</v>
      </c>
      <c r="B253" s="5" t="s">
        <v>44</v>
      </c>
      <c r="C253" s="140" t="s">
        <v>78</v>
      </c>
      <c r="D253" s="5">
        <v>366</v>
      </c>
    </row>
    <row r="254" spans="1:4" x14ac:dyDescent="0.35">
      <c r="A254" s="5">
        <v>2019</v>
      </c>
      <c r="B254" s="5" t="s">
        <v>45</v>
      </c>
      <c r="C254" s="140" t="s">
        <v>169</v>
      </c>
      <c r="D254" s="5">
        <v>2</v>
      </c>
    </row>
    <row r="255" spans="1:4" x14ac:dyDescent="0.35">
      <c r="A255" s="5">
        <v>2019</v>
      </c>
      <c r="B255" s="5" t="s">
        <v>45</v>
      </c>
      <c r="C255" s="140" t="s">
        <v>170</v>
      </c>
      <c r="D255" s="5">
        <v>2</v>
      </c>
    </row>
    <row r="256" spans="1:4" x14ac:dyDescent="0.35">
      <c r="A256" s="5">
        <v>2019</v>
      </c>
      <c r="B256" s="5" t="s">
        <v>45</v>
      </c>
      <c r="C256" s="140" t="s">
        <v>171</v>
      </c>
      <c r="D256" s="5">
        <v>8</v>
      </c>
    </row>
    <row r="257" spans="1:4" x14ac:dyDescent="0.35">
      <c r="A257" s="5">
        <v>2019</v>
      </c>
      <c r="B257" s="5" t="s">
        <v>45</v>
      </c>
      <c r="C257" s="140" t="s">
        <v>172</v>
      </c>
      <c r="D257" s="5">
        <v>26</v>
      </c>
    </row>
    <row r="258" spans="1:4" x14ac:dyDescent="0.35">
      <c r="A258" s="5">
        <v>2019</v>
      </c>
      <c r="B258" s="5" t="s">
        <v>45</v>
      </c>
      <c r="C258" s="140" t="s">
        <v>173</v>
      </c>
      <c r="D258" s="5">
        <v>63</v>
      </c>
    </row>
    <row r="259" spans="1:4" x14ac:dyDescent="0.35">
      <c r="A259" s="5">
        <v>2019</v>
      </c>
      <c r="B259" s="5" t="s">
        <v>45</v>
      </c>
      <c r="C259" s="140" t="s">
        <v>174</v>
      </c>
      <c r="D259" s="5">
        <v>40</v>
      </c>
    </row>
    <row r="260" spans="1:4" x14ac:dyDescent="0.35">
      <c r="A260" s="5">
        <v>2019</v>
      </c>
      <c r="B260" s="5" t="s">
        <v>45</v>
      </c>
      <c r="C260" s="140" t="s">
        <v>78</v>
      </c>
      <c r="D260" s="5">
        <v>178</v>
      </c>
    </row>
    <row r="261" spans="1:4" x14ac:dyDescent="0.35">
      <c r="A261" s="5">
        <v>2019</v>
      </c>
      <c r="B261" s="5" t="s">
        <v>46</v>
      </c>
      <c r="C261" s="140" t="s">
        <v>169</v>
      </c>
      <c r="D261" s="5">
        <v>2</v>
      </c>
    </row>
    <row r="262" spans="1:4" x14ac:dyDescent="0.35">
      <c r="A262" s="5">
        <v>2019</v>
      </c>
      <c r="B262" s="5" t="s">
        <v>46</v>
      </c>
      <c r="C262" s="140" t="s">
        <v>170</v>
      </c>
      <c r="D262" s="5">
        <v>4</v>
      </c>
    </row>
    <row r="263" spans="1:4" x14ac:dyDescent="0.35">
      <c r="A263" s="5">
        <v>2019</v>
      </c>
      <c r="B263" s="5" t="s">
        <v>46</v>
      </c>
      <c r="C263" s="140" t="s">
        <v>171</v>
      </c>
      <c r="D263" s="5">
        <v>7</v>
      </c>
    </row>
    <row r="264" spans="1:4" x14ac:dyDescent="0.35">
      <c r="A264" s="5">
        <v>2019</v>
      </c>
      <c r="B264" s="5" t="s">
        <v>46</v>
      </c>
      <c r="C264" s="140" t="s">
        <v>172</v>
      </c>
      <c r="D264" s="5">
        <v>18</v>
      </c>
    </row>
    <row r="265" spans="1:4" x14ac:dyDescent="0.35">
      <c r="A265" s="5">
        <v>2019</v>
      </c>
      <c r="B265" s="5" t="s">
        <v>46</v>
      </c>
      <c r="C265" s="140" t="s">
        <v>173</v>
      </c>
      <c r="D265" s="5">
        <v>35.89</v>
      </c>
    </row>
    <row r="266" spans="1:4" x14ac:dyDescent="0.35">
      <c r="A266" s="5">
        <v>2019</v>
      </c>
      <c r="B266" s="5" t="s">
        <v>46</v>
      </c>
      <c r="C266" s="140" t="s">
        <v>174</v>
      </c>
      <c r="D266" s="5">
        <v>27</v>
      </c>
    </row>
    <row r="267" spans="1:4" x14ac:dyDescent="0.35">
      <c r="A267" s="5">
        <v>2019</v>
      </c>
      <c r="B267" s="5" t="s">
        <v>46</v>
      </c>
      <c r="C267" s="140" t="s">
        <v>78</v>
      </c>
      <c r="D267" s="5">
        <v>97.5</v>
      </c>
    </row>
    <row r="268" spans="1:4" x14ac:dyDescent="0.35">
      <c r="A268" s="5">
        <v>2019</v>
      </c>
      <c r="B268" s="5" t="s">
        <v>47</v>
      </c>
      <c r="C268" s="140" t="s">
        <v>169</v>
      </c>
      <c r="D268" s="5">
        <v>5</v>
      </c>
    </row>
    <row r="269" spans="1:4" x14ac:dyDescent="0.35">
      <c r="A269" s="5">
        <v>2019</v>
      </c>
      <c r="B269" s="5" t="s">
        <v>47</v>
      </c>
      <c r="C269" s="140" t="s">
        <v>170</v>
      </c>
      <c r="D269" s="5">
        <v>3</v>
      </c>
    </row>
    <row r="270" spans="1:4" x14ac:dyDescent="0.35">
      <c r="A270" s="5">
        <v>2019</v>
      </c>
      <c r="B270" s="5" t="s">
        <v>47</v>
      </c>
      <c r="C270" s="140" t="s">
        <v>171</v>
      </c>
      <c r="D270" s="5">
        <v>9</v>
      </c>
    </row>
    <row r="271" spans="1:4" x14ac:dyDescent="0.35">
      <c r="A271" s="5">
        <v>2019</v>
      </c>
      <c r="B271" s="5" t="s">
        <v>47</v>
      </c>
      <c r="C271" s="140" t="s">
        <v>172</v>
      </c>
      <c r="D271" s="5">
        <v>20</v>
      </c>
    </row>
    <row r="272" spans="1:4" x14ac:dyDescent="0.35">
      <c r="A272" s="5">
        <v>2019</v>
      </c>
      <c r="B272" s="5" t="s">
        <v>47</v>
      </c>
      <c r="C272" s="140" t="s">
        <v>173</v>
      </c>
      <c r="D272" s="5">
        <v>98</v>
      </c>
    </row>
    <row r="273" spans="1:4" x14ac:dyDescent="0.35">
      <c r="A273" s="5">
        <v>2019</v>
      </c>
      <c r="B273" s="5" t="s">
        <v>47</v>
      </c>
      <c r="C273" s="140" t="s">
        <v>174</v>
      </c>
      <c r="D273" s="5">
        <v>90</v>
      </c>
    </row>
    <row r="274" spans="1:4" x14ac:dyDescent="0.35">
      <c r="A274" s="5">
        <v>2019</v>
      </c>
      <c r="B274" s="5" t="s">
        <v>47</v>
      </c>
      <c r="C274" s="140" t="s">
        <v>78</v>
      </c>
      <c r="D274" s="5">
        <v>229</v>
      </c>
    </row>
    <row r="275" spans="1:4" x14ac:dyDescent="0.35">
      <c r="A275" s="5">
        <v>2019</v>
      </c>
      <c r="B275" s="5" t="s">
        <v>48</v>
      </c>
      <c r="C275" s="140" t="s">
        <v>169</v>
      </c>
      <c r="D275" s="5">
        <v>3</v>
      </c>
    </row>
    <row r="276" spans="1:4" x14ac:dyDescent="0.35">
      <c r="A276" s="5">
        <v>2019</v>
      </c>
      <c r="B276" s="5" t="s">
        <v>48</v>
      </c>
      <c r="C276" s="140" t="s">
        <v>170</v>
      </c>
      <c r="D276" s="5">
        <v>4</v>
      </c>
    </row>
    <row r="277" spans="1:4" x14ac:dyDescent="0.35">
      <c r="A277" s="5">
        <v>2019</v>
      </c>
      <c r="B277" s="5" t="s">
        <v>48</v>
      </c>
      <c r="C277" s="140" t="s">
        <v>171</v>
      </c>
      <c r="D277" s="5">
        <v>13</v>
      </c>
    </row>
    <row r="278" spans="1:4" x14ac:dyDescent="0.35">
      <c r="A278" s="5">
        <v>2019</v>
      </c>
      <c r="B278" s="5" t="s">
        <v>48</v>
      </c>
      <c r="C278" s="140" t="s">
        <v>172</v>
      </c>
      <c r="D278" s="5">
        <v>23</v>
      </c>
    </row>
    <row r="279" spans="1:4" x14ac:dyDescent="0.35">
      <c r="A279" s="5">
        <v>2019</v>
      </c>
      <c r="B279" s="5" t="s">
        <v>48</v>
      </c>
      <c r="C279" s="140" t="s">
        <v>173</v>
      </c>
      <c r="D279" s="5">
        <v>104</v>
      </c>
    </row>
    <row r="280" spans="1:4" x14ac:dyDescent="0.35">
      <c r="A280" s="5">
        <v>2019</v>
      </c>
      <c r="B280" s="5" t="s">
        <v>48</v>
      </c>
      <c r="C280" s="140" t="s">
        <v>174</v>
      </c>
      <c r="D280" s="5">
        <v>103.36</v>
      </c>
    </row>
    <row r="281" spans="1:4" x14ac:dyDescent="0.35">
      <c r="A281" s="5">
        <v>2019</v>
      </c>
      <c r="B281" s="5" t="s">
        <v>48</v>
      </c>
      <c r="C281" s="140" t="s">
        <v>78</v>
      </c>
      <c r="D281" s="5">
        <v>337.32</v>
      </c>
    </row>
    <row r="282" spans="1:4" x14ac:dyDescent="0.35">
      <c r="A282" s="5">
        <v>2019</v>
      </c>
      <c r="B282" s="5" t="s">
        <v>49</v>
      </c>
      <c r="C282" s="140" t="s">
        <v>169</v>
      </c>
      <c r="D282" s="5">
        <v>3</v>
      </c>
    </row>
    <row r="283" spans="1:4" x14ac:dyDescent="0.35">
      <c r="A283" s="5">
        <v>2019</v>
      </c>
      <c r="B283" s="5" t="s">
        <v>49</v>
      </c>
      <c r="C283" s="140" t="s">
        <v>170</v>
      </c>
      <c r="D283" s="5">
        <v>3</v>
      </c>
    </row>
    <row r="284" spans="1:4" x14ac:dyDescent="0.35">
      <c r="A284" s="5">
        <v>2019</v>
      </c>
      <c r="B284" s="5" t="s">
        <v>49</v>
      </c>
      <c r="C284" s="140" t="s">
        <v>171</v>
      </c>
      <c r="D284" s="5">
        <v>7</v>
      </c>
    </row>
    <row r="285" spans="1:4" x14ac:dyDescent="0.35">
      <c r="A285" s="5">
        <v>2019</v>
      </c>
      <c r="B285" s="5" t="s">
        <v>49</v>
      </c>
      <c r="C285" s="140" t="s">
        <v>172</v>
      </c>
      <c r="D285" s="5">
        <v>13</v>
      </c>
    </row>
    <row r="286" spans="1:4" x14ac:dyDescent="0.35">
      <c r="A286" s="5">
        <v>2019</v>
      </c>
      <c r="B286" s="5" t="s">
        <v>49</v>
      </c>
      <c r="C286" s="140" t="s">
        <v>173</v>
      </c>
      <c r="D286" s="5">
        <v>31</v>
      </c>
    </row>
    <row r="287" spans="1:4" x14ac:dyDescent="0.35">
      <c r="A287" s="5">
        <v>2019</v>
      </c>
      <c r="B287" s="5" t="s">
        <v>49</v>
      </c>
      <c r="C287" s="140" t="s">
        <v>174</v>
      </c>
      <c r="D287" s="5">
        <v>48</v>
      </c>
    </row>
    <row r="288" spans="1:4" x14ac:dyDescent="0.35">
      <c r="A288" s="5">
        <v>2019</v>
      </c>
      <c r="B288" s="5" t="s">
        <v>49</v>
      </c>
      <c r="C288" s="140" t="s">
        <v>78</v>
      </c>
      <c r="D288" s="5">
        <v>127</v>
      </c>
    </row>
    <row r="289" spans="1:4" x14ac:dyDescent="0.35">
      <c r="A289" s="5">
        <v>2019</v>
      </c>
      <c r="B289" s="5" t="s">
        <v>50</v>
      </c>
      <c r="C289" s="140" t="s">
        <v>169</v>
      </c>
      <c r="D289" s="5">
        <v>3</v>
      </c>
    </row>
    <row r="290" spans="1:4" x14ac:dyDescent="0.35">
      <c r="A290" s="5">
        <v>2019</v>
      </c>
      <c r="B290" s="5" t="s">
        <v>50</v>
      </c>
      <c r="C290" s="140" t="s">
        <v>170</v>
      </c>
      <c r="D290" s="5">
        <v>7</v>
      </c>
    </row>
    <row r="291" spans="1:4" x14ac:dyDescent="0.35">
      <c r="A291" s="5">
        <v>2019</v>
      </c>
      <c r="B291" s="5" t="s">
        <v>50</v>
      </c>
      <c r="C291" s="140" t="s">
        <v>171</v>
      </c>
      <c r="D291" s="5">
        <v>12</v>
      </c>
    </row>
    <row r="292" spans="1:4" x14ac:dyDescent="0.35">
      <c r="A292" s="5">
        <v>2019</v>
      </c>
      <c r="B292" s="5" t="s">
        <v>50</v>
      </c>
      <c r="C292" s="140" t="s">
        <v>172</v>
      </c>
      <c r="D292" s="5">
        <v>46</v>
      </c>
    </row>
    <row r="293" spans="1:4" x14ac:dyDescent="0.35">
      <c r="A293" s="5">
        <v>2019</v>
      </c>
      <c r="B293" s="5" t="s">
        <v>50</v>
      </c>
      <c r="C293" s="140" t="s">
        <v>173</v>
      </c>
      <c r="D293" s="5">
        <v>248</v>
      </c>
    </row>
    <row r="294" spans="1:4" x14ac:dyDescent="0.35">
      <c r="A294" s="5">
        <v>2019</v>
      </c>
      <c r="B294" s="5" t="s">
        <v>50</v>
      </c>
      <c r="C294" s="140" t="s">
        <v>174</v>
      </c>
      <c r="D294" s="5">
        <v>236</v>
      </c>
    </row>
    <row r="295" spans="1:4" x14ac:dyDescent="0.35">
      <c r="A295" s="5">
        <v>2019</v>
      </c>
      <c r="B295" s="5" t="s">
        <v>50</v>
      </c>
      <c r="C295" s="140" t="s">
        <v>78</v>
      </c>
      <c r="D295" s="5">
        <v>843.38</v>
      </c>
    </row>
    <row r="296" spans="1:4" x14ac:dyDescent="0.35">
      <c r="A296" s="5">
        <v>2019</v>
      </c>
      <c r="B296" s="5" t="s">
        <v>51</v>
      </c>
      <c r="C296" s="140" t="s">
        <v>169</v>
      </c>
      <c r="D296" s="5">
        <v>2</v>
      </c>
    </row>
    <row r="297" spans="1:4" x14ac:dyDescent="0.35">
      <c r="A297" s="5">
        <v>2019</v>
      </c>
      <c r="B297" s="5" t="s">
        <v>51</v>
      </c>
      <c r="C297" s="140" t="s">
        <v>170</v>
      </c>
      <c r="D297" s="5">
        <v>3</v>
      </c>
    </row>
    <row r="298" spans="1:4" x14ac:dyDescent="0.35">
      <c r="A298" s="5">
        <v>2019</v>
      </c>
      <c r="B298" s="5" t="s">
        <v>51</v>
      </c>
      <c r="C298" s="140" t="s">
        <v>171</v>
      </c>
      <c r="D298" s="5">
        <v>9</v>
      </c>
    </row>
    <row r="299" spans="1:4" x14ac:dyDescent="0.35">
      <c r="A299" s="5">
        <v>2019</v>
      </c>
      <c r="B299" s="5" t="s">
        <v>51</v>
      </c>
      <c r="C299" s="140" t="s">
        <v>172</v>
      </c>
      <c r="D299" s="5">
        <v>26</v>
      </c>
    </row>
    <row r="300" spans="1:4" x14ac:dyDescent="0.35">
      <c r="A300" s="5">
        <v>2019</v>
      </c>
      <c r="B300" s="5" t="s">
        <v>51</v>
      </c>
      <c r="C300" s="140" t="s">
        <v>173</v>
      </c>
      <c r="D300" s="5">
        <v>58</v>
      </c>
    </row>
    <row r="301" spans="1:4" x14ac:dyDescent="0.35">
      <c r="A301" s="5">
        <v>2019</v>
      </c>
      <c r="B301" s="5" t="s">
        <v>51</v>
      </c>
      <c r="C301" s="140" t="s">
        <v>174</v>
      </c>
      <c r="D301" s="5">
        <v>46</v>
      </c>
    </row>
    <row r="302" spans="1:4" x14ac:dyDescent="0.35">
      <c r="A302" s="5">
        <v>2019</v>
      </c>
      <c r="B302" s="5" t="s">
        <v>51</v>
      </c>
      <c r="C302" s="140" t="s">
        <v>78</v>
      </c>
      <c r="D302" s="5">
        <v>175</v>
      </c>
    </row>
    <row r="303" spans="1:4" x14ac:dyDescent="0.35">
      <c r="A303" s="5">
        <v>2019</v>
      </c>
      <c r="B303" s="5" t="s">
        <v>52</v>
      </c>
      <c r="C303" s="140" t="s">
        <v>169</v>
      </c>
      <c r="D303" s="5">
        <v>3</v>
      </c>
    </row>
    <row r="304" spans="1:4" x14ac:dyDescent="0.35">
      <c r="A304" s="5">
        <v>2019</v>
      </c>
      <c r="B304" s="5" t="s">
        <v>52</v>
      </c>
      <c r="C304" s="140" t="s">
        <v>170</v>
      </c>
      <c r="D304" s="5">
        <v>3</v>
      </c>
    </row>
    <row r="305" spans="1:4" x14ac:dyDescent="0.35">
      <c r="A305" s="5">
        <v>2019</v>
      </c>
      <c r="B305" s="5" t="s">
        <v>52</v>
      </c>
      <c r="C305" s="140" t="s">
        <v>171</v>
      </c>
      <c r="D305" s="5">
        <v>10</v>
      </c>
    </row>
    <row r="306" spans="1:4" x14ac:dyDescent="0.35">
      <c r="A306" s="5">
        <v>2019</v>
      </c>
      <c r="B306" s="5" t="s">
        <v>52</v>
      </c>
      <c r="C306" s="140" t="s">
        <v>172</v>
      </c>
      <c r="D306" s="5">
        <v>43</v>
      </c>
    </row>
    <row r="307" spans="1:4" x14ac:dyDescent="0.35">
      <c r="A307" s="5">
        <v>2019</v>
      </c>
      <c r="B307" s="5" t="s">
        <v>52</v>
      </c>
      <c r="C307" s="140" t="s">
        <v>173</v>
      </c>
      <c r="D307" s="5">
        <v>158.5</v>
      </c>
    </row>
    <row r="308" spans="1:4" x14ac:dyDescent="0.35">
      <c r="A308" s="5">
        <v>2019</v>
      </c>
      <c r="B308" s="5" t="s">
        <v>52</v>
      </c>
      <c r="C308" s="140" t="s">
        <v>174</v>
      </c>
      <c r="D308" s="5">
        <v>142.53</v>
      </c>
    </row>
    <row r="309" spans="1:4" x14ac:dyDescent="0.35">
      <c r="A309" s="5">
        <v>2019</v>
      </c>
      <c r="B309" s="5" t="s">
        <v>52</v>
      </c>
      <c r="C309" s="140" t="s">
        <v>78</v>
      </c>
      <c r="D309" s="5">
        <v>590</v>
      </c>
    </row>
    <row r="310" spans="1:4" x14ac:dyDescent="0.35">
      <c r="A310" s="5">
        <v>2019</v>
      </c>
      <c r="B310" s="5" t="s">
        <v>115</v>
      </c>
      <c r="C310" s="140" t="s">
        <v>169</v>
      </c>
      <c r="D310" s="5">
        <v>3</v>
      </c>
    </row>
    <row r="311" spans="1:4" x14ac:dyDescent="0.35">
      <c r="A311" s="5">
        <v>2019</v>
      </c>
      <c r="B311" s="5" t="s">
        <v>115</v>
      </c>
      <c r="C311" s="140" t="s">
        <v>170</v>
      </c>
      <c r="D311" s="5">
        <v>5</v>
      </c>
    </row>
    <row r="312" spans="1:4" x14ac:dyDescent="0.35">
      <c r="A312" s="5">
        <v>2019</v>
      </c>
      <c r="B312" s="5" t="s">
        <v>115</v>
      </c>
      <c r="C312" s="140" t="s">
        <v>171</v>
      </c>
      <c r="D312" s="5">
        <v>10</v>
      </c>
    </row>
    <row r="313" spans="1:4" x14ac:dyDescent="0.35">
      <c r="A313" s="5">
        <v>2019</v>
      </c>
      <c r="B313" s="5" t="s">
        <v>115</v>
      </c>
      <c r="C313" s="140" t="s">
        <v>172</v>
      </c>
      <c r="D313" s="5">
        <v>37</v>
      </c>
    </row>
    <row r="314" spans="1:4" x14ac:dyDescent="0.35">
      <c r="A314" s="5">
        <v>2019</v>
      </c>
      <c r="B314" s="5" t="s">
        <v>115</v>
      </c>
      <c r="C314" s="140" t="s">
        <v>173</v>
      </c>
      <c r="D314" s="5">
        <v>74</v>
      </c>
    </row>
    <row r="315" spans="1:4" x14ac:dyDescent="0.35">
      <c r="A315" s="5">
        <v>2019</v>
      </c>
      <c r="B315" s="5" t="s">
        <v>115</v>
      </c>
      <c r="C315" s="140" t="s">
        <v>174</v>
      </c>
      <c r="D315" s="5">
        <v>67</v>
      </c>
    </row>
    <row r="316" spans="1:4" x14ac:dyDescent="0.35">
      <c r="A316" s="5">
        <v>2019</v>
      </c>
      <c r="B316" s="5" t="s">
        <v>115</v>
      </c>
      <c r="C316" s="140" t="s">
        <v>78</v>
      </c>
      <c r="D316" s="5">
        <v>228</v>
      </c>
    </row>
    <row r="317" spans="1:4" x14ac:dyDescent="0.35">
      <c r="A317" s="5">
        <v>2019</v>
      </c>
      <c r="B317" s="5" t="s">
        <v>37</v>
      </c>
      <c r="C317" s="140" t="s">
        <v>169</v>
      </c>
    </row>
    <row r="318" spans="1:4" x14ac:dyDescent="0.35">
      <c r="A318" s="5">
        <v>2019</v>
      </c>
      <c r="B318" s="5" t="s">
        <v>37</v>
      </c>
      <c r="C318" s="140" t="s">
        <v>170</v>
      </c>
    </row>
    <row r="319" spans="1:4" x14ac:dyDescent="0.35">
      <c r="A319" s="5">
        <v>2019</v>
      </c>
      <c r="B319" s="5" t="s">
        <v>37</v>
      </c>
      <c r="C319" s="140" t="s">
        <v>171</v>
      </c>
    </row>
    <row r="320" spans="1:4" x14ac:dyDescent="0.35">
      <c r="A320" s="5">
        <v>2019</v>
      </c>
      <c r="B320" s="5" t="s">
        <v>37</v>
      </c>
      <c r="C320" s="140" t="s">
        <v>172</v>
      </c>
    </row>
    <row r="321" spans="1:3" x14ac:dyDescent="0.35">
      <c r="A321" s="5">
        <v>2019</v>
      </c>
      <c r="B321" s="5" t="s">
        <v>37</v>
      </c>
      <c r="C321" s="140" t="s">
        <v>173</v>
      </c>
    </row>
    <row r="322" spans="1:3" x14ac:dyDescent="0.35">
      <c r="A322" s="5">
        <v>2019</v>
      </c>
      <c r="B322" s="5" t="s">
        <v>37</v>
      </c>
      <c r="C322" s="140" t="s">
        <v>174</v>
      </c>
    </row>
    <row r="323" spans="1:3" x14ac:dyDescent="0.35">
      <c r="A323" s="5">
        <v>2019</v>
      </c>
      <c r="B323" s="5" t="s">
        <v>37</v>
      </c>
      <c r="C323" s="140" t="s">
        <v>78</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CDB4F-197C-43B6-932E-215D07DE5AF8}">
  <sheetPr codeName="Sheet31"/>
  <dimension ref="A1:D231"/>
  <sheetViews>
    <sheetView workbookViewId="0">
      <selection activeCell="A4" sqref="A4:H4"/>
    </sheetView>
  </sheetViews>
  <sheetFormatPr defaultRowHeight="14.5" x14ac:dyDescent="0.35"/>
  <sheetData>
    <row r="1" spans="1:4" x14ac:dyDescent="0.35">
      <c r="A1" s="5" t="s">
        <v>152</v>
      </c>
      <c r="B1" s="140" t="s">
        <v>61</v>
      </c>
      <c r="C1" s="140" t="s">
        <v>175</v>
      </c>
      <c r="D1" s="140" t="s">
        <v>176</v>
      </c>
    </row>
    <row r="2" spans="1:4" x14ac:dyDescent="0.35">
      <c r="A2">
        <v>2019</v>
      </c>
      <c r="B2" t="s">
        <v>7</v>
      </c>
      <c r="C2" s="140" t="s">
        <v>171</v>
      </c>
      <c r="D2">
        <v>0</v>
      </c>
    </row>
    <row r="3" spans="1:4" x14ac:dyDescent="0.35">
      <c r="A3">
        <v>2019</v>
      </c>
      <c r="B3" t="s">
        <v>7</v>
      </c>
      <c r="C3" s="140" t="s">
        <v>172</v>
      </c>
      <c r="D3">
        <v>0</v>
      </c>
    </row>
    <row r="4" spans="1:4" x14ac:dyDescent="0.35">
      <c r="A4">
        <v>2019</v>
      </c>
      <c r="B4" t="s">
        <v>7</v>
      </c>
      <c r="C4" s="140" t="s">
        <v>173</v>
      </c>
      <c r="D4">
        <v>7.45</v>
      </c>
    </row>
    <row r="5" spans="1:4" x14ac:dyDescent="0.35">
      <c r="A5">
        <v>2019</v>
      </c>
      <c r="B5" t="s">
        <v>7</v>
      </c>
      <c r="C5" s="140" t="s">
        <v>174</v>
      </c>
      <c r="D5">
        <v>25.48</v>
      </c>
    </row>
    <row r="6" spans="1:4" x14ac:dyDescent="0.35">
      <c r="A6">
        <v>2019</v>
      </c>
      <c r="B6" t="s">
        <v>7</v>
      </c>
      <c r="C6" s="140" t="s">
        <v>78</v>
      </c>
      <c r="D6">
        <v>105.71</v>
      </c>
    </row>
    <row r="7" spans="1:4" x14ac:dyDescent="0.35">
      <c r="A7">
        <v>2019</v>
      </c>
      <c r="B7" t="s">
        <v>8</v>
      </c>
      <c r="C7" s="140" t="s">
        <v>171</v>
      </c>
      <c r="D7">
        <v>0</v>
      </c>
    </row>
    <row r="8" spans="1:4" x14ac:dyDescent="0.35">
      <c r="A8">
        <v>2019</v>
      </c>
      <c r="B8" t="s">
        <v>8</v>
      </c>
      <c r="C8" s="140" t="s">
        <v>172</v>
      </c>
      <c r="D8">
        <v>0</v>
      </c>
    </row>
    <row r="9" spans="1:4" x14ac:dyDescent="0.35">
      <c r="A9">
        <v>2019</v>
      </c>
      <c r="B9" t="s">
        <v>8</v>
      </c>
      <c r="C9" s="140" t="s">
        <v>173</v>
      </c>
      <c r="D9">
        <v>9.75</v>
      </c>
    </row>
    <row r="10" spans="1:4" x14ac:dyDescent="0.35">
      <c r="A10">
        <v>2019</v>
      </c>
      <c r="B10" t="s">
        <v>8</v>
      </c>
      <c r="C10" s="140" t="s">
        <v>174</v>
      </c>
      <c r="D10">
        <v>17.75</v>
      </c>
    </row>
    <row r="11" spans="1:4" x14ac:dyDescent="0.35">
      <c r="A11">
        <v>2019</v>
      </c>
      <c r="B11" t="s">
        <v>8</v>
      </c>
      <c r="C11" s="140" t="s">
        <v>78</v>
      </c>
      <c r="D11">
        <v>89.75</v>
      </c>
    </row>
    <row r="12" spans="1:4" x14ac:dyDescent="0.35">
      <c r="A12">
        <v>2019</v>
      </c>
      <c r="B12" t="s">
        <v>9</v>
      </c>
      <c r="C12" s="140" t="s">
        <v>171</v>
      </c>
      <c r="D12">
        <v>0</v>
      </c>
    </row>
    <row r="13" spans="1:4" x14ac:dyDescent="0.35">
      <c r="A13">
        <v>2019</v>
      </c>
      <c r="B13" t="s">
        <v>9</v>
      </c>
      <c r="C13" s="140" t="s">
        <v>172</v>
      </c>
      <c r="D13">
        <v>0</v>
      </c>
    </row>
    <row r="14" spans="1:4" x14ac:dyDescent="0.35">
      <c r="A14">
        <v>2019</v>
      </c>
      <c r="B14" t="s">
        <v>9</v>
      </c>
      <c r="C14" s="140" t="s">
        <v>173</v>
      </c>
      <c r="D14">
        <v>6.18</v>
      </c>
    </row>
    <row r="15" spans="1:4" x14ac:dyDescent="0.35">
      <c r="A15">
        <v>2019</v>
      </c>
      <c r="B15" t="s">
        <v>9</v>
      </c>
      <c r="C15" s="140" t="s">
        <v>174</v>
      </c>
      <c r="D15">
        <v>7.12</v>
      </c>
    </row>
    <row r="16" spans="1:4" x14ac:dyDescent="0.35">
      <c r="A16">
        <v>2019</v>
      </c>
      <c r="B16" t="s">
        <v>9</v>
      </c>
      <c r="C16" s="140" t="s">
        <v>78</v>
      </c>
      <c r="D16">
        <v>43.676000000000002</v>
      </c>
    </row>
    <row r="17" spans="1:4" x14ac:dyDescent="0.35">
      <c r="A17">
        <v>2019</v>
      </c>
      <c r="B17" t="s">
        <v>10</v>
      </c>
      <c r="C17" s="140" t="s">
        <v>171</v>
      </c>
      <c r="D17">
        <v>0</v>
      </c>
    </row>
    <row r="18" spans="1:4" x14ac:dyDescent="0.35">
      <c r="A18">
        <v>2019</v>
      </c>
      <c r="B18" t="s">
        <v>10</v>
      </c>
      <c r="C18" s="140" t="s">
        <v>172</v>
      </c>
      <c r="D18">
        <v>0</v>
      </c>
    </row>
    <row r="19" spans="1:4" x14ac:dyDescent="0.35">
      <c r="A19">
        <v>2019</v>
      </c>
      <c r="B19" t="s">
        <v>10</v>
      </c>
      <c r="C19" s="140" t="s">
        <v>173</v>
      </c>
      <c r="D19">
        <v>5.08</v>
      </c>
    </row>
    <row r="20" spans="1:4" x14ac:dyDescent="0.35">
      <c r="A20">
        <v>2019</v>
      </c>
      <c r="B20" t="s">
        <v>10</v>
      </c>
      <c r="C20" s="140" t="s">
        <v>174</v>
      </c>
      <c r="D20">
        <v>17.079999999999998</v>
      </c>
    </row>
    <row r="21" spans="1:4" x14ac:dyDescent="0.35">
      <c r="A21">
        <v>2019</v>
      </c>
      <c r="B21" t="s">
        <v>10</v>
      </c>
      <c r="C21" s="140" t="s">
        <v>78</v>
      </c>
      <c r="D21">
        <v>66.16</v>
      </c>
    </row>
    <row r="22" spans="1:4" x14ac:dyDescent="0.35">
      <c r="A22">
        <v>2019</v>
      </c>
      <c r="B22" t="s">
        <v>11</v>
      </c>
      <c r="C22" s="140" t="s">
        <v>171</v>
      </c>
      <c r="D22">
        <v>0</v>
      </c>
    </row>
    <row r="23" spans="1:4" x14ac:dyDescent="0.35">
      <c r="A23">
        <v>2019</v>
      </c>
      <c r="B23" t="s">
        <v>11</v>
      </c>
      <c r="C23" s="140" t="s">
        <v>172</v>
      </c>
      <c r="D23">
        <v>0</v>
      </c>
    </row>
    <row r="24" spans="1:4" x14ac:dyDescent="0.35">
      <c r="A24">
        <v>2019</v>
      </c>
      <c r="B24" t="s">
        <v>11</v>
      </c>
      <c r="C24" s="140" t="s">
        <v>173</v>
      </c>
      <c r="D24">
        <v>11.95</v>
      </c>
    </row>
    <row r="25" spans="1:4" x14ac:dyDescent="0.35">
      <c r="A25">
        <v>2019</v>
      </c>
      <c r="B25" t="s">
        <v>11</v>
      </c>
      <c r="C25" s="140" t="s">
        <v>174</v>
      </c>
      <c r="D25">
        <v>27.22</v>
      </c>
    </row>
    <row r="26" spans="1:4" x14ac:dyDescent="0.35">
      <c r="A26">
        <v>2019</v>
      </c>
      <c r="B26" t="s">
        <v>11</v>
      </c>
      <c r="C26" s="140" t="s">
        <v>78</v>
      </c>
      <c r="D26">
        <v>67.67</v>
      </c>
    </row>
    <row r="27" spans="1:4" x14ac:dyDescent="0.35">
      <c r="A27">
        <v>2019</v>
      </c>
      <c r="B27" t="s">
        <v>12</v>
      </c>
      <c r="C27" s="140" t="s">
        <v>171</v>
      </c>
      <c r="D27">
        <v>0</v>
      </c>
    </row>
    <row r="28" spans="1:4" x14ac:dyDescent="0.35">
      <c r="A28">
        <v>2019</v>
      </c>
      <c r="B28" t="s">
        <v>12</v>
      </c>
      <c r="C28" s="140" t="s">
        <v>172</v>
      </c>
      <c r="D28">
        <v>0</v>
      </c>
    </row>
    <row r="29" spans="1:4" x14ac:dyDescent="0.35">
      <c r="A29">
        <v>2019</v>
      </c>
      <c r="B29" t="s">
        <v>12</v>
      </c>
      <c r="C29" s="140" t="s">
        <v>173</v>
      </c>
      <c r="D29">
        <v>10.050000000000001</v>
      </c>
    </row>
    <row r="30" spans="1:4" x14ac:dyDescent="0.35">
      <c r="A30">
        <v>2019</v>
      </c>
      <c r="B30" t="s">
        <v>12</v>
      </c>
      <c r="C30" s="140" t="s">
        <v>174</v>
      </c>
      <c r="D30">
        <v>29.79</v>
      </c>
    </row>
    <row r="31" spans="1:4" x14ac:dyDescent="0.35">
      <c r="A31">
        <v>2019</v>
      </c>
      <c r="B31" t="s">
        <v>12</v>
      </c>
      <c r="C31" s="140" t="s">
        <v>78</v>
      </c>
      <c r="D31">
        <v>110.32</v>
      </c>
    </row>
    <row r="32" spans="1:4" x14ac:dyDescent="0.35">
      <c r="A32">
        <v>2019</v>
      </c>
      <c r="B32" t="s">
        <v>13</v>
      </c>
      <c r="C32" s="140" t="s">
        <v>171</v>
      </c>
      <c r="D32">
        <v>0</v>
      </c>
    </row>
    <row r="33" spans="1:4" x14ac:dyDescent="0.35">
      <c r="A33">
        <v>2019</v>
      </c>
      <c r="B33" t="s">
        <v>13</v>
      </c>
      <c r="C33" s="140" t="s">
        <v>172</v>
      </c>
      <c r="D33">
        <v>0</v>
      </c>
    </row>
    <row r="34" spans="1:4" x14ac:dyDescent="0.35">
      <c r="A34">
        <v>2019</v>
      </c>
      <c r="B34" t="s">
        <v>13</v>
      </c>
      <c r="C34" s="140" t="s">
        <v>173</v>
      </c>
      <c r="D34">
        <v>4</v>
      </c>
    </row>
    <row r="35" spans="1:4" x14ac:dyDescent="0.35">
      <c r="A35">
        <v>2019</v>
      </c>
      <c r="B35" t="s">
        <v>13</v>
      </c>
      <c r="C35" s="140" t="s">
        <v>174</v>
      </c>
      <c r="D35">
        <v>11.25</v>
      </c>
    </row>
    <row r="36" spans="1:4" x14ac:dyDescent="0.35">
      <c r="A36">
        <v>2019</v>
      </c>
      <c r="B36" t="s">
        <v>13</v>
      </c>
      <c r="C36" s="140" t="s">
        <v>78</v>
      </c>
      <c r="D36">
        <v>70.5</v>
      </c>
    </row>
    <row r="37" spans="1:4" x14ac:dyDescent="0.35">
      <c r="A37">
        <v>2019</v>
      </c>
      <c r="B37" t="s">
        <v>14</v>
      </c>
      <c r="C37" s="140" t="s">
        <v>171</v>
      </c>
      <c r="D37">
        <v>0</v>
      </c>
    </row>
    <row r="38" spans="1:4" x14ac:dyDescent="0.35">
      <c r="A38">
        <v>2019</v>
      </c>
      <c r="B38" t="s">
        <v>14</v>
      </c>
      <c r="C38" s="140" t="s">
        <v>172</v>
      </c>
      <c r="D38">
        <v>14.75</v>
      </c>
    </row>
    <row r="39" spans="1:4" x14ac:dyDescent="0.35">
      <c r="A39">
        <v>2019</v>
      </c>
      <c r="B39" t="s">
        <v>14</v>
      </c>
      <c r="C39" s="140" t="s">
        <v>173</v>
      </c>
      <c r="D39">
        <v>26</v>
      </c>
    </row>
    <row r="40" spans="1:4" x14ac:dyDescent="0.35">
      <c r="A40">
        <v>2019</v>
      </c>
      <c r="B40" t="s">
        <v>14</v>
      </c>
      <c r="C40" s="140" t="s">
        <v>174</v>
      </c>
      <c r="D40">
        <v>44.75</v>
      </c>
    </row>
    <row r="41" spans="1:4" x14ac:dyDescent="0.35">
      <c r="A41">
        <v>2019</v>
      </c>
      <c r="B41" t="s">
        <v>14</v>
      </c>
      <c r="C41" s="140" t="s">
        <v>78</v>
      </c>
      <c r="D41">
        <v>287.12</v>
      </c>
    </row>
    <row r="42" spans="1:4" x14ac:dyDescent="0.35">
      <c r="A42">
        <v>2019</v>
      </c>
      <c r="B42" t="s">
        <v>15</v>
      </c>
      <c r="C42" s="140" t="s">
        <v>171</v>
      </c>
      <c r="D42">
        <v>0</v>
      </c>
    </row>
    <row r="43" spans="1:4" x14ac:dyDescent="0.35">
      <c r="A43">
        <v>2019</v>
      </c>
      <c r="B43" t="s">
        <v>15</v>
      </c>
      <c r="C43" s="140" t="s">
        <v>172</v>
      </c>
      <c r="D43">
        <v>0</v>
      </c>
    </row>
    <row r="44" spans="1:4" x14ac:dyDescent="0.35">
      <c r="A44">
        <v>2019</v>
      </c>
      <c r="B44" t="s">
        <v>15</v>
      </c>
      <c r="C44" s="140" t="s">
        <v>173</v>
      </c>
      <c r="D44">
        <v>7.9</v>
      </c>
    </row>
    <row r="45" spans="1:4" x14ac:dyDescent="0.35">
      <c r="A45">
        <v>2019</v>
      </c>
      <c r="B45" t="s">
        <v>15</v>
      </c>
      <c r="C45" s="140" t="s">
        <v>174</v>
      </c>
      <c r="D45">
        <v>79.7</v>
      </c>
    </row>
    <row r="46" spans="1:4" x14ac:dyDescent="0.35">
      <c r="A46">
        <v>2019</v>
      </c>
      <c r="B46" t="s">
        <v>15</v>
      </c>
      <c r="C46" s="140" t="s">
        <v>78</v>
      </c>
      <c r="D46">
        <v>202.19</v>
      </c>
    </row>
    <row r="47" spans="1:4" x14ac:dyDescent="0.35">
      <c r="A47">
        <v>2019</v>
      </c>
      <c r="B47" t="s">
        <v>16</v>
      </c>
      <c r="C47" s="140" t="s">
        <v>171</v>
      </c>
      <c r="D47">
        <v>0</v>
      </c>
    </row>
    <row r="48" spans="1:4" x14ac:dyDescent="0.35">
      <c r="A48">
        <v>2019</v>
      </c>
      <c r="B48" t="s">
        <v>16</v>
      </c>
      <c r="C48" s="140" t="s">
        <v>172</v>
      </c>
      <c r="D48">
        <v>0</v>
      </c>
    </row>
    <row r="49" spans="1:4" x14ac:dyDescent="0.35">
      <c r="A49">
        <v>2019</v>
      </c>
      <c r="B49" t="s">
        <v>16</v>
      </c>
      <c r="C49" s="140" t="s">
        <v>173</v>
      </c>
      <c r="D49">
        <v>22</v>
      </c>
    </row>
    <row r="50" spans="1:4" x14ac:dyDescent="0.35">
      <c r="A50">
        <v>2019</v>
      </c>
      <c r="B50" t="s">
        <v>16</v>
      </c>
      <c r="C50" s="140" t="s">
        <v>174</v>
      </c>
      <c r="D50">
        <v>42.25</v>
      </c>
    </row>
    <row r="51" spans="1:4" x14ac:dyDescent="0.35">
      <c r="A51">
        <v>2019</v>
      </c>
      <c r="B51" t="s">
        <v>16</v>
      </c>
      <c r="C51" s="140" t="s">
        <v>78</v>
      </c>
      <c r="D51">
        <v>148.85</v>
      </c>
    </row>
    <row r="52" spans="1:4" x14ac:dyDescent="0.35">
      <c r="A52">
        <v>2019</v>
      </c>
      <c r="B52" t="s">
        <v>17</v>
      </c>
      <c r="C52" s="140" t="s">
        <v>171</v>
      </c>
      <c r="D52">
        <v>0</v>
      </c>
    </row>
    <row r="53" spans="1:4" x14ac:dyDescent="0.35">
      <c r="A53">
        <v>2019</v>
      </c>
      <c r="B53" t="s">
        <v>17</v>
      </c>
      <c r="C53" s="140" t="s">
        <v>172</v>
      </c>
      <c r="D53">
        <v>0</v>
      </c>
    </row>
    <row r="54" spans="1:4" x14ac:dyDescent="0.35">
      <c r="A54">
        <v>2019</v>
      </c>
      <c r="B54" t="s">
        <v>17</v>
      </c>
      <c r="C54" s="140" t="s">
        <v>173</v>
      </c>
      <c r="D54">
        <v>74.5</v>
      </c>
    </row>
    <row r="55" spans="1:4" x14ac:dyDescent="0.35">
      <c r="A55">
        <v>2019</v>
      </c>
      <c r="B55" t="s">
        <v>17</v>
      </c>
      <c r="C55" s="140" t="s">
        <v>174</v>
      </c>
      <c r="D55">
        <v>184.42000000000002</v>
      </c>
    </row>
    <row r="56" spans="1:4" x14ac:dyDescent="0.35">
      <c r="A56">
        <v>2019</v>
      </c>
      <c r="B56" t="s">
        <v>17</v>
      </c>
      <c r="C56" s="140" t="s">
        <v>78</v>
      </c>
      <c r="D56">
        <v>682.33999999999992</v>
      </c>
    </row>
    <row r="57" spans="1:4" x14ac:dyDescent="0.35">
      <c r="A57">
        <v>2019</v>
      </c>
      <c r="B57" t="s">
        <v>19</v>
      </c>
      <c r="C57" s="140" t="s">
        <v>171</v>
      </c>
      <c r="D57">
        <v>0</v>
      </c>
    </row>
    <row r="58" spans="1:4" x14ac:dyDescent="0.35">
      <c r="A58">
        <v>2019</v>
      </c>
      <c r="B58" t="s">
        <v>19</v>
      </c>
      <c r="C58" s="140" t="s">
        <v>172</v>
      </c>
      <c r="D58">
        <v>0</v>
      </c>
    </row>
    <row r="59" spans="1:4" x14ac:dyDescent="0.35">
      <c r="A59">
        <v>2019</v>
      </c>
      <c r="B59" t="s">
        <v>19</v>
      </c>
      <c r="C59" s="140" t="s">
        <v>173</v>
      </c>
      <c r="D59">
        <v>10</v>
      </c>
    </row>
    <row r="60" spans="1:4" x14ac:dyDescent="0.35">
      <c r="A60">
        <v>2019</v>
      </c>
      <c r="B60" t="s">
        <v>19</v>
      </c>
      <c r="C60" s="140" t="s">
        <v>174</v>
      </c>
      <c r="D60">
        <v>26</v>
      </c>
    </row>
    <row r="61" spans="1:4" x14ac:dyDescent="0.35">
      <c r="A61">
        <v>2019</v>
      </c>
      <c r="B61" t="s">
        <v>19</v>
      </c>
      <c r="C61" s="140" t="s">
        <v>78</v>
      </c>
      <c r="D61">
        <v>101</v>
      </c>
    </row>
    <row r="62" spans="1:4" x14ac:dyDescent="0.35">
      <c r="A62">
        <v>2019</v>
      </c>
      <c r="B62" t="s">
        <v>20</v>
      </c>
      <c r="C62" s="140" t="s">
        <v>171</v>
      </c>
      <c r="D62">
        <v>0</v>
      </c>
    </row>
    <row r="63" spans="1:4" x14ac:dyDescent="0.35">
      <c r="A63">
        <v>2019</v>
      </c>
      <c r="B63" t="s">
        <v>20</v>
      </c>
      <c r="C63" s="140" t="s">
        <v>172</v>
      </c>
      <c r="D63">
        <v>0</v>
      </c>
    </row>
    <row r="64" spans="1:4" x14ac:dyDescent="0.35">
      <c r="A64">
        <v>2019</v>
      </c>
      <c r="B64" t="s">
        <v>20</v>
      </c>
      <c r="C64" s="140" t="s">
        <v>173</v>
      </c>
      <c r="D64">
        <v>14</v>
      </c>
    </row>
    <row r="65" spans="1:4" x14ac:dyDescent="0.35">
      <c r="A65">
        <v>2019</v>
      </c>
      <c r="B65" t="s">
        <v>20</v>
      </c>
      <c r="C65" s="140" t="s">
        <v>174</v>
      </c>
      <c r="D65">
        <v>28</v>
      </c>
    </row>
    <row r="66" spans="1:4" x14ac:dyDescent="0.35">
      <c r="A66">
        <v>2019</v>
      </c>
      <c r="B66" t="s">
        <v>20</v>
      </c>
      <c r="C66" s="140" t="s">
        <v>78</v>
      </c>
      <c r="D66">
        <v>154</v>
      </c>
    </row>
    <row r="67" spans="1:4" x14ac:dyDescent="0.35">
      <c r="A67">
        <v>2019</v>
      </c>
      <c r="B67" t="s">
        <v>21</v>
      </c>
      <c r="C67" s="140" t="s">
        <v>171</v>
      </c>
      <c r="D67">
        <v>0</v>
      </c>
    </row>
    <row r="68" spans="1:4" x14ac:dyDescent="0.35">
      <c r="A68">
        <v>2019</v>
      </c>
      <c r="B68" t="s">
        <v>21</v>
      </c>
      <c r="C68" s="140" t="s">
        <v>172</v>
      </c>
      <c r="D68">
        <v>3.8</v>
      </c>
    </row>
    <row r="69" spans="1:4" x14ac:dyDescent="0.35">
      <c r="A69">
        <v>2019</v>
      </c>
      <c r="B69" t="s">
        <v>21</v>
      </c>
      <c r="C69" s="140" t="s">
        <v>173</v>
      </c>
      <c r="D69">
        <v>25.3</v>
      </c>
    </row>
    <row r="70" spans="1:4" x14ac:dyDescent="0.35">
      <c r="A70">
        <v>2019</v>
      </c>
      <c r="B70" t="s">
        <v>21</v>
      </c>
      <c r="C70" s="140" t="s">
        <v>174</v>
      </c>
      <c r="D70">
        <v>71.8</v>
      </c>
    </row>
    <row r="71" spans="1:4" x14ac:dyDescent="0.35">
      <c r="A71">
        <v>2019</v>
      </c>
      <c r="B71" t="s">
        <v>21</v>
      </c>
      <c r="C71" s="140" t="s">
        <v>78</v>
      </c>
      <c r="D71">
        <v>296.8</v>
      </c>
    </row>
    <row r="72" spans="1:4" x14ac:dyDescent="0.35">
      <c r="A72">
        <v>2019</v>
      </c>
      <c r="B72" t="s">
        <v>22</v>
      </c>
      <c r="C72" s="140" t="s">
        <v>171</v>
      </c>
      <c r="D72">
        <v>0</v>
      </c>
    </row>
    <row r="73" spans="1:4" x14ac:dyDescent="0.35">
      <c r="A73">
        <v>2019</v>
      </c>
      <c r="B73" t="s">
        <v>22</v>
      </c>
      <c r="C73" s="140" t="s">
        <v>172</v>
      </c>
      <c r="D73">
        <v>0.75</v>
      </c>
    </row>
    <row r="74" spans="1:4" x14ac:dyDescent="0.35">
      <c r="A74">
        <v>2019</v>
      </c>
      <c r="B74" t="s">
        <v>22</v>
      </c>
      <c r="C74" s="140" t="s">
        <v>173</v>
      </c>
      <c r="D74">
        <v>19.850000000000001</v>
      </c>
    </row>
    <row r="75" spans="1:4" x14ac:dyDescent="0.35">
      <c r="A75">
        <v>2019</v>
      </c>
      <c r="B75" t="s">
        <v>22</v>
      </c>
      <c r="C75" s="140" t="s">
        <v>174</v>
      </c>
      <c r="D75">
        <v>35</v>
      </c>
    </row>
    <row r="76" spans="1:4" x14ac:dyDescent="0.35">
      <c r="A76">
        <v>2019</v>
      </c>
      <c r="B76" t="s">
        <v>22</v>
      </c>
      <c r="C76" s="140" t="s">
        <v>78</v>
      </c>
      <c r="D76">
        <v>138.80000000000001</v>
      </c>
    </row>
    <row r="77" spans="1:4" x14ac:dyDescent="0.35">
      <c r="A77">
        <v>2019</v>
      </c>
      <c r="B77" t="s">
        <v>23</v>
      </c>
      <c r="C77" s="140" t="s">
        <v>171</v>
      </c>
      <c r="D77">
        <v>0</v>
      </c>
    </row>
    <row r="78" spans="1:4" x14ac:dyDescent="0.35">
      <c r="A78">
        <v>2019</v>
      </c>
      <c r="B78" t="s">
        <v>23</v>
      </c>
      <c r="C78" s="140" t="s">
        <v>172</v>
      </c>
      <c r="D78">
        <v>0</v>
      </c>
    </row>
    <row r="79" spans="1:4" x14ac:dyDescent="0.35">
      <c r="A79">
        <v>2019</v>
      </c>
      <c r="B79" t="s">
        <v>23</v>
      </c>
      <c r="C79" s="140" t="s">
        <v>173</v>
      </c>
      <c r="D79">
        <v>0</v>
      </c>
    </row>
    <row r="80" spans="1:4" x14ac:dyDescent="0.35">
      <c r="A80">
        <v>2019</v>
      </c>
      <c r="B80" t="s">
        <v>23</v>
      </c>
      <c r="C80" s="140" t="s">
        <v>174</v>
      </c>
      <c r="D80">
        <v>0</v>
      </c>
    </row>
    <row r="81" spans="1:4" x14ac:dyDescent="0.35">
      <c r="A81">
        <v>2019</v>
      </c>
      <c r="B81" t="s">
        <v>23</v>
      </c>
      <c r="C81" s="140" t="s">
        <v>78</v>
      </c>
      <c r="D81">
        <v>0</v>
      </c>
    </row>
    <row r="82" spans="1:4" x14ac:dyDescent="0.35">
      <c r="A82">
        <v>2019</v>
      </c>
      <c r="B82" t="s">
        <v>24</v>
      </c>
      <c r="C82" s="140" t="s">
        <v>171</v>
      </c>
      <c r="D82">
        <v>0</v>
      </c>
    </row>
    <row r="83" spans="1:4" x14ac:dyDescent="0.35">
      <c r="A83">
        <v>2019</v>
      </c>
      <c r="B83" t="s">
        <v>24</v>
      </c>
      <c r="C83" s="140" t="s">
        <v>172</v>
      </c>
      <c r="D83">
        <v>0</v>
      </c>
    </row>
    <row r="84" spans="1:4" x14ac:dyDescent="0.35">
      <c r="A84">
        <v>2019</v>
      </c>
      <c r="B84" t="s">
        <v>24</v>
      </c>
      <c r="C84" s="140" t="s">
        <v>173</v>
      </c>
      <c r="D84">
        <v>0</v>
      </c>
    </row>
    <row r="85" spans="1:4" x14ac:dyDescent="0.35">
      <c r="A85">
        <v>2019</v>
      </c>
      <c r="B85" t="s">
        <v>24</v>
      </c>
      <c r="C85" s="140" t="s">
        <v>174</v>
      </c>
      <c r="D85">
        <v>0</v>
      </c>
    </row>
    <row r="86" spans="1:4" x14ac:dyDescent="0.35">
      <c r="A86">
        <v>2019</v>
      </c>
      <c r="B86" t="s">
        <v>24</v>
      </c>
      <c r="C86" s="140" t="s">
        <v>78</v>
      </c>
      <c r="D86">
        <v>3.86</v>
      </c>
    </row>
    <row r="87" spans="1:4" x14ac:dyDescent="0.35">
      <c r="A87">
        <v>2019</v>
      </c>
      <c r="B87" t="s">
        <v>25</v>
      </c>
      <c r="C87" s="140" t="s">
        <v>171</v>
      </c>
      <c r="D87">
        <v>0</v>
      </c>
    </row>
    <row r="88" spans="1:4" x14ac:dyDescent="0.35">
      <c r="A88">
        <v>2019</v>
      </c>
      <c r="B88" t="s">
        <v>25</v>
      </c>
      <c r="C88" s="140" t="s">
        <v>172</v>
      </c>
      <c r="D88">
        <v>2</v>
      </c>
    </row>
    <row r="89" spans="1:4" x14ac:dyDescent="0.35">
      <c r="A89">
        <v>2019</v>
      </c>
      <c r="B89" t="s">
        <v>25</v>
      </c>
      <c r="C89" s="140" t="s">
        <v>173</v>
      </c>
      <c r="D89">
        <v>50</v>
      </c>
    </row>
    <row r="90" spans="1:4" x14ac:dyDescent="0.35">
      <c r="A90">
        <v>2019</v>
      </c>
      <c r="B90" t="s">
        <v>25</v>
      </c>
      <c r="C90" s="140" t="s">
        <v>174</v>
      </c>
      <c r="D90">
        <v>95.75</v>
      </c>
    </row>
    <row r="91" spans="1:4" x14ac:dyDescent="0.35">
      <c r="A91">
        <v>2019</v>
      </c>
      <c r="B91" t="s">
        <v>25</v>
      </c>
      <c r="C91" s="140" t="s">
        <v>78</v>
      </c>
      <c r="D91">
        <v>421.375</v>
      </c>
    </row>
    <row r="92" spans="1:4" x14ac:dyDescent="0.35">
      <c r="A92">
        <v>2019</v>
      </c>
      <c r="B92" t="s">
        <v>26</v>
      </c>
      <c r="C92" s="140" t="s">
        <v>171</v>
      </c>
      <c r="D92">
        <v>0</v>
      </c>
    </row>
    <row r="93" spans="1:4" x14ac:dyDescent="0.35">
      <c r="A93">
        <v>2019</v>
      </c>
      <c r="B93" t="s">
        <v>26</v>
      </c>
      <c r="C93" s="140" t="s">
        <v>172</v>
      </c>
      <c r="D93">
        <v>0</v>
      </c>
    </row>
    <row r="94" spans="1:4" x14ac:dyDescent="0.35">
      <c r="A94">
        <v>2019</v>
      </c>
      <c r="B94" t="s">
        <v>26</v>
      </c>
      <c r="C94" s="140" t="s">
        <v>173</v>
      </c>
      <c r="D94">
        <v>18.48</v>
      </c>
    </row>
    <row r="95" spans="1:4" x14ac:dyDescent="0.35">
      <c r="A95">
        <v>2019</v>
      </c>
      <c r="B95" t="s">
        <v>26</v>
      </c>
      <c r="C95" s="140" t="s">
        <v>174</v>
      </c>
      <c r="D95">
        <v>41.92</v>
      </c>
    </row>
    <row r="96" spans="1:4" x14ac:dyDescent="0.35">
      <c r="A96">
        <v>2019</v>
      </c>
      <c r="B96" t="s">
        <v>26</v>
      </c>
      <c r="C96" s="140" t="s">
        <v>78</v>
      </c>
      <c r="D96">
        <v>160.91999999999999</v>
      </c>
    </row>
    <row r="97" spans="1:4" x14ac:dyDescent="0.35">
      <c r="A97">
        <v>2019</v>
      </c>
      <c r="B97" t="s">
        <v>27</v>
      </c>
      <c r="C97" s="140" t="s">
        <v>171</v>
      </c>
      <c r="D97">
        <v>0</v>
      </c>
    </row>
    <row r="98" spans="1:4" x14ac:dyDescent="0.35">
      <c r="A98">
        <v>2019</v>
      </c>
      <c r="B98" t="s">
        <v>27</v>
      </c>
      <c r="C98" s="140" t="s">
        <v>172</v>
      </c>
      <c r="D98">
        <v>0</v>
      </c>
    </row>
    <row r="99" spans="1:4" x14ac:dyDescent="0.35">
      <c r="A99">
        <v>2019</v>
      </c>
      <c r="B99" t="s">
        <v>27</v>
      </c>
      <c r="C99" s="140" t="s">
        <v>173</v>
      </c>
      <c r="D99">
        <v>20</v>
      </c>
    </row>
    <row r="100" spans="1:4" x14ac:dyDescent="0.35">
      <c r="A100">
        <v>2019</v>
      </c>
      <c r="B100" t="s">
        <v>27</v>
      </c>
      <c r="C100" s="140" t="s">
        <v>174</v>
      </c>
      <c r="D100">
        <v>32</v>
      </c>
    </row>
    <row r="101" spans="1:4" x14ac:dyDescent="0.35">
      <c r="A101">
        <v>2019</v>
      </c>
      <c r="B101" t="s">
        <v>27</v>
      </c>
      <c r="C101" s="140" t="s">
        <v>78</v>
      </c>
      <c r="D101">
        <v>115</v>
      </c>
    </row>
    <row r="102" spans="1:4" x14ac:dyDescent="0.35">
      <c r="A102">
        <v>2019</v>
      </c>
      <c r="B102" t="s">
        <v>28</v>
      </c>
      <c r="C102" s="140" t="s">
        <v>171</v>
      </c>
      <c r="D102">
        <v>0</v>
      </c>
    </row>
    <row r="103" spans="1:4" x14ac:dyDescent="0.35">
      <c r="A103">
        <v>2019</v>
      </c>
      <c r="B103" t="s">
        <v>28</v>
      </c>
      <c r="C103" s="140" t="s">
        <v>172</v>
      </c>
      <c r="D103">
        <v>0</v>
      </c>
    </row>
    <row r="104" spans="1:4" x14ac:dyDescent="0.35">
      <c r="A104">
        <v>2019</v>
      </c>
      <c r="B104" t="s">
        <v>28</v>
      </c>
      <c r="C104" s="140" t="s">
        <v>173</v>
      </c>
      <c r="D104">
        <v>22</v>
      </c>
    </row>
    <row r="105" spans="1:4" x14ac:dyDescent="0.35">
      <c r="A105">
        <v>2019</v>
      </c>
      <c r="B105" t="s">
        <v>28</v>
      </c>
      <c r="C105" s="140" t="s">
        <v>174</v>
      </c>
      <c r="D105">
        <v>64</v>
      </c>
    </row>
    <row r="106" spans="1:4" x14ac:dyDescent="0.35">
      <c r="A106">
        <v>2019</v>
      </c>
      <c r="B106" t="s">
        <v>28</v>
      </c>
      <c r="C106" s="140" t="s">
        <v>78</v>
      </c>
      <c r="D106">
        <v>256</v>
      </c>
    </row>
    <row r="107" spans="1:4" x14ac:dyDescent="0.35">
      <c r="A107">
        <v>2019</v>
      </c>
      <c r="B107" t="s">
        <v>29</v>
      </c>
      <c r="C107" s="140" t="s">
        <v>171</v>
      </c>
      <c r="D107">
        <v>0</v>
      </c>
    </row>
    <row r="108" spans="1:4" x14ac:dyDescent="0.35">
      <c r="A108">
        <v>2019</v>
      </c>
      <c r="B108" t="s">
        <v>29</v>
      </c>
      <c r="C108" s="140" t="s">
        <v>172</v>
      </c>
      <c r="D108">
        <v>0</v>
      </c>
    </row>
    <row r="109" spans="1:4" x14ac:dyDescent="0.35">
      <c r="A109">
        <v>2019</v>
      </c>
      <c r="B109" t="s">
        <v>29</v>
      </c>
      <c r="C109" s="140" t="s">
        <v>173</v>
      </c>
      <c r="D109">
        <v>11</v>
      </c>
    </row>
    <row r="110" spans="1:4" x14ac:dyDescent="0.35">
      <c r="A110">
        <v>2019</v>
      </c>
      <c r="B110" t="s">
        <v>29</v>
      </c>
      <c r="C110" s="140" t="s">
        <v>174</v>
      </c>
      <c r="D110">
        <v>22</v>
      </c>
    </row>
    <row r="111" spans="1:4" x14ac:dyDescent="0.35">
      <c r="A111">
        <v>2019</v>
      </c>
      <c r="B111" t="s">
        <v>29</v>
      </c>
      <c r="C111" s="140" t="s">
        <v>78</v>
      </c>
      <c r="D111">
        <v>71</v>
      </c>
    </row>
    <row r="112" spans="1:4" x14ac:dyDescent="0.35">
      <c r="A112">
        <v>2019</v>
      </c>
      <c r="B112" t="s">
        <v>30</v>
      </c>
      <c r="C112" s="140" t="s">
        <v>171</v>
      </c>
      <c r="D112">
        <v>0</v>
      </c>
    </row>
    <row r="113" spans="1:4" x14ac:dyDescent="0.35">
      <c r="A113">
        <v>2019</v>
      </c>
      <c r="B113" t="s">
        <v>30</v>
      </c>
      <c r="C113" s="140" t="s">
        <v>172</v>
      </c>
      <c r="D113">
        <v>1</v>
      </c>
    </row>
    <row r="114" spans="1:4" x14ac:dyDescent="0.35">
      <c r="A114">
        <v>2019</v>
      </c>
      <c r="B114" t="s">
        <v>30</v>
      </c>
      <c r="C114" s="140" t="s">
        <v>173</v>
      </c>
      <c r="D114">
        <v>5</v>
      </c>
    </row>
    <row r="115" spans="1:4" x14ac:dyDescent="0.35">
      <c r="A115">
        <v>2019</v>
      </c>
      <c r="B115" t="s">
        <v>30</v>
      </c>
      <c r="C115" s="140" t="s">
        <v>174</v>
      </c>
      <c r="D115">
        <v>6</v>
      </c>
    </row>
    <row r="116" spans="1:4" x14ac:dyDescent="0.35">
      <c r="A116">
        <v>2019</v>
      </c>
      <c r="B116" t="s">
        <v>30</v>
      </c>
      <c r="C116" s="140" t="s">
        <v>78</v>
      </c>
      <c r="D116">
        <v>30</v>
      </c>
    </row>
    <row r="117" spans="1:4" x14ac:dyDescent="0.35">
      <c r="A117">
        <v>2019</v>
      </c>
      <c r="B117" t="s">
        <v>31</v>
      </c>
      <c r="C117" s="140" t="s">
        <v>171</v>
      </c>
      <c r="D117">
        <v>0</v>
      </c>
    </row>
    <row r="118" spans="1:4" x14ac:dyDescent="0.35">
      <c r="A118">
        <v>2019</v>
      </c>
      <c r="B118" t="s">
        <v>31</v>
      </c>
      <c r="C118" s="140" t="s">
        <v>172</v>
      </c>
      <c r="D118">
        <v>0</v>
      </c>
    </row>
    <row r="119" spans="1:4" x14ac:dyDescent="0.35">
      <c r="A119">
        <v>2019</v>
      </c>
      <c r="B119" t="s">
        <v>31</v>
      </c>
      <c r="C119" s="140" t="s">
        <v>173</v>
      </c>
      <c r="D119">
        <v>28</v>
      </c>
    </row>
    <row r="120" spans="1:4" x14ac:dyDescent="0.35">
      <c r="A120">
        <v>2019</v>
      </c>
      <c r="B120" t="s">
        <v>31</v>
      </c>
      <c r="C120" s="140" t="s">
        <v>174</v>
      </c>
      <c r="D120">
        <v>81</v>
      </c>
    </row>
    <row r="121" spans="1:4" x14ac:dyDescent="0.35">
      <c r="A121">
        <v>2019</v>
      </c>
      <c r="B121" t="s">
        <v>31</v>
      </c>
      <c r="C121" s="140" t="s">
        <v>78</v>
      </c>
      <c r="D121">
        <v>372</v>
      </c>
    </row>
    <row r="122" spans="1:4" x14ac:dyDescent="0.35">
      <c r="A122">
        <v>2019</v>
      </c>
      <c r="B122" t="s">
        <v>32</v>
      </c>
      <c r="C122" s="140" t="s">
        <v>171</v>
      </c>
      <c r="D122">
        <v>0</v>
      </c>
    </row>
    <row r="123" spans="1:4" x14ac:dyDescent="0.35">
      <c r="A123">
        <v>2019</v>
      </c>
      <c r="B123" t="s">
        <v>32</v>
      </c>
      <c r="C123" s="140" t="s">
        <v>172</v>
      </c>
      <c r="D123">
        <v>0</v>
      </c>
    </row>
    <row r="124" spans="1:4" x14ac:dyDescent="0.35">
      <c r="A124">
        <v>2019</v>
      </c>
      <c r="B124" t="s">
        <v>32</v>
      </c>
      <c r="C124" s="140" t="s">
        <v>173</v>
      </c>
      <c r="D124">
        <v>22.5</v>
      </c>
    </row>
    <row r="125" spans="1:4" x14ac:dyDescent="0.35">
      <c r="A125">
        <v>2019</v>
      </c>
      <c r="B125" t="s">
        <v>32</v>
      </c>
      <c r="C125" s="140" t="s">
        <v>174</v>
      </c>
      <c r="D125">
        <v>66.900000000000006</v>
      </c>
    </row>
    <row r="126" spans="1:4" x14ac:dyDescent="0.35">
      <c r="A126">
        <v>2019</v>
      </c>
      <c r="B126" t="s">
        <v>32</v>
      </c>
      <c r="C126" s="140" t="s">
        <v>78</v>
      </c>
      <c r="D126">
        <v>179.3</v>
      </c>
    </row>
    <row r="127" spans="1:4" x14ac:dyDescent="0.35">
      <c r="A127">
        <v>2019</v>
      </c>
      <c r="B127" t="s">
        <v>33</v>
      </c>
      <c r="C127" s="140" t="s">
        <v>171</v>
      </c>
      <c r="D127">
        <v>0</v>
      </c>
    </row>
    <row r="128" spans="1:4" x14ac:dyDescent="0.35">
      <c r="A128">
        <v>2019</v>
      </c>
      <c r="B128" t="s">
        <v>33</v>
      </c>
      <c r="C128" s="140" t="s">
        <v>172</v>
      </c>
      <c r="D128">
        <v>0</v>
      </c>
    </row>
    <row r="129" spans="1:4" x14ac:dyDescent="0.35">
      <c r="A129">
        <v>2019</v>
      </c>
      <c r="B129" t="s">
        <v>33</v>
      </c>
      <c r="C129" s="140" t="s">
        <v>173</v>
      </c>
      <c r="D129">
        <v>10.45</v>
      </c>
    </row>
    <row r="130" spans="1:4" x14ac:dyDescent="0.35">
      <c r="A130">
        <v>2019</v>
      </c>
      <c r="B130" t="s">
        <v>33</v>
      </c>
      <c r="C130" s="140" t="s">
        <v>174</v>
      </c>
      <c r="D130">
        <v>21.35</v>
      </c>
    </row>
    <row r="131" spans="1:4" x14ac:dyDescent="0.35">
      <c r="A131">
        <v>2019</v>
      </c>
      <c r="B131" t="s">
        <v>33</v>
      </c>
      <c r="C131" s="140" t="s">
        <v>78</v>
      </c>
      <c r="D131">
        <v>95.8</v>
      </c>
    </row>
    <row r="132" spans="1:4" x14ac:dyDescent="0.35">
      <c r="A132">
        <v>2019</v>
      </c>
      <c r="B132" t="s">
        <v>34</v>
      </c>
      <c r="C132" s="140" t="s">
        <v>171</v>
      </c>
      <c r="D132">
        <v>0</v>
      </c>
    </row>
    <row r="133" spans="1:4" x14ac:dyDescent="0.35">
      <c r="A133">
        <v>2019</v>
      </c>
      <c r="B133" t="s">
        <v>34</v>
      </c>
      <c r="C133" s="140" t="s">
        <v>172</v>
      </c>
      <c r="D133">
        <v>0</v>
      </c>
    </row>
    <row r="134" spans="1:4" x14ac:dyDescent="0.35">
      <c r="A134">
        <v>2019</v>
      </c>
      <c r="B134" t="s">
        <v>34</v>
      </c>
      <c r="C134" s="140" t="s">
        <v>173</v>
      </c>
      <c r="D134">
        <v>34</v>
      </c>
    </row>
    <row r="135" spans="1:4" x14ac:dyDescent="0.35">
      <c r="A135">
        <v>2019</v>
      </c>
      <c r="B135" t="s">
        <v>34</v>
      </c>
      <c r="C135" s="140" t="s">
        <v>174</v>
      </c>
      <c r="D135">
        <v>62.5</v>
      </c>
    </row>
    <row r="136" spans="1:4" x14ac:dyDescent="0.35">
      <c r="A136">
        <v>2019</v>
      </c>
      <c r="B136" t="s">
        <v>34</v>
      </c>
      <c r="C136" s="140" t="s">
        <v>78</v>
      </c>
      <c r="D136">
        <v>258.25</v>
      </c>
    </row>
    <row r="137" spans="1:4" x14ac:dyDescent="0.35">
      <c r="A137">
        <v>2019</v>
      </c>
      <c r="B137" t="s">
        <v>35</v>
      </c>
      <c r="C137" s="140" t="s">
        <v>171</v>
      </c>
      <c r="D137">
        <v>0</v>
      </c>
    </row>
    <row r="138" spans="1:4" x14ac:dyDescent="0.35">
      <c r="A138">
        <v>2019</v>
      </c>
      <c r="B138" t="s">
        <v>35</v>
      </c>
      <c r="C138" s="140" t="s">
        <v>172</v>
      </c>
      <c r="D138">
        <v>0</v>
      </c>
    </row>
    <row r="139" spans="1:4" x14ac:dyDescent="0.35">
      <c r="A139">
        <v>2019</v>
      </c>
      <c r="B139" t="s">
        <v>35</v>
      </c>
      <c r="C139" s="140" t="s">
        <v>173</v>
      </c>
      <c r="D139">
        <v>15.4</v>
      </c>
    </row>
    <row r="140" spans="1:4" x14ac:dyDescent="0.35">
      <c r="A140">
        <v>2019</v>
      </c>
      <c r="B140" t="s">
        <v>35</v>
      </c>
      <c r="C140" s="140" t="s">
        <v>174</v>
      </c>
      <c r="D140">
        <v>5.6</v>
      </c>
    </row>
    <row r="141" spans="1:4" x14ac:dyDescent="0.35">
      <c r="A141">
        <v>2019</v>
      </c>
      <c r="B141" t="s">
        <v>35</v>
      </c>
      <c r="C141" s="140" t="s">
        <v>78</v>
      </c>
      <c r="D141">
        <v>46.2</v>
      </c>
    </row>
    <row r="142" spans="1:4" x14ac:dyDescent="0.35">
      <c r="A142">
        <v>2019</v>
      </c>
      <c r="B142" t="s">
        <v>36</v>
      </c>
      <c r="C142" s="140" t="s">
        <v>171</v>
      </c>
      <c r="D142">
        <v>0</v>
      </c>
    </row>
    <row r="143" spans="1:4" x14ac:dyDescent="0.35">
      <c r="A143">
        <v>2019</v>
      </c>
      <c r="B143" t="s">
        <v>36</v>
      </c>
      <c r="C143" s="140" t="s">
        <v>172</v>
      </c>
      <c r="D143">
        <v>0</v>
      </c>
    </row>
    <row r="144" spans="1:4" x14ac:dyDescent="0.35">
      <c r="A144">
        <v>2019</v>
      </c>
      <c r="B144" t="s">
        <v>36</v>
      </c>
      <c r="C144" s="140" t="s">
        <v>173</v>
      </c>
      <c r="D144">
        <v>41.5</v>
      </c>
    </row>
    <row r="145" spans="1:4" x14ac:dyDescent="0.35">
      <c r="A145">
        <v>2019</v>
      </c>
      <c r="B145" t="s">
        <v>36</v>
      </c>
      <c r="C145" s="140" t="s">
        <v>174</v>
      </c>
      <c r="D145">
        <v>72</v>
      </c>
    </row>
    <row r="146" spans="1:4" x14ac:dyDescent="0.35">
      <c r="A146">
        <v>2019</v>
      </c>
      <c r="B146" t="s">
        <v>36</v>
      </c>
      <c r="C146" s="140" t="s">
        <v>78</v>
      </c>
      <c r="D146">
        <v>307.25</v>
      </c>
    </row>
    <row r="147" spans="1:4" x14ac:dyDescent="0.35">
      <c r="A147">
        <v>2019</v>
      </c>
      <c r="B147" t="s">
        <v>38</v>
      </c>
      <c r="C147" s="140" t="s">
        <v>171</v>
      </c>
      <c r="D147">
        <v>0</v>
      </c>
    </row>
    <row r="148" spans="1:4" x14ac:dyDescent="0.35">
      <c r="A148">
        <v>2019</v>
      </c>
      <c r="B148" t="s">
        <v>38</v>
      </c>
      <c r="C148" s="140" t="s">
        <v>172</v>
      </c>
      <c r="D148">
        <v>0</v>
      </c>
    </row>
    <row r="149" spans="1:4" x14ac:dyDescent="0.35">
      <c r="A149">
        <v>2019</v>
      </c>
      <c r="B149" t="s">
        <v>38</v>
      </c>
      <c r="C149" s="140" t="s">
        <v>173</v>
      </c>
      <c r="D149">
        <v>24</v>
      </c>
    </row>
    <row r="150" spans="1:4" x14ac:dyDescent="0.35">
      <c r="A150">
        <v>2019</v>
      </c>
      <c r="B150" t="s">
        <v>38</v>
      </c>
      <c r="C150" s="140" t="s">
        <v>174</v>
      </c>
      <c r="D150">
        <v>58</v>
      </c>
    </row>
    <row r="151" spans="1:4" x14ac:dyDescent="0.35">
      <c r="A151">
        <v>2019</v>
      </c>
      <c r="B151" t="s">
        <v>38</v>
      </c>
      <c r="C151" s="140" t="s">
        <v>78</v>
      </c>
      <c r="D151">
        <v>207</v>
      </c>
    </row>
    <row r="152" spans="1:4" x14ac:dyDescent="0.35">
      <c r="A152">
        <v>2019</v>
      </c>
      <c r="B152" t="s">
        <v>39</v>
      </c>
      <c r="C152" s="140" t="s">
        <v>171</v>
      </c>
      <c r="D152">
        <v>0</v>
      </c>
    </row>
    <row r="153" spans="1:4" x14ac:dyDescent="0.35">
      <c r="A153">
        <v>2019</v>
      </c>
      <c r="B153" t="s">
        <v>39</v>
      </c>
      <c r="C153" s="140" t="s">
        <v>172</v>
      </c>
      <c r="D153">
        <v>0</v>
      </c>
    </row>
    <row r="154" spans="1:4" x14ac:dyDescent="0.35">
      <c r="A154">
        <v>2019</v>
      </c>
      <c r="B154" t="s">
        <v>39</v>
      </c>
      <c r="C154" s="140" t="s">
        <v>173</v>
      </c>
      <c r="D154">
        <v>9.75</v>
      </c>
    </row>
    <row r="155" spans="1:4" x14ac:dyDescent="0.35">
      <c r="A155">
        <v>2019</v>
      </c>
      <c r="B155" t="s">
        <v>39</v>
      </c>
      <c r="C155" s="140" t="s">
        <v>174</v>
      </c>
      <c r="D155">
        <v>23.76</v>
      </c>
    </row>
    <row r="156" spans="1:4" x14ac:dyDescent="0.35">
      <c r="A156">
        <v>2019</v>
      </c>
      <c r="B156" t="s">
        <v>39</v>
      </c>
      <c r="C156" s="140" t="s">
        <v>78</v>
      </c>
      <c r="D156">
        <v>122.5</v>
      </c>
    </row>
    <row r="157" spans="1:4" x14ac:dyDescent="0.35">
      <c r="A157">
        <v>2019</v>
      </c>
      <c r="B157" t="s">
        <v>40</v>
      </c>
      <c r="C157" s="140" t="s">
        <v>171</v>
      </c>
      <c r="D157">
        <v>0</v>
      </c>
    </row>
    <row r="158" spans="1:4" x14ac:dyDescent="0.35">
      <c r="A158">
        <v>2019</v>
      </c>
      <c r="B158" t="s">
        <v>40</v>
      </c>
      <c r="C158" s="140" t="s">
        <v>172</v>
      </c>
      <c r="D158">
        <v>0</v>
      </c>
    </row>
    <row r="159" spans="1:4" x14ac:dyDescent="0.35">
      <c r="A159">
        <v>2019</v>
      </c>
      <c r="B159" t="s">
        <v>40</v>
      </c>
      <c r="C159" s="140" t="s">
        <v>173</v>
      </c>
      <c r="D159">
        <v>11.75</v>
      </c>
    </row>
    <row r="160" spans="1:4" x14ac:dyDescent="0.35">
      <c r="A160">
        <v>2019</v>
      </c>
      <c r="B160" t="s">
        <v>40</v>
      </c>
      <c r="C160" s="140" t="s">
        <v>174</v>
      </c>
      <c r="D160">
        <v>27.61</v>
      </c>
    </row>
    <row r="161" spans="1:4" x14ac:dyDescent="0.35">
      <c r="A161">
        <v>2019</v>
      </c>
      <c r="B161" t="s">
        <v>40</v>
      </c>
      <c r="C161" s="140" t="s">
        <v>78</v>
      </c>
      <c r="D161">
        <v>83.85</v>
      </c>
    </row>
    <row r="162" spans="1:4" x14ac:dyDescent="0.35">
      <c r="A162">
        <v>2019</v>
      </c>
      <c r="B162" t="s">
        <v>41</v>
      </c>
      <c r="C162" s="140" t="s">
        <v>171</v>
      </c>
      <c r="D162">
        <v>0</v>
      </c>
    </row>
    <row r="163" spans="1:4" x14ac:dyDescent="0.35">
      <c r="A163">
        <v>2019</v>
      </c>
      <c r="B163" t="s">
        <v>41</v>
      </c>
      <c r="C163" s="140" t="s">
        <v>172</v>
      </c>
      <c r="D163">
        <v>0</v>
      </c>
    </row>
    <row r="164" spans="1:4" x14ac:dyDescent="0.35">
      <c r="A164">
        <v>2019</v>
      </c>
      <c r="B164" t="s">
        <v>41</v>
      </c>
      <c r="C164" s="140" t="s">
        <v>173</v>
      </c>
      <c r="D164">
        <v>17</v>
      </c>
    </row>
    <row r="165" spans="1:4" x14ac:dyDescent="0.35">
      <c r="A165">
        <v>2019</v>
      </c>
      <c r="B165" t="s">
        <v>41</v>
      </c>
      <c r="C165" s="140" t="s">
        <v>174</v>
      </c>
      <c r="D165">
        <v>24.5</v>
      </c>
    </row>
    <row r="166" spans="1:4" x14ac:dyDescent="0.35">
      <c r="A166">
        <v>2019</v>
      </c>
      <c r="B166" t="s">
        <v>41</v>
      </c>
      <c r="C166" s="140" t="s">
        <v>78</v>
      </c>
      <c r="D166">
        <v>97.5</v>
      </c>
    </row>
    <row r="167" spans="1:4" x14ac:dyDescent="0.35">
      <c r="A167">
        <v>2019</v>
      </c>
      <c r="B167" t="s">
        <v>42</v>
      </c>
      <c r="C167" s="140" t="s">
        <v>171</v>
      </c>
      <c r="D167">
        <v>0</v>
      </c>
    </row>
    <row r="168" spans="1:4" x14ac:dyDescent="0.35">
      <c r="A168">
        <v>2019</v>
      </c>
      <c r="B168" t="s">
        <v>42</v>
      </c>
      <c r="C168" s="140" t="s">
        <v>172</v>
      </c>
      <c r="D168">
        <v>0</v>
      </c>
    </row>
    <row r="169" spans="1:4" x14ac:dyDescent="0.35">
      <c r="A169">
        <v>2019</v>
      </c>
      <c r="B169" t="s">
        <v>42</v>
      </c>
      <c r="C169" s="140" t="s">
        <v>173</v>
      </c>
      <c r="D169">
        <v>24</v>
      </c>
    </row>
    <row r="170" spans="1:4" x14ac:dyDescent="0.35">
      <c r="A170">
        <v>2019</v>
      </c>
      <c r="B170" t="s">
        <v>42</v>
      </c>
      <c r="C170" s="140" t="s">
        <v>174</v>
      </c>
      <c r="D170">
        <v>39</v>
      </c>
    </row>
    <row r="171" spans="1:4" x14ac:dyDescent="0.35">
      <c r="A171">
        <v>2019</v>
      </c>
      <c r="B171" t="s">
        <v>42</v>
      </c>
      <c r="C171" s="140" t="s">
        <v>78</v>
      </c>
      <c r="D171">
        <v>141</v>
      </c>
    </row>
    <row r="172" spans="1:4" x14ac:dyDescent="0.35">
      <c r="A172">
        <v>2019</v>
      </c>
      <c r="B172" t="s">
        <v>43</v>
      </c>
      <c r="C172" s="140" t="s">
        <v>171</v>
      </c>
      <c r="D172">
        <v>0</v>
      </c>
    </row>
    <row r="173" spans="1:4" x14ac:dyDescent="0.35">
      <c r="A173">
        <v>2019</v>
      </c>
      <c r="B173" t="s">
        <v>43</v>
      </c>
      <c r="C173" s="140" t="s">
        <v>172</v>
      </c>
      <c r="D173">
        <v>0</v>
      </c>
    </row>
    <row r="174" spans="1:4" x14ac:dyDescent="0.35">
      <c r="A174">
        <v>2019</v>
      </c>
      <c r="B174" t="s">
        <v>43</v>
      </c>
      <c r="C174" s="140" t="s">
        <v>173</v>
      </c>
      <c r="D174">
        <v>23</v>
      </c>
    </row>
    <row r="175" spans="1:4" x14ac:dyDescent="0.35">
      <c r="A175">
        <v>2019</v>
      </c>
      <c r="B175" t="s">
        <v>43</v>
      </c>
      <c r="C175" s="140" t="s">
        <v>174</v>
      </c>
      <c r="D175">
        <v>65</v>
      </c>
    </row>
    <row r="176" spans="1:4" x14ac:dyDescent="0.35">
      <c r="A176">
        <v>2019</v>
      </c>
      <c r="B176" t="s">
        <v>43</v>
      </c>
      <c r="C176" s="140" t="s">
        <v>78</v>
      </c>
      <c r="D176">
        <v>235</v>
      </c>
    </row>
    <row r="177" spans="1:4" x14ac:dyDescent="0.35">
      <c r="A177">
        <v>2019</v>
      </c>
      <c r="B177" t="s">
        <v>44</v>
      </c>
      <c r="C177" s="140" t="s">
        <v>171</v>
      </c>
      <c r="D177">
        <v>0</v>
      </c>
    </row>
    <row r="178" spans="1:4" x14ac:dyDescent="0.35">
      <c r="A178">
        <v>2019</v>
      </c>
      <c r="B178" t="s">
        <v>44</v>
      </c>
      <c r="C178" s="140" t="s">
        <v>172</v>
      </c>
      <c r="D178">
        <v>0</v>
      </c>
    </row>
    <row r="179" spans="1:4" x14ac:dyDescent="0.35">
      <c r="A179">
        <v>2019</v>
      </c>
      <c r="B179" t="s">
        <v>44</v>
      </c>
      <c r="C179" s="140" t="s">
        <v>173</v>
      </c>
      <c r="D179">
        <v>7</v>
      </c>
    </row>
    <row r="180" spans="1:4" x14ac:dyDescent="0.35">
      <c r="A180">
        <v>2019</v>
      </c>
      <c r="B180" t="s">
        <v>44</v>
      </c>
      <c r="C180" s="140" t="s">
        <v>174</v>
      </c>
      <c r="D180">
        <v>17</v>
      </c>
    </row>
    <row r="181" spans="1:4" x14ac:dyDescent="0.35">
      <c r="A181">
        <v>2019</v>
      </c>
      <c r="B181" t="s">
        <v>44</v>
      </c>
      <c r="C181" s="140" t="s">
        <v>78</v>
      </c>
      <c r="D181">
        <v>56</v>
      </c>
    </row>
    <row r="182" spans="1:4" x14ac:dyDescent="0.35">
      <c r="A182">
        <v>2019</v>
      </c>
      <c r="B182" t="s">
        <v>45</v>
      </c>
      <c r="C182" s="140" t="s">
        <v>171</v>
      </c>
      <c r="D182">
        <v>0</v>
      </c>
    </row>
    <row r="183" spans="1:4" x14ac:dyDescent="0.35">
      <c r="A183">
        <v>2019</v>
      </c>
      <c r="B183" t="s">
        <v>45</v>
      </c>
      <c r="C183" s="140" t="s">
        <v>172</v>
      </c>
      <c r="D183">
        <v>0</v>
      </c>
    </row>
    <row r="184" spans="1:4" x14ac:dyDescent="0.35">
      <c r="A184">
        <v>2019</v>
      </c>
      <c r="B184" t="s">
        <v>45</v>
      </c>
      <c r="C184" s="140" t="s">
        <v>173</v>
      </c>
      <c r="D184">
        <v>28</v>
      </c>
    </row>
    <row r="185" spans="1:4" x14ac:dyDescent="0.35">
      <c r="A185">
        <v>2019</v>
      </c>
      <c r="B185" t="s">
        <v>45</v>
      </c>
      <c r="C185" s="140" t="s">
        <v>174</v>
      </c>
      <c r="D185">
        <v>65</v>
      </c>
    </row>
    <row r="186" spans="1:4" x14ac:dyDescent="0.35">
      <c r="A186">
        <v>2019</v>
      </c>
      <c r="B186" t="s">
        <v>45</v>
      </c>
      <c r="C186" s="140" t="s">
        <v>78</v>
      </c>
      <c r="D186">
        <v>278</v>
      </c>
    </row>
    <row r="187" spans="1:4" x14ac:dyDescent="0.35">
      <c r="A187">
        <v>2019</v>
      </c>
      <c r="B187" t="s">
        <v>46</v>
      </c>
      <c r="C187" s="140" t="s">
        <v>171</v>
      </c>
      <c r="D187">
        <v>0</v>
      </c>
    </row>
    <row r="188" spans="1:4" x14ac:dyDescent="0.35">
      <c r="A188">
        <v>2019</v>
      </c>
      <c r="B188" t="s">
        <v>46</v>
      </c>
      <c r="C188" s="140" t="s">
        <v>172</v>
      </c>
      <c r="D188">
        <v>0</v>
      </c>
    </row>
    <row r="189" spans="1:4" x14ac:dyDescent="0.35">
      <c r="A189">
        <v>2019</v>
      </c>
      <c r="B189" t="s">
        <v>46</v>
      </c>
      <c r="C189" s="140" t="s">
        <v>173</v>
      </c>
      <c r="D189">
        <v>33</v>
      </c>
    </row>
    <row r="190" spans="1:4" x14ac:dyDescent="0.35">
      <c r="A190">
        <v>2019</v>
      </c>
      <c r="B190" t="s">
        <v>46</v>
      </c>
      <c r="C190" s="140" t="s">
        <v>174</v>
      </c>
      <c r="D190">
        <v>68</v>
      </c>
    </row>
    <row r="191" spans="1:4" x14ac:dyDescent="0.35">
      <c r="A191">
        <v>2019</v>
      </c>
      <c r="B191" t="s">
        <v>46</v>
      </c>
      <c r="C191" s="140" t="s">
        <v>78</v>
      </c>
      <c r="D191">
        <v>238.5</v>
      </c>
    </row>
    <row r="192" spans="1:4" x14ac:dyDescent="0.35">
      <c r="A192">
        <v>2019</v>
      </c>
      <c r="B192" t="s">
        <v>47</v>
      </c>
      <c r="C192" s="140" t="s">
        <v>171</v>
      </c>
      <c r="D192">
        <v>0</v>
      </c>
    </row>
    <row r="193" spans="1:4" x14ac:dyDescent="0.35">
      <c r="A193">
        <v>2019</v>
      </c>
      <c r="B193" t="s">
        <v>47</v>
      </c>
      <c r="C193" s="140" t="s">
        <v>172</v>
      </c>
      <c r="D193">
        <v>0</v>
      </c>
    </row>
    <row r="194" spans="1:4" x14ac:dyDescent="0.35">
      <c r="A194">
        <v>2019</v>
      </c>
      <c r="B194" t="s">
        <v>47</v>
      </c>
      <c r="C194" s="140" t="s">
        <v>173</v>
      </c>
      <c r="D194">
        <v>12</v>
      </c>
    </row>
    <row r="195" spans="1:4" x14ac:dyDescent="0.35">
      <c r="A195">
        <v>2019</v>
      </c>
      <c r="B195" t="s">
        <v>47</v>
      </c>
      <c r="C195" s="140" t="s">
        <v>174</v>
      </c>
      <c r="D195">
        <v>17</v>
      </c>
    </row>
    <row r="196" spans="1:4" x14ac:dyDescent="0.35">
      <c r="A196">
        <v>2019</v>
      </c>
      <c r="B196" t="s">
        <v>47</v>
      </c>
      <c r="C196" s="140" t="s">
        <v>78</v>
      </c>
      <c r="D196">
        <v>59</v>
      </c>
    </row>
    <row r="197" spans="1:4" x14ac:dyDescent="0.35">
      <c r="A197">
        <v>2019</v>
      </c>
      <c r="B197" t="s">
        <v>48</v>
      </c>
      <c r="C197" s="140" t="s">
        <v>171</v>
      </c>
      <c r="D197">
        <v>0</v>
      </c>
    </row>
    <row r="198" spans="1:4" x14ac:dyDescent="0.35">
      <c r="A198">
        <v>2019</v>
      </c>
      <c r="B198" t="s">
        <v>48</v>
      </c>
      <c r="C198" s="140" t="s">
        <v>172</v>
      </c>
      <c r="D198">
        <v>0</v>
      </c>
    </row>
    <row r="199" spans="1:4" x14ac:dyDescent="0.35">
      <c r="A199">
        <v>2019</v>
      </c>
      <c r="B199" t="s">
        <v>48</v>
      </c>
      <c r="C199" s="140" t="s">
        <v>173</v>
      </c>
      <c r="D199">
        <v>1</v>
      </c>
    </row>
    <row r="200" spans="1:4" x14ac:dyDescent="0.35">
      <c r="A200">
        <v>2019</v>
      </c>
      <c r="B200" t="s">
        <v>48</v>
      </c>
      <c r="C200" s="140" t="s">
        <v>174</v>
      </c>
      <c r="D200">
        <v>1</v>
      </c>
    </row>
    <row r="201" spans="1:4" x14ac:dyDescent="0.35">
      <c r="A201">
        <v>2019</v>
      </c>
      <c r="B201" t="s">
        <v>48</v>
      </c>
      <c r="C201" s="140" t="s">
        <v>78</v>
      </c>
      <c r="D201">
        <v>7.5</v>
      </c>
    </row>
    <row r="202" spans="1:4" x14ac:dyDescent="0.35">
      <c r="A202">
        <v>2019</v>
      </c>
      <c r="B202" t="s">
        <v>49</v>
      </c>
      <c r="C202" s="140" t="s">
        <v>171</v>
      </c>
      <c r="D202">
        <v>0</v>
      </c>
    </row>
    <row r="203" spans="1:4" x14ac:dyDescent="0.35">
      <c r="A203">
        <v>2019</v>
      </c>
      <c r="B203" t="s">
        <v>49</v>
      </c>
      <c r="C203" s="140" t="s">
        <v>172</v>
      </c>
      <c r="D203">
        <v>0</v>
      </c>
    </row>
    <row r="204" spans="1:4" x14ac:dyDescent="0.35">
      <c r="A204">
        <v>2019</v>
      </c>
      <c r="B204" t="s">
        <v>49</v>
      </c>
      <c r="C204" s="140" t="s">
        <v>173</v>
      </c>
      <c r="D204">
        <v>12</v>
      </c>
    </row>
    <row r="205" spans="1:4" x14ac:dyDescent="0.35">
      <c r="A205">
        <v>2019</v>
      </c>
      <c r="B205" t="s">
        <v>49</v>
      </c>
      <c r="C205" s="140" t="s">
        <v>174</v>
      </c>
      <c r="D205">
        <v>18.000000000000004</v>
      </c>
    </row>
    <row r="206" spans="1:4" x14ac:dyDescent="0.35">
      <c r="A206">
        <v>2019</v>
      </c>
      <c r="B206" t="s">
        <v>49</v>
      </c>
      <c r="C206" s="140" t="s">
        <v>78</v>
      </c>
      <c r="D206">
        <v>49.083333333333357</v>
      </c>
    </row>
    <row r="207" spans="1:4" x14ac:dyDescent="0.35">
      <c r="A207">
        <v>2019</v>
      </c>
      <c r="B207" t="s">
        <v>50</v>
      </c>
      <c r="C207" s="140" t="s">
        <v>171</v>
      </c>
      <c r="D207">
        <v>0</v>
      </c>
    </row>
    <row r="208" spans="1:4" x14ac:dyDescent="0.35">
      <c r="A208">
        <v>2019</v>
      </c>
      <c r="B208" t="s">
        <v>50</v>
      </c>
      <c r="C208" s="140" t="s">
        <v>172</v>
      </c>
      <c r="D208">
        <v>1</v>
      </c>
    </row>
    <row r="209" spans="1:4" x14ac:dyDescent="0.35">
      <c r="A209">
        <v>2019</v>
      </c>
      <c r="B209" t="s">
        <v>50</v>
      </c>
      <c r="C209" s="140" t="s">
        <v>173</v>
      </c>
      <c r="D209">
        <v>6</v>
      </c>
    </row>
    <row r="210" spans="1:4" x14ac:dyDescent="0.35">
      <c r="A210">
        <v>2019</v>
      </c>
      <c r="B210" t="s">
        <v>50</v>
      </c>
      <c r="C210" s="140" t="s">
        <v>174</v>
      </c>
      <c r="D210">
        <v>0</v>
      </c>
    </row>
    <row r="211" spans="1:4" x14ac:dyDescent="0.35">
      <c r="A211">
        <v>2019</v>
      </c>
      <c r="B211" t="s">
        <v>50</v>
      </c>
      <c r="C211" s="140" t="s">
        <v>78</v>
      </c>
      <c r="D211">
        <v>0</v>
      </c>
    </row>
    <row r="212" spans="1:4" x14ac:dyDescent="0.35">
      <c r="A212">
        <v>2019</v>
      </c>
      <c r="B212" t="s">
        <v>51</v>
      </c>
      <c r="C212" s="140" t="s">
        <v>171</v>
      </c>
      <c r="D212">
        <v>0</v>
      </c>
    </row>
    <row r="213" spans="1:4" x14ac:dyDescent="0.35">
      <c r="A213">
        <v>2019</v>
      </c>
      <c r="B213" t="s">
        <v>51</v>
      </c>
      <c r="C213" s="140" t="s">
        <v>172</v>
      </c>
      <c r="D213">
        <v>0</v>
      </c>
    </row>
    <row r="214" spans="1:4" x14ac:dyDescent="0.35">
      <c r="A214">
        <v>2019</v>
      </c>
      <c r="B214" t="s">
        <v>51</v>
      </c>
      <c r="C214" s="140" t="s">
        <v>173</v>
      </c>
      <c r="D214">
        <v>12.5</v>
      </c>
    </row>
    <row r="215" spans="1:4" x14ac:dyDescent="0.35">
      <c r="A215">
        <v>2019</v>
      </c>
      <c r="B215" t="s">
        <v>51</v>
      </c>
      <c r="C215" s="140" t="s">
        <v>174</v>
      </c>
      <c r="D215">
        <v>31.7</v>
      </c>
    </row>
    <row r="216" spans="1:4" x14ac:dyDescent="0.35">
      <c r="A216">
        <v>2019</v>
      </c>
      <c r="B216" t="s">
        <v>51</v>
      </c>
      <c r="C216" s="140" t="s">
        <v>78</v>
      </c>
      <c r="D216">
        <v>105.8</v>
      </c>
    </row>
    <row r="217" spans="1:4" x14ac:dyDescent="0.35">
      <c r="A217">
        <v>2019</v>
      </c>
      <c r="B217" t="s">
        <v>52</v>
      </c>
      <c r="C217" s="140" t="s">
        <v>171</v>
      </c>
      <c r="D217">
        <v>0</v>
      </c>
    </row>
    <row r="218" spans="1:4" x14ac:dyDescent="0.35">
      <c r="A218">
        <v>2019</v>
      </c>
      <c r="B218" t="s">
        <v>52</v>
      </c>
      <c r="C218" s="140" t="s">
        <v>172</v>
      </c>
      <c r="D218">
        <v>0</v>
      </c>
    </row>
    <row r="219" spans="1:4" x14ac:dyDescent="0.35">
      <c r="A219">
        <v>2019</v>
      </c>
      <c r="B219" t="s">
        <v>52</v>
      </c>
      <c r="C219" s="140" t="s">
        <v>173</v>
      </c>
      <c r="D219">
        <v>6.92</v>
      </c>
    </row>
    <row r="220" spans="1:4" x14ac:dyDescent="0.35">
      <c r="A220">
        <v>2019</v>
      </c>
      <c r="B220" t="s">
        <v>52</v>
      </c>
      <c r="C220" s="140" t="s">
        <v>174</v>
      </c>
      <c r="D220">
        <v>9</v>
      </c>
    </row>
    <row r="221" spans="1:4" x14ac:dyDescent="0.35">
      <c r="A221">
        <v>2019</v>
      </c>
      <c r="B221" t="s">
        <v>52</v>
      </c>
      <c r="C221" s="140" t="s">
        <v>78</v>
      </c>
      <c r="D221">
        <v>61.26</v>
      </c>
    </row>
    <row r="222" spans="1:4" x14ac:dyDescent="0.35">
      <c r="A222">
        <v>2019</v>
      </c>
      <c r="B222" t="s">
        <v>115</v>
      </c>
      <c r="C222" s="140" t="s">
        <v>171</v>
      </c>
      <c r="D222">
        <v>0</v>
      </c>
    </row>
    <row r="223" spans="1:4" x14ac:dyDescent="0.35">
      <c r="A223">
        <v>2019</v>
      </c>
      <c r="B223" t="s">
        <v>115</v>
      </c>
      <c r="C223" s="140" t="s">
        <v>172</v>
      </c>
      <c r="D223">
        <v>0</v>
      </c>
    </row>
    <row r="224" spans="1:4" x14ac:dyDescent="0.35">
      <c r="A224">
        <v>2019</v>
      </c>
      <c r="B224" t="s">
        <v>115</v>
      </c>
      <c r="C224" s="140" t="s">
        <v>173</v>
      </c>
      <c r="D224">
        <v>55</v>
      </c>
    </row>
    <row r="225" spans="1:4" x14ac:dyDescent="0.35">
      <c r="A225">
        <v>2019</v>
      </c>
      <c r="B225" t="s">
        <v>115</v>
      </c>
      <c r="C225" s="140" t="s">
        <v>174</v>
      </c>
      <c r="D225">
        <v>101</v>
      </c>
    </row>
    <row r="226" spans="1:4" x14ac:dyDescent="0.35">
      <c r="A226">
        <v>2019</v>
      </c>
      <c r="B226" t="s">
        <v>115</v>
      </c>
      <c r="C226" s="140" t="s">
        <v>78</v>
      </c>
      <c r="D226">
        <v>316</v>
      </c>
    </row>
    <row r="227" spans="1:4" x14ac:dyDescent="0.35">
      <c r="A227">
        <v>2019</v>
      </c>
      <c r="B227" t="s">
        <v>37</v>
      </c>
      <c r="C227" s="140" t="s">
        <v>171</v>
      </c>
      <c r="D227">
        <v>0</v>
      </c>
    </row>
    <row r="228" spans="1:4" x14ac:dyDescent="0.35">
      <c r="A228">
        <v>2019</v>
      </c>
      <c r="B228" t="s">
        <v>37</v>
      </c>
      <c r="C228" s="140" t="s">
        <v>172</v>
      </c>
      <c r="D228">
        <v>0</v>
      </c>
    </row>
    <row r="229" spans="1:4" x14ac:dyDescent="0.35">
      <c r="A229">
        <v>2019</v>
      </c>
      <c r="B229" t="s">
        <v>37</v>
      </c>
      <c r="C229" s="140" t="s">
        <v>173</v>
      </c>
      <c r="D229">
        <v>0</v>
      </c>
    </row>
    <row r="230" spans="1:4" x14ac:dyDescent="0.35">
      <c r="A230">
        <v>2019</v>
      </c>
      <c r="B230" t="s">
        <v>37</v>
      </c>
      <c r="C230" s="140" t="s">
        <v>174</v>
      </c>
      <c r="D230">
        <v>0</v>
      </c>
    </row>
    <row r="231" spans="1:4" x14ac:dyDescent="0.35">
      <c r="A231">
        <v>2019</v>
      </c>
      <c r="B231" t="s">
        <v>37</v>
      </c>
      <c r="C231" s="140" t="s">
        <v>78</v>
      </c>
      <c r="D231">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8">
    <tabColor indexed="22"/>
  </sheetPr>
  <dimension ref="A1:I63"/>
  <sheetViews>
    <sheetView showGridLines="0" zoomScale="85" zoomScaleNormal="85" workbookViewId="0">
      <pane xSplit="2" ySplit="2" topLeftCell="C29" activePane="bottomRight" state="frozen"/>
      <selection activeCell="A4" sqref="A4:H4"/>
      <selection pane="topRight" activeCell="A4" sqref="A4:H4"/>
      <selection pane="bottomLeft" activeCell="A4" sqref="A4:H4"/>
      <selection pane="bottomRight" activeCell="A4" sqref="A4:H4"/>
    </sheetView>
  </sheetViews>
  <sheetFormatPr defaultRowHeight="15.5" x14ac:dyDescent="0.35"/>
  <cols>
    <col min="1" max="1" width="3.453125" style="40" hidden="1" customWidth="1"/>
    <col min="2" max="2" width="25.26953125" style="69" customWidth="1"/>
    <col min="3" max="8" width="13" style="69" customWidth="1"/>
    <col min="9" max="256" width="9.1796875" style="69"/>
    <col min="257" max="257" width="0" style="69" hidden="1" customWidth="1"/>
    <col min="258" max="258" width="25.26953125" style="69" customWidth="1"/>
    <col min="259" max="264" width="13" style="69" customWidth="1"/>
    <col min="265" max="512" width="9.1796875" style="69"/>
    <col min="513" max="513" width="0" style="69" hidden="1" customWidth="1"/>
    <col min="514" max="514" width="25.26953125" style="69" customWidth="1"/>
    <col min="515" max="520" width="13" style="69" customWidth="1"/>
    <col min="521" max="768" width="9.1796875" style="69"/>
    <col min="769" max="769" width="0" style="69" hidden="1" customWidth="1"/>
    <col min="770" max="770" width="25.26953125" style="69" customWidth="1"/>
    <col min="771" max="776" width="13" style="69" customWidth="1"/>
    <col min="777" max="1024" width="9.1796875" style="69"/>
    <col min="1025" max="1025" width="0" style="69" hidden="1" customWidth="1"/>
    <col min="1026" max="1026" width="25.26953125" style="69" customWidth="1"/>
    <col min="1027" max="1032" width="13" style="69" customWidth="1"/>
    <col min="1033" max="1280" width="9.1796875" style="69"/>
    <col min="1281" max="1281" width="0" style="69" hidden="1" customWidth="1"/>
    <col min="1282" max="1282" width="25.26953125" style="69" customWidth="1"/>
    <col min="1283" max="1288" width="13" style="69" customWidth="1"/>
    <col min="1289" max="1536" width="9.1796875" style="69"/>
    <col min="1537" max="1537" width="0" style="69" hidden="1" customWidth="1"/>
    <col min="1538" max="1538" width="25.26953125" style="69" customWidth="1"/>
    <col min="1539" max="1544" width="13" style="69" customWidth="1"/>
    <col min="1545" max="1792" width="9.1796875" style="69"/>
    <col min="1793" max="1793" width="0" style="69" hidden="1" customWidth="1"/>
    <col min="1794" max="1794" width="25.26953125" style="69" customWidth="1"/>
    <col min="1795" max="1800" width="13" style="69" customWidth="1"/>
    <col min="1801" max="2048" width="9.1796875" style="69"/>
    <col min="2049" max="2049" width="0" style="69" hidden="1" customWidth="1"/>
    <col min="2050" max="2050" width="25.26953125" style="69" customWidth="1"/>
    <col min="2051" max="2056" width="13" style="69" customWidth="1"/>
    <col min="2057" max="2304" width="9.1796875" style="69"/>
    <col min="2305" max="2305" width="0" style="69" hidden="1" customWidth="1"/>
    <col min="2306" max="2306" width="25.26953125" style="69" customWidth="1"/>
    <col min="2307" max="2312" width="13" style="69" customWidth="1"/>
    <col min="2313" max="2560" width="9.1796875" style="69"/>
    <col min="2561" max="2561" width="0" style="69" hidden="1" customWidth="1"/>
    <col min="2562" max="2562" width="25.26953125" style="69" customWidth="1"/>
    <col min="2563" max="2568" width="13" style="69" customWidth="1"/>
    <col min="2569" max="2816" width="9.1796875" style="69"/>
    <col min="2817" max="2817" width="0" style="69" hidden="1" customWidth="1"/>
    <col min="2818" max="2818" width="25.26953125" style="69" customWidth="1"/>
    <col min="2819" max="2824" width="13" style="69" customWidth="1"/>
    <col min="2825" max="3072" width="9.1796875" style="69"/>
    <col min="3073" max="3073" width="0" style="69" hidden="1" customWidth="1"/>
    <col min="3074" max="3074" width="25.26953125" style="69" customWidth="1"/>
    <col min="3075" max="3080" width="13" style="69" customWidth="1"/>
    <col min="3081" max="3328" width="9.1796875" style="69"/>
    <col min="3329" max="3329" width="0" style="69" hidden="1" customWidth="1"/>
    <col min="3330" max="3330" width="25.26953125" style="69" customWidth="1"/>
    <col min="3331" max="3336" width="13" style="69" customWidth="1"/>
    <col min="3337" max="3584" width="9.1796875" style="69"/>
    <col min="3585" max="3585" width="0" style="69" hidden="1" customWidth="1"/>
    <col min="3586" max="3586" width="25.26953125" style="69" customWidth="1"/>
    <col min="3587" max="3592" width="13" style="69" customWidth="1"/>
    <col min="3593" max="3840" width="9.1796875" style="69"/>
    <col min="3841" max="3841" width="0" style="69" hidden="1" customWidth="1"/>
    <col min="3842" max="3842" width="25.26953125" style="69" customWidth="1"/>
    <col min="3843" max="3848" width="13" style="69" customWidth="1"/>
    <col min="3849" max="4096" width="9.1796875" style="69"/>
    <col min="4097" max="4097" width="0" style="69" hidden="1" customWidth="1"/>
    <col min="4098" max="4098" width="25.26953125" style="69" customWidth="1"/>
    <col min="4099" max="4104" width="13" style="69" customWidth="1"/>
    <col min="4105" max="4352" width="9.1796875" style="69"/>
    <col min="4353" max="4353" width="0" style="69" hidden="1" customWidth="1"/>
    <col min="4354" max="4354" width="25.26953125" style="69" customWidth="1"/>
    <col min="4355" max="4360" width="13" style="69" customWidth="1"/>
    <col min="4361" max="4608" width="9.1796875" style="69"/>
    <col min="4609" max="4609" width="0" style="69" hidden="1" customWidth="1"/>
    <col min="4610" max="4610" width="25.26953125" style="69" customWidth="1"/>
    <col min="4611" max="4616" width="13" style="69" customWidth="1"/>
    <col min="4617" max="4864" width="9.1796875" style="69"/>
    <col min="4865" max="4865" width="0" style="69" hidden="1" customWidth="1"/>
    <col min="4866" max="4866" width="25.26953125" style="69" customWidth="1"/>
    <col min="4867" max="4872" width="13" style="69" customWidth="1"/>
    <col min="4873" max="5120" width="9.1796875" style="69"/>
    <col min="5121" max="5121" width="0" style="69" hidden="1" customWidth="1"/>
    <col min="5122" max="5122" width="25.26953125" style="69" customWidth="1"/>
    <col min="5123" max="5128" width="13" style="69" customWidth="1"/>
    <col min="5129" max="5376" width="9.1796875" style="69"/>
    <col min="5377" max="5377" width="0" style="69" hidden="1" customWidth="1"/>
    <col min="5378" max="5378" width="25.26953125" style="69" customWidth="1"/>
    <col min="5379" max="5384" width="13" style="69" customWidth="1"/>
    <col min="5385" max="5632" width="9.1796875" style="69"/>
    <col min="5633" max="5633" width="0" style="69" hidden="1" customWidth="1"/>
    <col min="5634" max="5634" width="25.26953125" style="69" customWidth="1"/>
    <col min="5635" max="5640" width="13" style="69" customWidth="1"/>
    <col min="5641" max="5888" width="9.1796875" style="69"/>
    <col min="5889" max="5889" width="0" style="69" hidden="1" customWidth="1"/>
    <col min="5890" max="5890" width="25.26953125" style="69" customWidth="1"/>
    <col min="5891" max="5896" width="13" style="69" customWidth="1"/>
    <col min="5897" max="6144" width="9.1796875" style="69"/>
    <col min="6145" max="6145" width="0" style="69" hidden="1" customWidth="1"/>
    <col min="6146" max="6146" width="25.26953125" style="69" customWidth="1"/>
    <col min="6147" max="6152" width="13" style="69" customWidth="1"/>
    <col min="6153" max="6400" width="9.1796875" style="69"/>
    <col min="6401" max="6401" width="0" style="69" hidden="1" customWidth="1"/>
    <col min="6402" max="6402" width="25.26953125" style="69" customWidth="1"/>
    <col min="6403" max="6408" width="13" style="69" customWidth="1"/>
    <col min="6409" max="6656" width="9.1796875" style="69"/>
    <col min="6657" max="6657" width="0" style="69" hidden="1" customWidth="1"/>
    <col min="6658" max="6658" width="25.26953125" style="69" customWidth="1"/>
    <col min="6659" max="6664" width="13" style="69" customWidth="1"/>
    <col min="6665" max="6912" width="9.1796875" style="69"/>
    <col min="6913" max="6913" width="0" style="69" hidden="1" customWidth="1"/>
    <col min="6914" max="6914" width="25.26953125" style="69" customWidth="1"/>
    <col min="6915" max="6920" width="13" style="69" customWidth="1"/>
    <col min="6921" max="7168" width="9.1796875" style="69"/>
    <col min="7169" max="7169" width="0" style="69" hidden="1" customWidth="1"/>
    <col min="7170" max="7170" width="25.26953125" style="69" customWidth="1"/>
    <col min="7171" max="7176" width="13" style="69" customWidth="1"/>
    <col min="7177" max="7424" width="9.1796875" style="69"/>
    <col min="7425" max="7425" width="0" style="69" hidden="1" customWidth="1"/>
    <col min="7426" max="7426" width="25.26953125" style="69" customWidth="1"/>
    <col min="7427" max="7432" width="13" style="69" customWidth="1"/>
    <col min="7433" max="7680" width="9.1796875" style="69"/>
    <col min="7681" max="7681" width="0" style="69" hidden="1" customWidth="1"/>
    <col min="7682" max="7682" width="25.26953125" style="69" customWidth="1"/>
    <col min="7683" max="7688" width="13" style="69" customWidth="1"/>
    <col min="7689" max="7936" width="9.1796875" style="69"/>
    <col min="7937" max="7937" width="0" style="69" hidden="1" customWidth="1"/>
    <col min="7938" max="7938" width="25.26953125" style="69" customWidth="1"/>
    <col min="7939" max="7944" width="13" style="69" customWidth="1"/>
    <col min="7945" max="8192" width="9.1796875" style="69"/>
    <col min="8193" max="8193" width="0" style="69" hidden="1" customWidth="1"/>
    <col min="8194" max="8194" width="25.26953125" style="69" customWidth="1"/>
    <col min="8195" max="8200" width="13" style="69" customWidth="1"/>
    <col min="8201" max="8448" width="9.1796875" style="69"/>
    <col min="8449" max="8449" width="0" style="69" hidden="1" customWidth="1"/>
    <col min="8450" max="8450" width="25.26953125" style="69" customWidth="1"/>
    <col min="8451" max="8456" width="13" style="69" customWidth="1"/>
    <col min="8457" max="8704" width="9.1796875" style="69"/>
    <col min="8705" max="8705" width="0" style="69" hidden="1" customWidth="1"/>
    <col min="8706" max="8706" width="25.26953125" style="69" customWidth="1"/>
    <col min="8707" max="8712" width="13" style="69" customWidth="1"/>
    <col min="8713" max="8960" width="9.1796875" style="69"/>
    <col min="8961" max="8961" width="0" style="69" hidden="1" customWidth="1"/>
    <col min="8962" max="8962" width="25.26953125" style="69" customWidth="1"/>
    <col min="8963" max="8968" width="13" style="69" customWidth="1"/>
    <col min="8969" max="9216" width="9.1796875" style="69"/>
    <col min="9217" max="9217" width="0" style="69" hidden="1" customWidth="1"/>
    <col min="9218" max="9218" width="25.26953125" style="69" customWidth="1"/>
    <col min="9219" max="9224" width="13" style="69" customWidth="1"/>
    <col min="9225" max="9472" width="9.1796875" style="69"/>
    <col min="9473" max="9473" width="0" style="69" hidden="1" customWidth="1"/>
    <col min="9474" max="9474" width="25.26953125" style="69" customWidth="1"/>
    <col min="9475" max="9480" width="13" style="69" customWidth="1"/>
    <col min="9481" max="9728" width="9.1796875" style="69"/>
    <col min="9729" max="9729" width="0" style="69" hidden="1" customWidth="1"/>
    <col min="9730" max="9730" width="25.26953125" style="69" customWidth="1"/>
    <col min="9731" max="9736" width="13" style="69" customWidth="1"/>
    <col min="9737" max="9984" width="9.1796875" style="69"/>
    <col min="9985" max="9985" width="0" style="69" hidden="1" customWidth="1"/>
    <col min="9986" max="9986" width="25.26953125" style="69" customWidth="1"/>
    <col min="9987" max="9992" width="13" style="69" customWidth="1"/>
    <col min="9993" max="10240" width="9.1796875" style="69"/>
    <col min="10241" max="10241" width="0" style="69" hidden="1" customWidth="1"/>
    <col min="10242" max="10242" width="25.26953125" style="69" customWidth="1"/>
    <col min="10243" max="10248" width="13" style="69" customWidth="1"/>
    <col min="10249" max="10496" width="9.1796875" style="69"/>
    <col min="10497" max="10497" width="0" style="69" hidden="1" customWidth="1"/>
    <col min="10498" max="10498" width="25.26953125" style="69" customWidth="1"/>
    <col min="10499" max="10504" width="13" style="69" customWidth="1"/>
    <col min="10505" max="10752" width="9.1796875" style="69"/>
    <col min="10753" max="10753" width="0" style="69" hidden="1" customWidth="1"/>
    <col min="10754" max="10754" width="25.26953125" style="69" customWidth="1"/>
    <col min="10755" max="10760" width="13" style="69" customWidth="1"/>
    <col min="10761" max="11008" width="9.1796875" style="69"/>
    <col min="11009" max="11009" width="0" style="69" hidden="1" customWidth="1"/>
    <col min="11010" max="11010" width="25.26953125" style="69" customWidth="1"/>
    <col min="11011" max="11016" width="13" style="69" customWidth="1"/>
    <col min="11017" max="11264" width="9.1796875" style="69"/>
    <col min="11265" max="11265" width="0" style="69" hidden="1" customWidth="1"/>
    <col min="11266" max="11266" width="25.26953125" style="69" customWidth="1"/>
    <col min="11267" max="11272" width="13" style="69" customWidth="1"/>
    <col min="11273" max="11520" width="9.1796875" style="69"/>
    <col min="11521" max="11521" width="0" style="69" hidden="1" customWidth="1"/>
    <col min="11522" max="11522" width="25.26953125" style="69" customWidth="1"/>
    <col min="11523" max="11528" width="13" style="69" customWidth="1"/>
    <col min="11529" max="11776" width="9.1796875" style="69"/>
    <col min="11777" max="11777" width="0" style="69" hidden="1" customWidth="1"/>
    <col min="11778" max="11778" width="25.26953125" style="69" customWidth="1"/>
    <col min="11779" max="11784" width="13" style="69" customWidth="1"/>
    <col min="11785" max="12032" width="9.1796875" style="69"/>
    <col min="12033" max="12033" width="0" style="69" hidden="1" customWidth="1"/>
    <col min="12034" max="12034" width="25.26953125" style="69" customWidth="1"/>
    <col min="12035" max="12040" width="13" style="69" customWidth="1"/>
    <col min="12041" max="12288" width="9.1796875" style="69"/>
    <col min="12289" max="12289" width="0" style="69" hidden="1" customWidth="1"/>
    <col min="12290" max="12290" width="25.26953125" style="69" customWidth="1"/>
    <col min="12291" max="12296" width="13" style="69" customWidth="1"/>
    <col min="12297" max="12544" width="9.1796875" style="69"/>
    <col min="12545" max="12545" width="0" style="69" hidden="1" customWidth="1"/>
    <col min="12546" max="12546" width="25.26953125" style="69" customWidth="1"/>
    <col min="12547" max="12552" width="13" style="69" customWidth="1"/>
    <col min="12553" max="12800" width="9.1796875" style="69"/>
    <col min="12801" max="12801" width="0" style="69" hidden="1" customWidth="1"/>
    <col min="12802" max="12802" width="25.26953125" style="69" customWidth="1"/>
    <col min="12803" max="12808" width="13" style="69" customWidth="1"/>
    <col min="12809" max="13056" width="9.1796875" style="69"/>
    <col min="13057" max="13057" width="0" style="69" hidden="1" customWidth="1"/>
    <col min="13058" max="13058" width="25.26953125" style="69" customWidth="1"/>
    <col min="13059" max="13064" width="13" style="69" customWidth="1"/>
    <col min="13065" max="13312" width="9.1796875" style="69"/>
    <col min="13313" max="13313" width="0" style="69" hidden="1" customWidth="1"/>
    <col min="13314" max="13314" width="25.26953125" style="69" customWidth="1"/>
    <col min="13315" max="13320" width="13" style="69" customWidth="1"/>
    <col min="13321" max="13568" width="9.1796875" style="69"/>
    <col min="13569" max="13569" width="0" style="69" hidden="1" customWidth="1"/>
    <col min="13570" max="13570" width="25.26953125" style="69" customWidth="1"/>
    <col min="13571" max="13576" width="13" style="69" customWidth="1"/>
    <col min="13577" max="13824" width="9.1796875" style="69"/>
    <col min="13825" max="13825" width="0" style="69" hidden="1" customWidth="1"/>
    <col min="13826" max="13826" width="25.26953125" style="69" customWidth="1"/>
    <col min="13827" max="13832" width="13" style="69" customWidth="1"/>
    <col min="13833" max="14080" width="9.1796875" style="69"/>
    <col min="14081" max="14081" width="0" style="69" hidden="1" customWidth="1"/>
    <col min="14082" max="14082" width="25.26953125" style="69" customWidth="1"/>
    <col min="14083" max="14088" width="13" style="69" customWidth="1"/>
    <col min="14089" max="14336" width="9.1796875" style="69"/>
    <col min="14337" max="14337" width="0" style="69" hidden="1" customWidth="1"/>
    <col min="14338" max="14338" width="25.26953125" style="69" customWidth="1"/>
    <col min="14339" max="14344" width="13" style="69" customWidth="1"/>
    <col min="14345" max="14592" width="9.1796875" style="69"/>
    <col min="14593" max="14593" width="0" style="69" hidden="1" customWidth="1"/>
    <col min="14594" max="14594" width="25.26953125" style="69" customWidth="1"/>
    <col min="14595" max="14600" width="13" style="69" customWidth="1"/>
    <col min="14601" max="14848" width="9.1796875" style="69"/>
    <col min="14849" max="14849" width="0" style="69" hidden="1" customWidth="1"/>
    <col min="14850" max="14850" width="25.26953125" style="69" customWidth="1"/>
    <col min="14851" max="14856" width="13" style="69" customWidth="1"/>
    <col min="14857" max="15104" width="9.1796875" style="69"/>
    <col min="15105" max="15105" width="0" style="69" hidden="1" customWidth="1"/>
    <col min="15106" max="15106" width="25.26953125" style="69" customWidth="1"/>
    <col min="15107" max="15112" width="13" style="69" customWidth="1"/>
    <col min="15113" max="15360" width="9.1796875" style="69"/>
    <col min="15361" max="15361" width="0" style="69" hidden="1" customWidth="1"/>
    <col min="15362" max="15362" width="25.26953125" style="69" customWidth="1"/>
    <col min="15363" max="15368" width="13" style="69" customWidth="1"/>
    <col min="15369" max="15616" width="9.1796875" style="69"/>
    <col min="15617" max="15617" width="0" style="69" hidden="1" customWidth="1"/>
    <col min="15618" max="15618" width="25.26953125" style="69" customWidth="1"/>
    <col min="15619" max="15624" width="13" style="69" customWidth="1"/>
    <col min="15625" max="15872" width="9.1796875" style="69"/>
    <col min="15873" max="15873" width="0" style="69" hidden="1" customWidth="1"/>
    <col min="15874" max="15874" width="25.26953125" style="69" customWidth="1"/>
    <col min="15875" max="15880" width="13" style="69" customWidth="1"/>
    <col min="15881" max="16128" width="9.1796875" style="69"/>
    <col min="16129" max="16129" width="0" style="69" hidden="1" customWidth="1"/>
    <col min="16130" max="16130" width="25.26953125" style="69" customWidth="1"/>
    <col min="16131" max="16136" width="13" style="69" customWidth="1"/>
    <col min="16137" max="16384" width="9.1796875" style="69"/>
  </cols>
  <sheetData>
    <row r="1" spans="1:9" ht="39.75" customHeight="1" x14ac:dyDescent="0.35">
      <c r="B1" s="148" t="s">
        <v>110</v>
      </c>
      <c r="C1" s="148"/>
      <c r="D1" s="148"/>
      <c r="E1" s="148"/>
      <c r="F1" s="148"/>
      <c r="G1" s="148"/>
      <c r="H1" s="148"/>
    </row>
    <row r="2" spans="1:9" ht="30" customHeight="1" x14ac:dyDescent="0.35">
      <c r="C2" s="85" t="s">
        <v>74</v>
      </c>
      <c r="D2" s="85" t="s">
        <v>75</v>
      </c>
      <c r="E2" s="85" t="s">
        <v>76</v>
      </c>
      <c r="F2" s="85" t="s">
        <v>77</v>
      </c>
      <c r="G2" s="70" t="s">
        <v>78</v>
      </c>
      <c r="H2" s="71" t="s">
        <v>1</v>
      </c>
    </row>
    <row r="3" spans="1:9" s="36" customFormat="1" ht="26.25" customHeight="1" x14ac:dyDescent="0.35">
      <c r="A3" s="38"/>
      <c r="B3" s="37" t="s">
        <v>80</v>
      </c>
      <c r="C3" s="72">
        <f t="shared" ref="C3:H3" si="0">C4+C44</f>
        <v>37.5</v>
      </c>
      <c r="D3" s="72">
        <f t="shared" si="0"/>
        <v>80.08</v>
      </c>
      <c r="E3" s="72">
        <f t="shared" si="0"/>
        <v>303.93</v>
      </c>
      <c r="F3" s="72">
        <f t="shared" si="0"/>
        <v>314.38</v>
      </c>
      <c r="G3" s="72">
        <f t="shared" si="0"/>
        <v>742.1629999999999</v>
      </c>
      <c r="H3" s="72">
        <f t="shared" si="0"/>
        <v>1478.0530000000001</v>
      </c>
      <c r="I3" s="73"/>
    </row>
    <row r="4" spans="1:9" s="37" customFormat="1" ht="26.25" customHeight="1" x14ac:dyDescent="0.35">
      <c r="A4" s="38"/>
      <c r="B4" s="37" t="s">
        <v>55</v>
      </c>
      <c r="C4" s="74">
        <f t="shared" ref="C4:H4" si="1">SUM(C5:C43)</f>
        <v>23.5</v>
      </c>
      <c r="D4" s="74">
        <f t="shared" si="1"/>
        <v>75.08</v>
      </c>
      <c r="E4" s="74">
        <f t="shared" si="1"/>
        <v>236.43</v>
      </c>
      <c r="F4" s="74">
        <f t="shared" si="1"/>
        <v>206.38</v>
      </c>
      <c r="G4" s="74">
        <f t="shared" si="1"/>
        <v>523.99299999999994</v>
      </c>
      <c r="H4" s="74">
        <f t="shared" si="1"/>
        <v>1065.383</v>
      </c>
    </row>
    <row r="5" spans="1:9" s="50" customFormat="1" ht="13" x14ac:dyDescent="0.35">
      <c r="A5" s="40">
        <v>51</v>
      </c>
      <c r="B5" s="50" t="s">
        <v>7</v>
      </c>
      <c r="C5" s="75">
        <v>1</v>
      </c>
      <c r="D5" s="75">
        <v>1</v>
      </c>
      <c r="E5" s="75">
        <v>9</v>
      </c>
      <c r="F5" s="75">
        <v>9</v>
      </c>
      <c r="G5" s="75">
        <v>13</v>
      </c>
      <c r="H5" s="76">
        <v>33</v>
      </c>
    </row>
    <row r="6" spans="1:9" s="50" customFormat="1" ht="13" x14ac:dyDescent="0.35">
      <c r="A6" s="40">
        <v>52</v>
      </c>
      <c r="B6" s="50" t="s">
        <v>8</v>
      </c>
      <c r="C6" s="75">
        <v>0.5</v>
      </c>
      <c r="D6" s="75">
        <v>3</v>
      </c>
      <c r="E6" s="75">
        <v>7</v>
      </c>
      <c r="F6" s="75">
        <v>6</v>
      </c>
      <c r="G6" s="75">
        <v>10</v>
      </c>
      <c r="H6" s="76">
        <v>26.5</v>
      </c>
    </row>
    <row r="7" spans="1:9" s="50" customFormat="1" ht="13" x14ac:dyDescent="0.35">
      <c r="A7" s="40">
        <v>86</v>
      </c>
      <c r="B7" s="50" t="s">
        <v>9</v>
      </c>
      <c r="C7" s="75">
        <v>0</v>
      </c>
      <c r="D7" s="75">
        <v>2</v>
      </c>
      <c r="E7" s="75">
        <v>5</v>
      </c>
      <c r="F7" s="75">
        <v>10</v>
      </c>
      <c r="G7" s="75">
        <v>17</v>
      </c>
      <c r="H7" s="76">
        <v>34</v>
      </c>
    </row>
    <row r="8" spans="1:9" s="50" customFormat="1" ht="13" x14ac:dyDescent="0.35">
      <c r="A8" s="40">
        <v>53</v>
      </c>
      <c r="B8" s="50" t="s">
        <v>10</v>
      </c>
      <c r="C8" s="75">
        <v>1</v>
      </c>
      <c r="D8" s="75">
        <v>2</v>
      </c>
      <c r="E8" s="75">
        <v>5</v>
      </c>
      <c r="F8" s="75">
        <v>5</v>
      </c>
      <c r="G8" s="75">
        <v>14</v>
      </c>
      <c r="H8" s="76">
        <v>27</v>
      </c>
    </row>
    <row r="9" spans="1:9" s="50" customFormat="1" ht="13" x14ac:dyDescent="0.35">
      <c r="A9" s="40">
        <v>54</v>
      </c>
      <c r="B9" s="50" t="s">
        <v>11</v>
      </c>
      <c r="C9" s="75">
        <v>2</v>
      </c>
      <c r="D9" s="75">
        <v>1</v>
      </c>
      <c r="E9" s="75">
        <v>6.93</v>
      </c>
      <c r="F9" s="75">
        <v>7</v>
      </c>
      <c r="G9" s="75">
        <v>14.9</v>
      </c>
      <c r="H9" s="76">
        <v>31.83</v>
      </c>
    </row>
    <row r="10" spans="1:9" s="50" customFormat="1" ht="13" x14ac:dyDescent="0.35">
      <c r="A10" s="40">
        <v>55</v>
      </c>
      <c r="B10" s="50" t="s">
        <v>12</v>
      </c>
      <c r="C10" s="75">
        <v>1</v>
      </c>
      <c r="D10" s="75">
        <v>1</v>
      </c>
      <c r="E10" s="75">
        <v>9</v>
      </c>
      <c r="F10" s="75">
        <v>0</v>
      </c>
      <c r="G10" s="75">
        <v>13.75</v>
      </c>
      <c r="H10" s="76">
        <v>24.75</v>
      </c>
    </row>
    <row r="11" spans="1:9" s="50" customFormat="1" ht="13" x14ac:dyDescent="0.35">
      <c r="A11" s="40">
        <v>56</v>
      </c>
      <c r="B11" s="50" t="s">
        <v>13</v>
      </c>
      <c r="C11" s="75">
        <v>0</v>
      </c>
      <c r="D11" s="75">
        <v>1</v>
      </c>
      <c r="E11" s="75">
        <v>4</v>
      </c>
      <c r="F11" s="75">
        <v>11</v>
      </c>
      <c r="G11" s="75">
        <v>12</v>
      </c>
      <c r="H11" s="76">
        <v>28</v>
      </c>
    </row>
    <row r="12" spans="1:9" s="50" customFormat="1" ht="13" x14ac:dyDescent="0.35">
      <c r="A12" s="40">
        <v>57</v>
      </c>
      <c r="B12" s="50" t="s">
        <v>14</v>
      </c>
      <c r="C12" s="75">
        <v>0</v>
      </c>
      <c r="D12" s="75">
        <v>2</v>
      </c>
      <c r="E12" s="75">
        <v>5</v>
      </c>
      <c r="F12" s="75">
        <v>3</v>
      </c>
      <c r="G12" s="75">
        <v>4.8550000000000004</v>
      </c>
      <c r="H12" s="76">
        <v>14.855</v>
      </c>
    </row>
    <row r="13" spans="1:9" s="50" customFormat="1" ht="13" x14ac:dyDescent="0.35">
      <c r="A13" s="40">
        <v>59</v>
      </c>
      <c r="B13" s="50" t="s">
        <v>15</v>
      </c>
      <c r="C13" s="75">
        <v>0</v>
      </c>
      <c r="D13" s="75">
        <v>1</v>
      </c>
      <c r="E13" s="75">
        <v>3</v>
      </c>
      <c r="F13" s="75">
        <v>3</v>
      </c>
      <c r="G13" s="75">
        <v>6.5</v>
      </c>
      <c r="H13" s="76">
        <v>13.5</v>
      </c>
    </row>
    <row r="14" spans="1:9" s="50" customFormat="1" ht="13" x14ac:dyDescent="0.35">
      <c r="A14" s="40">
        <v>60</v>
      </c>
      <c r="B14" s="50" t="s">
        <v>16</v>
      </c>
      <c r="C14" s="75">
        <v>1</v>
      </c>
      <c r="D14" s="75">
        <v>3</v>
      </c>
      <c r="E14" s="75">
        <v>4</v>
      </c>
      <c r="F14" s="75">
        <v>5</v>
      </c>
      <c r="G14" s="75">
        <v>22.5</v>
      </c>
      <c r="H14" s="76">
        <v>35.5</v>
      </c>
    </row>
    <row r="15" spans="1:9" s="50" customFormat="1" ht="13" x14ac:dyDescent="0.35">
      <c r="A15" s="40">
        <v>61</v>
      </c>
      <c r="B15" s="77" t="s">
        <v>56</v>
      </c>
      <c r="C15" s="75">
        <v>1</v>
      </c>
      <c r="D15" s="75">
        <v>5</v>
      </c>
      <c r="E15" s="75">
        <v>14</v>
      </c>
      <c r="F15" s="75">
        <v>11</v>
      </c>
      <c r="G15" s="75">
        <v>22</v>
      </c>
      <c r="H15" s="76">
        <v>53</v>
      </c>
    </row>
    <row r="16" spans="1:9" s="50" customFormat="1" ht="12.5" x14ac:dyDescent="0.35">
      <c r="A16" s="40">
        <v>62</v>
      </c>
      <c r="B16" s="50" t="s">
        <v>143</v>
      </c>
      <c r="C16" s="75">
        <f>C62+C63</f>
        <v>1</v>
      </c>
      <c r="D16" s="75">
        <f t="shared" ref="D16:H16" si="2">D62+D63</f>
        <v>3</v>
      </c>
      <c r="E16" s="75">
        <f t="shared" si="2"/>
        <v>9</v>
      </c>
      <c r="F16" s="75">
        <f t="shared" si="2"/>
        <v>10</v>
      </c>
      <c r="G16" s="75">
        <f t="shared" si="2"/>
        <v>24.990000000000002</v>
      </c>
      <c r="H16" s="75">
        <f t="shared" si="2"/>
        <v>47.989999999999995</v>
      </c>
    </row>
    <row r="17" spans="1:8" s="50" customFormat="1" ht="13" x14ac:dyDescent="0.35">
      <c r="A17" s="40">
        <v>58</v>
      </c>
      <c r="B17" s="50" t="s">
        <v>19</v>
      </c>
      <c r="C17" s="75">
        <v>0</v>
      </c>
      <c r="D17" s="75">
        <v>1</v>
      </c>
      <c r="E17" s="75">
        <v>5</v>
      </c>
      <c r="F17" s="75">
        <v>4</v>
      </c>
      <c r="G17" s="75">
        <v>16</v>
      </c>
      <c r="H17" s="76">
        <v>26</v>
      </c>
    </row>
    <row r="18" spans="1:8" s="50" customFormat="1" ht="13" x14ac:dyDescent="0.35">
      <c r="A18" s="40">
        <v>63</v>
      </c>
      <c r="B18" s="50" t="s">
        <v>20</v>
      </c>
      <c r="C18" s="75">
        <v>0</v>
      </c>
      <c r="D18" s="75">
        <v>1.5</v>
      </c>
      <c r="E18" s="75">
        <v>5</v>
      </c>
      <c r="F18" s="75">
        <v>4</v>
      </c>
      <c r="G18" s="75">
        <v>16.928000000000001</v>
      </c>
      <c r="H18" s="76">
        <v>27.428000000000001</v>
      </c>
    </row>
    <row r="19" spans="1:8" s="50" customFormat="1" ht="13" x14ac:dyDescent="0.35">
      <c r="A19" s="40">
        <v>64</v>
      </c>
      <c r="B19" s="50" t="s">
        <v>21</v>
      </c>
      <c r="C19" s="75">
        <v>2</v>
      </c>
      <c r="D19" s="75">
        <v>0</v>
      </c>
      <c r="E19" s="75">
        <v>14</v>
      </c>
      <c r="F19" s="75">
        <v>9</v>
      </c>
      <c r="G19" s="75">
        <v>17</v>
      </c>
      <c r="H19" s="76">
        <v>42</v>
      </c>
    </row>
    <row r="20" spans="1:8" s="50" customFormat="1" ht="13" x14ac:dyDescent="0.35">
      <c r="A20" s="40">
        <v>65</v>
      </c>
      <c r="B20" s="50" t="s">
        <v>22</v>
      </c>
      <c r="C20" s="75">
        <v>0</v>
      </c>
      <c r="D20" s="75">
        <v>0</v>
      </c>
      <c r="E20" s="75">
        <v>5</v>
      </c>
      <c r="F20" s="75">
        <v>4</v>
      </c>
      <c r="G20" s="75">
        <v>12.75</v>
      </c>
      <c r="H20" s="76">
        <v>21.75</v>
      </c>
    </row>
    <row r="21" spans="1:8" s="50" customFormat="1" ht="13" x14ac:dyDescent="0.35">
      <c r="A21" s="40">
        <v>67</v>
      </c>
      <c r="B21" s="50" t="s">
        <v>25</v>
      </c>
      <c r="C21" s="75">
        <v>2</v>
      </c>
      <c r="D21" s="75">
        <v>4.58</v>
      </c>
      <c r="E21" s="75">
        <v>8</v>
      </c>
      <c r="F21" s="75">
        <v>0</v>
      </c>
      <c r="G21" s="75">
        <v>23</v>
      </c>
      <c r="H21" s="76">
        <v>37.58</v>
      </c>
    </row>
    <row r="22" spans="1:8" s="50" customFormat="1" ht="13" x14ac:dyDescent="0.35">
      <c r="A22" s="40">
        <v>68</v>
      </c>
      <c r="B22" s="50" t="s">
        <v>57</v>
      </c>
      <c r="C22" s="75">
        <v>0</v>
      </c>
      <c r="D22" s="75">
        <v>1</v>
      </c>
      <c r="E22" s="75">
        <v>4.5</v>
      </c>
      <c r="F22" s="75">
        <v>4.5</v>
      </c>
      <c r="G22" s="75">
        <v>12.5</v>
      </c>
      <c r="H22" s="76">
        <v>22.5</v>
      </c>
    </row>
    <row r="23" spans="1:8" s="50" customFormat="1" ht="13" x14ac:dyDescent="0.35">
      <c r="A23" s="40">
        <v>69</v>
      </c>
      <c r="B23" s="50" t="s">
        <v>27</v>
      </c>
      <c r="C23" s="75">
        <v>0</v>
      </c>
      <c r="D23" s="75">
        <v>1</v>
      </c>
      <c r="E23" s="75">
        <v>10</v>
      </c>
      <c r="F23" s="75">
        <v>4</v>
      </c>
      <c r="G23" s="75">
        <v>14</v>
      </c>
      <c r="H23" s="76">
        <v>29</v>
      </c>
    </row>
    <row r="24" spans="1:8" s="50" customFormat="1" ht="13" x14ac:dyDescent="0.35">
      <c r="A24" s="40">
        <v>70</v>
      </c>
      <c r="B24" s="50" t="s">
        <v>28</v>
      </c>
      <c r="C24" s="75">
        <v>1</v>
      </c>
      <c r="D24" s="75">
        <v>1</v>
      </c>
      <c r="E24" s="75">
        <v>7</v>
      </c>
      <c r="F24" s="75">
        <v>7</v>
      </c>
      <c r="G24" s="75">
        <v>17</v>
      </c>
      <c r="H24" s="76">
        <v>33</v>
      </c>
    </row>
    <row r="25" spans="1:8" s="50" customFormat="1" ht="13" x14ac:dyDescent="0.35">
      <c r="A25" s="40">
        <v>71</v>
      </c>
      <c r="B25" s="50" t="s">
        <v>58</v>
      </c>
      <c r="C25" s="75">
        <v>0</v>
      </c>
      <c r="D25" s="75">
        <v>2</v>
      </c>
      <c r="E25" s="75">
        <v>5</v>
      </c>
      <c r="F25" s="75">
        <v>0</v>
      </c>
      <c r="G25" s="75">
        <v>6</v>
      </c>
      <c r="H25" s="76">
        <v>13</v>
      </c>
    </row>
    <row r="26" spans="1:8" s="50" customFormat="1" ht="13" x14ac:dyDescent="0.35">
      <c r="A26" s="40">
        <v>73</v>
      </c>
      <c r="B26" s="50" t="s">
        <v>31</v>
      </c>
      <c r="C26" s="75">
        <v>2</v>
      </c>
      <c r="D26" s="75">
        <v>5</v>
      </c>
      <c r="E26" s="75">
        <v>6</v>
      </c>
      <c r="F26" s="75">
        <v>7.88</v>
      </c>
      <c r="G26" s="75">
        <v>15.37</v>
      </c>
      <c r="H26" s="76">
        <v>36.25</v>
      </c>
    </row>
    <row r="27" spans="1:8" s="50" customFormat="1" ht="13" x14ac:dyDescent="0.35">
      <c r="A27" s="40">
        <v>74</v>
      </c>
      <c r="B27" s="50" t="s">
        <v>32</v>
      </c>
      <c r="C27" s="75">
        <v>0</v>
      </c>
      <c r="D27" s="75">
        <v>2</v>
      </c>
      <c r="E27" s="75">
        <v>9</v>
      </c>
      <c r="F27" s="75">
        <v>7.5</v>
      </c>
      <c r="G27" s="75">
        <v>23.13</v>
      </c>
      <c r="H27" s="76">
        <v>41.63</v>
      </c>
    </row>
    <row r="28" spans="1:8" s="50" customFormat="1" ht="13" x14ac:dyDescent="0.35">
      <c r="A28" s="40">
        <v>75</v>
      </c>
      <c r="B28" s="50" t="s">
        <v>33</v>
      </c>
      <c r="C28" s="75">
        <v>1</v>
      </c>
      <c r="D28" s="75">
        <v>1</v>
      </c>
      <c r="E28" s="75">
        <v>12</v>
      </c>
      <c r="F28" s="75">
        <v>5</v>
      </c>
      <c r="G28" s="75">
        <v>19</v>
      </c>
      <c r="H28" s="76">
        <v>38</v>
      </c>
    </row>
    <row r="29" spans="1:8" s="50" customFormat="1" ht="13" x14ac:dyDescent="0.35">
      <c r="A29" s="40">
        <v>76</v>
      </c>
      <c r="B29" s="50" t="s">
        <v>34</v>
      </c>
      <c r="C29" s="75">
        <v>1</v>
      </c>
      <c r="D29" s="75">
        <v>2</v>
      </c>
      <c r="E29" s="75">
        <v>5</v>
      </c>
      <c r="F29" s="75">
        <v>4</v>
      </c>
      <c r="G29" s="75">
        <v>11</v>
      </c>
      <c r="H29" s="76">
        <v>23</v>
      </c>
    </row>
    <row r="30" spans="1:8" s="50" customFormat="1" ht="13" x14ac:dyDescent="0.35">
      <c r="A30" s="40">
        <v>79</v>
      </c>
      <c r="B30" s="50" t="s">
        <v>36</v>
      </c>
      <c r="C30" s="75">
        <v>0</v>
      </c>
      <c r="D30" s="75">
        <v>3</v>
      </c>
      <c r="E30" s="75">
        <v>7</v>
      </c>
      <c r="F30" s="75">
        <v>4</v>
      </c>
      <c r="G30" s="75">
        <v>14.32</v>
      </c>
      <c r="H30" s="76">
        <v>28.32</v>
      </c>
    </row>
    <row r="31" spans="1:8" s="50" customFormat="1" ht="12.5" x14ac:dyDescent="0.35">
      <c r="A31" s="40"/>
      <c r="B31" s="67" t="s">
        <v>81</v>
      </c>
      <c r="C31" s="68" t="s">
        <v>64</v>
      </c>
      <c r="D31" s="68" t="s">
        <v>64</v>
      </c>
      <c r="E31" s="68" t="s">
        <v>64</v>
      </c>
      <c r="F31" s="68" t="s">
        <v>64</v>
      </c>
      <c r="G31" s="68" t="s">
        <v>64</v>
      </c>
      <c r="H31" s="68" t="s">
        <v>64</v>
      </c>
    </row>
    <row r="32" spans="1:8" s="50" customFormat="1" ht="13" x14ac:dyDescent="0.35">
      <c r="A32" s="40">
        <v>80</v>
      </c>
      <c r="B32" s="50" t="s">
        <v>38</v>
      </c>
      <c r="C32" s="75">
        <v>1</v>
      </c>
      <c r="D32" s="75">
        <v>1</v>
      </c>
      <c r="E32" s="75">
        <v>5</v>
      </c>
      <c r="F32" s="75">
        <v>4</v>
      </c>
      <c r="G32" s="75">
        <v>10.5</v>
      </c>
      <c r="H32" s="76">
        <v>21.5</v>
      </c>
    </row>
    <row r="33" spans="1:8" s="50" customFormat="1" ht="13" x14ac:dyDescent="0.35">
      <c r="A33" s="40">
        <v>81</v>
      </c>
      <c r="B33" s="50" t="s">
        <v>39</v>
      </c>
      <c r="C33" s="75">
        <v>0</v>
      </c>
      <c r="D33" s="75">
        <v>1</v>
      </c>
      <c r="E33" s="75">
        <v>6</v>
      </c>
      <c r="F33" s="75">
        <v>5</v>
      </c>
      <c r="G33" s="75">
        <v>12</v>
      </c>
      <c r="H33" s="76">
        <v>24</v>
      </c>
    </row>
    <row r="34" spans="1:8" s="50" customFormat="1" ht="13" x14ac:dyDescent="0.35">
      <c r="A34" s="40">
        <v>83</v>
      </c>
      <c r="B34" s="50" t="s">
        <v>40</v>
      </c>
      <c r="C34" s="75">
        <v>0</v>
      </c>
      <c r="D34" s="75">
        <v>1</v>
      </c>
      <c r="E34" s="75">
        <v>4</v>
      </c>
      <c r="F34" s="75">
        <v>3</v>
      </c>
      <c r="G34" s="75">
        <v>9</v>
      </c>
      <c r="H34" s="76">
        <v>17</v>
      </c>
    </row>
    <row r="35" spans="1:8" s="50" customFormat="1" ht="13" x14ac:dyDescent="0.35">
      <c r="A35" s="40">
        <v>84</v>
      </c>
      <c r="B35" s="50" t="s">
        <v>41</v>
      </c>
      <c r="C35" s="75">
        <v>1</v>
      </c>
      <c r="D35" s="75">
        <v>5</v>
      </c>
      <c r="E35" s="75">
        <v>4</v>
      </c>
      <c r="F35" s="75">
        <v>4.5</v>
      </c>
      <c r="G35" s="75">
        <v>20</v>
      </c>
      <c r="H35" s="76">
        <v>34.5</v>
      </c>
    </row>
    <row r="36" spans="1:8" s="50" customFormat="1" ht="13" x14ac:dyDescent="0.35">
      <c r="A36" s="40">
        <v>85</v>
      </c>
      <c r="B36" s="50" t="s">
        <v>42</v>
      </c>
      <c r="C36" s="75">
        <v>0</v>
      </c>
      <c r="D36" s="75">
        <v>1</v>
      </c>
      <c r="E36" s="75">
        <v>3</v>
      </c>
      <c r="F36" s="75">
        <v>5</v>
      </c>
      <c r="G36" s="75">
        <v>17</v>
      </c>
      <c r="H36" s="76">
        <v>26</v>
      </c>
    </row>
    <row r="37" spans="1:8" s="50" customFormat="1" ht="13" x14ac:dyDescent="0.35">
      <c r="A37" s="40">
        <v>87</v>
      </c>
      <c r="B37" s="50" t="s">
        <v>43</v>
      </c>
      <c r="C37" s="75">
        <v>0</v>
      </c>
      <c r="D37" s="75">
        <v>1</v>
      </c>
      <c r="E37" s="75">
        <v>4</v>
      </c>
      <c r="F37" s="75">
        <v>3</v>
      </c>
      <c r="G37" s="75">
        <v>9</v>
      </c>
      <c r="H37" s="76">
        <v>17</v>
      </c>
    </row>
    <row r="38" spans="1:8" s="50" customFormat="1" ht="13" x14ac:dyDescent="0.35">
      <c r="A38" s="40">
        <v>90</v>
      </c>
      <c r="B38" s="50" t="s">
        <v>45</v>
      </c>
      <c r="C38" s="75">
        <v>1</v>
      </c>
      <c r="D38" s="75">
        <v>2</v>
      </c>
      <c r="E38" s="75">
        <v>4</v>
      </c>
      <c r="F38" s="75">
        <v>9</v>
      </c>
      <c r="G38" s="75">
        <v>12</v>
      </c>
      <c r="H38" s="76">
        <v>28</v>
      </c>
    </row>
    <row r="39" spans="1:8" s="50" customFormat="1" ht="13" x14ac:dyDescent="0.35">
      <c r="A39" s="40">
        <v>91</v>
      </c>
      <c r="B39" s="50" t="s">
        <v>46</v>
      </c>
      <c r="C39" s="75">
        <v>0</v>
      </c>
      <c r="D39" s="75">
        <v>1</v>
      </c>
      <c r="E39" s="75">
        <v>6</v>
      </c>
      <c r="F39" s="75">
        <v>7</v>
      </c>
      <c r="G39" s="75">
        <v>8</v>
      </c>
      <c r="H39" s="76">
        <v>22</v>
      </c>
    </row>
    <row r="40" spans="1:8" s="50" customFormat="1" ht="13" x14ac:dyDescent="0.35">
      <c r="A40" s="40">
        <v>92</v>
      </c>
      <c r="B40" s="50" t="s">
        <v>47</v>
      </c>
      <c r="C40" s="75">
        <v>1</v>
      </c>
      <c r="D40" s="75">
        <v>6</v>
      </c>
      <c r="E40" s="75">
        <v>6</v>
      </c>
      <c r="F40" s="75">
        <v>5</v>
      </c>
      <c r="G40" s="75">
        <v>12</v>
      </c>
      <c r="H40" s="76">
        <v>30</v>
      </c>
    </row>
    <row r="41" spans="1:8" s="50" customFormat="1" ht="13" x14ac:dyDescent="0.35">
      <c r="A41" s="40">
        <v>94</v>
      </c>
      <c r="B41" s="50" t="s">
        <v>49</v>
      </c>
      <c r="C41" s="75">
        <v>1</v>
      </c>
      <c r="D41" s="75">
        <v>3</v>
      </c>
      <c r="E41" s="75">
        <v>5</v>
      </c>
      <c r="F41" s="75">
        <v>5</v>
      </c>
      <c r="G41" s="75">
        <v>6.5</v>
      </c>
      <c r="H41" s="76">
        <v>20.5</v>
      </c>
    </row>
    <row r="42" spans="1:8" s="50" customFormat="1" ht="13" x14ac:dyDescent="0.35">
      <c r="A42" s="40">
        <v>96</v>
      </c>
      <c r="B42" s="50" t="s">
        <v>51</v>
      </c>
      <c r="C42" s="75">
        <v>1</v>
      </c>
      <c r="D42" s="75">
        <v>3</v>
      </c>
      <c r="E42" s="75">
        <v>6</v>
      </c>
      <c r="F42" s="75">
        <v>11</v>
      </c>
      <c r="G42" s="75">
        <v>14.5</v>
      </c>
      <c r="H42" s="76">
        <v>35.5</v>
      </c>
    </row>
    <row r="43" spans="1:8" s="50" customFormat="1" ht="13" x14ac:dyDescent="0.35">
      <c r="A43" s="40">
        <v>72</v>
      </c>
      <c r="B43" s="50" t="s">
        <v>30</v>
      </c>
      <c r="C43" s="75">
        <v>0</v>
      </c>
      <c r="D43" s="75">
        <v>0</v>
      </c>
      <c r="E43" s="75">
        <v>0</v>
      </c>
      <c r="F43" s="75">
        <v>0</v>
      </c>
      <c r="G43" s="75">
        <v>0</v>
      </c>
      <c r="H43" s="76">
        <v>0</v>
      </c>
    </row>
    <row r="44" spans="1:8" s="37" customFormat="1" ht="26.25" customHeight="1" x14ac:dyDescent="0.35">
      <c r="A44" s="38"/>
      <c r="B44" s="37" t="s">
        <v>59</v>
      </c>
      <c r="C44" s="39">
        <f t="shared" ref="C44:G44" si="3">SUM(C45:C51)</f>
        <v>14</v>
      </c>
      <c r="D44" s="39">
        <f t="shared" si="3"/>
        <v>5</v>
      </c>
      <c r="E44" s="39">
        <f t="shared" si="3"/>
        <v>67.5</v>
      </c>
      <c r="F44" s="39">
        <f t="shared" si="3"/>
        <v>108</v>
      </c>
      <c r="G44" s="39">
        <f t="shared" si="3"/>
        <v>218.17</v>
      </c>
      <c r="H44" s="39">
        <f>SUM(H45:H51)</f>
        <v>412.67</v>
      </c>
    </row>
    <row r="45" spans="1:8" s="50" customFormat="1" ht="13" x14ac:dyDescent="0.35">
      <c r="A45" s="40">
        <v>66</v>
      </c>
      <c r="B45" s="50" t="s">
        <v>24</v>
      </c>
      <c r="C45" s="75">
        <v>4</v>
      </c>
      <c r="D45" s="75">
        <v>1</v>
      </c>
      <c r="E45" s="75">
        <v>3.5</v>
      </c>
      <c r="F45" s="75">
        <v>17.5</v>
      </c>
      <c r="G45" s="75">
        <v>32.630000000000003</v>
      </c>
      <c r="H45" s="76">
        <f>SUM(C45:G45)</f>
        <v>58.63</v>
      </c>
    </row>
    <row r="46" spans="1:8" s="50" customFormat="1" ht="13" x14ac:dyDescent="0.35">
      <c r="A46" s="40">
        <v>78</v>
      </c>
      <c r="B46" s="50" t="s">
        <v>35</v>
      </c>
      <c r="C46" s="75">
        <v>1</v>
      </c>
      <c r="D46" s="75">
        <v>0</v>
      </c>
      <c r="E46" s="75">
        <v>10</v>
      </c>
      <c r="F46" s="75">
        <v>5</v>
      </c>
      <c r="G46" s="75">
        <v>26.25</v>
      </c>
      <c r="H46" s="76">
        <v>42.25</v>
      </c>
    </row>
    <row r="47" spans="1:8" s="50" customFormat="1" ht="13" x14ac:dyDescent="0.35">
      <c r="A47" s="40">
        <v>89</v>
      </c>
      <c r="B47" s="50" t="s">
        <v>44</v>
      </c>
      <c r="C47" s="75">
        <v>1</v>
      </c>
      <c r="D47" s="75">
        <v>1</v>
      </c>
      <c r="E47" s="75">
        <v>4</v>
      </c>
      <c r="F47" s="75">
        <v>14</v>
      </c>
      <c r="G47" s="75">
        <v>19.5</v>
      </c>
      <c r="H47" s="76">
        <v>39.5</v>
      </c>
    </row>
    <row r="48" spans="1:8" s="50" customFormat="1" ht="13" x14ac:dyDescent="0.35">
      <c r="A48" s="40">
        <v>93</v>
      </c>
      <c r="B48" s="50" t="s">
        <v>60</v>
      </c>
      <c r="C48" s="75">
        <v>2</v>
      </c>
      <c r="D48" s="75">
        <v>0</v>
      </c>
      <c r="E48" s="75">
        <v>8</v>
      </c>
      <c r="F48" s="75">
        <v>7.5</v>
      </c>
      <c r="G48" s="75">
        <v>21</v>
      </c>
      <c r="H48" s="76">
        <v>38.5</v>
      </c>
    </row>
    <row r="49" spans="1:8" s="50" customFormat="1" ht="13" x14ac:dyDescent="0.35">
      <c r="A49" s="40">
        <v>95</v>
      </c>
      <c r="B49" s="50" t="s">
        <v>50</v>
      </c>
      <c r="C49" s="75">
        <v>4</v>
      </c>
      <c r="D49" s="75">
        <v>1</v>
      </c>
      <c r="E49" s="75">
        <v>19</v>
      </c>
      <c r="F49" s="75">
        <v>16</v>
      </c>
      <c r="G49" s="75">
        <v>24</v>
      </c>
      <c r="H49" s="76">
        <v>64</v>
      </c>
    </row>
    <row r="50" spans="1:8" s="50" customFormat="1" ht="13" x14ac:dyDescent="0.35">
      <c r="A50" s="40">
        <v>97</v>
      </c>
      <c r="B50" s="50" t="s">
        <v>52</v>
      </c>
      <c r="C50" s="75">
        <v>1</v>
      </c>
      <c r="D50" s="75">
        <v>0</v>
      </c>
      <c r="E50" s="75">
        <v>14</v>
      </c>
      <c r="F50" s="75">
        <v>11</v>
      </c>
      <c r="G50" s="75">
        <v>28.79</v>
      </c>
      <c r="H50" s="76">
        <v>54.79</v>
      </c>
    </row>
    <row r="51" spans="1:8" s="50" customFormat="1" ht="13" x14ac:dyDescent="0.35">
      <c r="A51" s="40">
        <v>77</v>
      </c>
      <c r="B51" s="44" t="s">
        <v>23</v>
      </c>
      <c r="C51" s="78">
        <v>1</v>
      </c>
      <c r="D51" s="78">
        <v>2</v>
      </c>
      <c r="E51" s="78">
        <v>9</v>
      </c>
      <c r="F51" s="78">
        <v>37</v>
      </c>
      <c r="G51" s="78">
        <v>66</v>
      </c>
      <c r="H51" s="79">
        <v>115</v>
      </c>
    </row>
    <row r="52" spans="1:8" s="81" customFormat="1" x14ac:dyDescent="0.35">
      <c r="A52" s="40"/>
      <c r="B52" s="69"/>
      <c r="C52" s="60"/>
      <c r="D52" s="60"/>
      <c r="E52" s="80"/>
      <c r="F52" s="80"/>
      <c r="G52" s="80"/>
      <c r="H52" s="80"/>
    </row>
    <row r="53" spans="1:8" s="50" customFormat="1" ht="12.5" x14ac:dyDescent="0.35">
      <c r="A53" s="40"/>
      <c r="B53" s="63" t="s">
        <v>71</v>
      </c>
      <c r="C53" s="45"/>
    </row>
    <row r="54" spans="1:8" x14ac:dyDescent="0.35">
      <c r="G54" s="82"/>
      <c r="H54" s="82"/>
    </row>
    <row r="55" spans="1:8" x14ac:dyDescent="0.35">
      <c r="F55" s="82"/>
    </row>
    <row r="62" spans="1:8" x14ac:dyDescent="0.35">
      <c r="B62" s="50" t="s">
        <v>18</v>
      </c>
      <c r="C62" s="75">
        <v>0</v>
      </c>
      <c r="D62" s="75">
        <v>2</v>
      </c>
      <c r="E62" s="75">
        <v>4</v>
      </c>
      <c r="F62" s="75">
        <v>5</v>
      </c>
      <c r="G62" s="75">
        <v>13</v>
      </c>
      <c r="H62" s="76">
        <v>24</v>
      </c>
    </row>
    <row r="63" spans="1:8" x14ac:dyDescent="0.35">
      <c r="B63" s="50" t="s">
        <v>53</v>
      </c>
      <c r="C63" s="75">
        <v>1</v>
      </c>
      <c r="D63" s="75">
        <v>1</v>
      </c>
      <c r="E63" s="75">
        <v>5</v>
      </c>
      <c r="F63" s="75">
        <v>5</v>
      </c>
      <c r="G63" s="75">
        <v>11.99</v>
      </c>
      <c r="H63" s="76">
        <v>23.99</v>
      </c>
    </row>
  </sheetData>
  <mergeCells count="1">
    <mergeCell ref="B1:H1"/>
  </mergeCells>
  <pageMargins left="0.75" right="0.75" top="1" bottom="1" header="0.5" footer="0.5"/>
  <pageSetup paperSize="9" scale="8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908D8-8160-4866-BA37-CAAE03584E76}">
  <sheetPr codeName="Sheet33"/>
  <dimension ref="A1:D231"/>
  <sheetViews>
    <sheetView workbookViewId="0">
      <selection activeCell="A4" sqref="A4:H4"/>
    </sheetView>
  </sheetViews>
  <sheetFormatPr defaultRowHeight="14.5" x14ac:dyDescent="0.35"/>
  <sheetData>
    <row r="1" spans="1:4" x14ac:dyDescent="0.35">
      <c r="A1" s="5" t="s">
        <v>152</v>
      </c>
      <c r="B1" s="140" t="s">
        <v>61</v>
      </c>
      <c r="C1" s="140" t="s">
        <v>175</v>
      </c>
      <c r="D1" s="140" t="s">
        <v>176</v>
      </c>
    </row>
    <row r="2" spans="1:4" x14ac:dyDescent="0.35">
      <c r="A2">
        <v>2019</v>
      </c>
      <c r="B2" t="s">
        <v>7</v>
      </c>
      <c r="C2" s="140" t="s">
        <v>171</v>
      </c>
      <c r="D2">
        <v>1</v>
      </c>
    </row>
    <row r="3" spans="1:4" x14ac:dyDescent="0.35">
      <c r="A3">
        <v>2019</v>
      </c>
      <c r="B3" t="s">
        <v>7</v>
      </c>
      <c r="C3" s="140" t="s">
        <v>172</v>
      </c>
      <c r="D3">
        <v>2</v>
      </c>
    </row>
    <row r="4" spans="1:4" x14ac:dyDescent="0.35">
      <c r="A4">
        <v>2019</v>
      </c>
      <c r="B4" t="s">
        <v>7</v>
      </c>
      <c r="C4" s="140" t="s">
        <v>173</v>
      </c>
      <c r="D4">
        <v>10</v>
      </c>
    </row>
    <row r="5" spans="1:4" x14ac:dyDescent="0.35">
      <c r="A5">
        <v>2019</v>
      </c>
      <c r="B5" t="s">
        <v>7</v>
      </c>
      <c r="C5" s="140" t="s">
        <v>174</v>
      </c>
      <c r="D5">
        <v>8.5</v>
      </c>
    </row>
    <row r="6" spans="1:4" x14ac:dyDescent="0.35">
      <c r="A6">
        <v>2019</v>
      </c>
      <c r="B6" t="s">
        <v>7</v>
      </c>
      <c r="C6" s="140" t="s">
        <v>78</v>
      </c>
      <c r="D6">
        <v>15.31</v>
      </c>
    </row>
    <row r="7" spans="1:4" x14ac:dyDescent="0.35">
      <c r="A7">
        <v>2019</v>
      </c>
      <c r="B7" t="s">
        <v>8</v>
      </c>
      <c r="C7" s="140" t="s">
        <v>171</v>
      </c>
      <c r="D7">
        <v>0</v>
      </c>
    </row>
    <row r="8" spans="1:4" x14ac:dyDescent="0.35">
      <c r="A8">
        <v>2019</v>
      </c>
      <c r="B8" t="s">
        <v>8</v>
      </c>
      <c r="C8" s="140" t="s">
        <v>172</v>
      </c>
      <c r="D8">
        <v>1</v>
      </c>
    </row>
    <row r="9" spans="1:4" x14ac:dyDescent="0.35">
      <c r="A9">
        <v>2019</v>
      </c>
      <c r="B9" t="s">
        <v>8</v>
      </c>
      <c r="C9" s="140" t="s">
        <v>173</v>
      </c>
      <c r="D9">
        <v>7</v>
      </c>
    </row>
    <row r="10" spans="1:4" x14ac:dyDescent="0.35">
      <c r="A10">
        <v>2019</v>
      </c>
      <c r="B10" t="s">
        <v>8</v>
      </c>
      <c r="C10" s="140" t="s">
        <v>174</v>
      </c>
      <c r="D10">
        <v>4</v>
      </c>
    </row>
    <row r="11" spans="1:4" x14ac:dyDescent="0.35">
      <c r="A11">
        <v>2019</v>
      </c>
      <c r="B11" t="s">
        <v>8</v>
      </c>
      <c r="C11" s="140" t="s">
        <v>78</v>
      </c>
      <c r="D11">
        <v>12</v>
      </c>
    </row>
    <row r="12" spans="1:4" x14ac:dyDescent="0.35">
      <c r="A12">
        <v>2019</v>
      </c>
      <c r="B12" t="s">
        <v>9</v>
      </c>
      <c r="C12" s="140" t="s">
        <v>171</v>
      </c>
      <c r="D12">
        <v>1</v>
      </c>
    </row>
    <row r="13" spans="1:4" x14ac:dyDescent="0.35">
      <c r="A13">
        <v>2019</v>
      </c>
      <c r="B13" t="s">
        <v>9</v>
      </c>
      <c r="C13" s="140" t="s">
        <v>172</v>
      </c>
      <c r="D13">
        <v>2</v>
      </c>
    </row>
    <row r="14" spans="1:4" x14ac:dyDescent="0.35">
      <c r="A14">
        <v>2019</v>
      </c>
      <c r="B14" t="s">
        <v>9</v>
      </c>
      <c r="C14" s="140" t="s">
        <v>173</v>
      </c>
      <c r="D14">
        <v>5</v>
      </c>
    </row>
    <row r="15" spans="1:4" x14ac:dyDescent="0.35">
      <c r="A15">
        <v>2019</v>
      </c>
      <c r="B15" t="s">
        <v>9</v>
      </c>
      <c r="C15" s="140" t="s">
        <v>174</v>
      </c>
      <c r="D15">
        <v>11.875999999999999</v>
      </c>
    </row>
    <row r="16" spans="1:4" x14ac:dyDescent="0.35">
      <c r="A16">
        <v>2019</v>
      </c>
      <c r="B16" t="s">
        <v>9</v>
      </c>
      <c r="C16" s="140" t="s">
        <v>78</v>
      </c>
      <c r="D16">
        <v>18.812999999999999</v>
      </c>
    </row>
    <row r="17" spans="1:4" x14ac:dyDescent="0.35">
      <c r="A17">
        <v>2019</v>
      </c>
      <c r="B17" t="s">
        <v>10</v>
      </c>
      <c r="C17" s="140" t="s">
        <v>171</v>
      </c>
      <c r="D17">
        <v>0</v>
      </c>
    </row>
    <row r="18" spans="1:4" x14ac:dyDescent="0.35">
      <c r="A18">
        <v>2019</v>
      </c>
      <c r="B18" t="s">
        <v>10</v>
      </c>
      <c r="C18" s="140" t="s">
        <v>172</v>
      </c>
      <c r="D18">
        <v>0</v>
      </c>
    </row>
    <row r="19" spans="1:4" x14ac:dyDescent="0.35">
      <c r="A19">
        <v>2019</v>
      </c>
      <c r="B19" t="s">
        <v>10</v>
      </c>
      <c r="C19" s="140" t="s">
        <v>173</v>
      </c>
      <c r="D19">
        <v>0</v>
      </c>
    </row>
    <row r="20" spans="1:4" x14ac:dyDescent="0.35">
      <c r="A20">
        <v>2019</v>
      </c>
      <c r="B20" t="s">
        <v>10</v>
      </c>
      <c r="C20" s="140" t="s">
        <v>174</v>
      </c>
      <c r="D20">
        <v>0</v>
      </c>
    </row>
    <row r="21" spans="1:4" x14ac:dyDescent="0.35">
      <c r="A21">
        <v>2019</v>
      </c>
      <c r="B21" t="s">
        <v>10</v>
      </c>
      <c r="C21" s="140" t="s">
        <v>78</v>
      </c>
      <c r="D21">
        <v>0</v>
      </c>
    </row>
    <row r="22" spans="1:4" x14ac:dyDescent="0.35">
      <c r="A22">
        <v>2019</v>
      </c>
      <c r="B22" t="s">
        <v>11</v>
      </c>
      <c r="C22" s="140" t="s">
        <v>171</v>
      </c>
      <c r="D22">
        <v>0</v>
      </c>
    </row>
    <row r="23" spans="1:4" x14ac:dyDescent="0.35">
      <c r="A23">
        <v>2019</v>
      </c>
      <c r="B23" t="s">
        <v>11</v>
      </c>
      <c r="C23" s="140" t="s">
        <v>172</v>
      </c>
      <c r="D23">
        <v>2</v>
      </c>
    </row>
    <row r="24" spans="1:4" x14ac:dyDescent="0.35">
      <c r="A24">
        <v>2019</v>
      </c>
      <c r="B24" t="s">
        <v>11</v>
      </c>
      <c r="C24" s="140" t="s">
        <v>173</v>
      </c>
      <c r="D24">
        <v>6.18</v>
      </c>
    </row>
    <row r="25" spans="1:4" x14ac:dyDescent="0.35">
      <c r="A25">
        <v>2019</v>
      </c>
      <c r="B25" t="s">
        <v>11</v>
      </c>
      <c r="C25" s="140" t="s">
        <v>174</v>
      </c>
      <c r="D25">
        <v>9.5</v>
      </c>
    </row>
    <row r="26" spans="1:4" x14ac:dyDescent="0.35">
      <c r="A26">
        <v>2019</v>
      </c>
      <c r="B26" t="s">
        <v>11</v>
      </c>
      <c r="C26" s="140" t="s">
        <v>78</v>
      </c>
      <c r="D26">
        <v>23</v>
      </c>
    </row>
    <row r="27" spans="1:4" x14ac:dyDescent="0.35">
      <c r="A27">
        <v>2019</v>
      </c>
      <c r="B27" t="s">
        <v>12</v>
      </c>
      <c r="C27" s="140" t="s">
        <v>171</v>
      </c>
      <c r="D27">
        <v>0</v>
      </c>
    </row>
    <row r="28" spans="1:4" x14ac:dyDescent="0.35">
      <c r="A28">
        <v>2019</v>
      </c>
      <c r="B28" t="s">
        <v>12</v>
      </c>
      <c r="C28" s="140" t="s">
        <v>172</v>
      </c>
      <c r="D28">
        <v>0</v>
      </c>
    </row>
    <row r="29" spans="1:4" x14ac:dyDescent="0.35">
      <c r="A29">
        <v>2019</v>
      </c>
      <c r="B29" t="s">
        <v>12</v>
      </c>
      <c r="C29" s="140" t="s">
        <v>173</v>
      </c>
      <c r="D29">
        <v>0</v>
      </c>
    </row>
    <row r="30" spans="1:4" x14ac:dyDescent="0.35">
      <c r="A30">
        <v>2019</v>
      </c>
      <c r="B30" t="s">
        <v>12</v>
      </c>
      <c r="C30" s="140" t="s">
        <v>174</v>
      </c>
      <c r="D30">
        <v>0</v>
      </c>
    </row>
    <row r="31" spans="1:4" x14ac:dyDescent="0.35">
      <c r="A31">
        <v>2019</v>
      </c>
      <c r="B31" t="s">
        <v>12</v>
      </c>
      <c r="C31" s="140" t="s">
        <v>78</v>
      </c>
      <c r="D31">
        <v>0</v>
      </c>
    </row>
    <row r="32" spans="1:4" x14ac:dyDescent="0.35">
      <c r="A32">
        <v>2019</v>
      </c>
      <c r="B32" t="s">
        <v>13</v>
      </c>
      <c r="C32" s="140" t="s">
        <v>171</v>
      </c>
      <c r="D32">
        <v>0</v>
      </c>
    </row>
    <row r="33" spans="1:4" x14ac:dyDescent="0.35">
      <c r="A33">
        <v>2019</v>
      </c>
      <c r="B33" t="s">
        <v>13</v>
      </c>
      <c r="C33" s="140" t="s">
        <v>172</v>
      </c>
      <c r="D33">
        <v>0</v>
      </c>
    </row>
    <row r="34" spans="1:4" x14ac:dyDescent="0.35">
      <c r="A34">
        <v>2019</v>
      </c>
      <c r="B34" t="s">
        <v>13</v>
      </c>
      <c r="C34" s="140" t="s">
        <v>173</v>
      </c>
      <c r="D34">
        <v>4.5</v>
      </c>
    </row>
    <row r="35" spans="1:4" x14ac:dyDescent="0.35">
      <c r="A35">
        <v>2019</v>
      </c>
      <c r="B35" t="s">
        <v>13</v>
      </c>
      <c r="C35" s="140" t="s">
        <v>174</v>
      </c>
      <c r="D35">
        <v>7</v>
      </c>
    </row>
    <row r="36" spans="1:4" x14ac:dyDescent="0.35">
      <c r="A36">
        <v>2019</v>
      </c>
      <c r="B36" t="s">
        <v>13</v>
      </c>
      <c r="C36" s="140" t="s">
        <v>78</v>
      </c>
      <c r="D36">
        <v>8</v>
      </c>
    </row>
    <row r="37" spans="1:4" x14ac:dyDescent="0.35">
      <c r="A37">
        <v>2019</v>
      </c>
      <c r="B37" t="s">
        <v>14</v>
      </c>
      <c r="C37" s="140" t="s">
        <v>171</v>
      </c>
      <c r="D37">
        <v>0</v>
      </c>
    </row>
    <row r="38" spans="1:4" x14ac:dyDescent="0.35">
      <c r="A38">
        <v>2019</v>
      </c>
      <c r="B38" t="s">
        <v>14</v>
      </c>
      <c r="C38" s="140" t="s">
        <v>172</v>
      </c>
      <c r="D38">
        <v>0</v>
      </c>
    </row>
    <row r="39" spans="1:4" x14ac:dyDescent="0.35">
      <c r="A39">
        <v>2019</v>
      </c>
      <c r="B39" t="s">
        <v>14</v>
      </c>
      <c r="C39" s="140" t="s">
        <v>173</v>
      </c>
      <c r="D39">
        <v>2</v>
      </c>
    </row>
    <row r="40" spans="1:4" x14ac:dyDescent="0.35">
      <c r="A40">
        <v>2019</v>
      </c>
      <c r="B40" t="s">
        <v>14</v>
      </c>
      <c r="C40" s="140" t="s">
        <v>174</v>
      </c>
      <c r="D40">
        <v>6</v>
      </c>
    </row>
    <row r="41" spans="1:4" x14ac:dyDescent="0.35">
      <c r="A41">
        <v>2019</v>
      </c>
      <c r="B41" t="s">
        <v>14</v>
      </c>
      <c r="C41" s="140" t="s">
        <v>78</v>
      </c>
      <c r="D41">
        <v>7.88</v>
      </c>
    </row>
    <row r="42" spans="1:4" x14ac:dyDescent="0.35">
      <c r="A42">
        <v>2019</v>
      </c>
      <c r="B42" t="s">
        <v>15</v>
      </c>
      <c r="C42" s="140" t="s">
        <v>171</v>
      </c>
      <c r="D42">
        <v>0</v>
      </c>
    </row>
    <row r="43" spans="1:4" x14ac:dyDescent="0.35">
      <c r="A43">
        <v>2019</v>
      </c>
      <c r="B43" t="s">
        <v>15</v>
      </c>
      <c r="C43" s="140" t="s">
        <v>172</v>
      </c>
      <c r="D43">
        <v>0</v>
      </c>
    </row>
    <row r="44" spans="1:4" x14ac:dyDescent="0.35">
      <c r="A44">
        <v>2019</v>
      </c>
      <c r="B44" t="s">
        <v>15</v>
      </c>
      <c r="C44" s="140" t="s">
        <v>173</v>
      </c>
      <c r="D44">
        <v>0</v>
      </c>
    </row>
    <row r="45" spans="1:4" x14ac:dyDescent="0.35">
      <c r="A45">
        <v>2019</v>
      </c>
      <c r="B45" t="s">
        <v>15</v>
      </c>
      <c r="C45" s="140" t="s">
        <v>174</v>
      </c>
      <c r="D45">
        <v>0</v>
      </c>
    </row>
    <row r="46" spans="1:4" x14ac:dyDescent="0.35">
      <c r="A46">
        <v>2019</v>
      </c>
      <c r="B46" t="s">
        <v>15</v>
      </c>
      <c r="C46" s="140" t="s">
        <v>78</v>
      </c>
      <c r="D46">
        <v>0</v>
      </c>
    </row>
    <row r="47" spans="1:4" x14ac:dyDescent="0.35">
      <c r="A47">
        <v>2019</v>
      </c>
      <c r="B47" t="s">
        <v>16</v>
      </c>
      <c r="C47" s="140" t="s">
        <v>171</v>
      </c>
      <c r="D47">
        <v>0</v>
      </c>
    </row>
    <row r="48" spans="1:4" x14ac:dyDescent="0.35">
      <c r="A48">
        <v>2019</v>
      </c>
      <c r="B48" t="s">
        <v>16</v>
      </c>
      <c r="C48" s="140" t="s">
        <v>172</v>
      </c>
      <c r="D48">
        <v>1</v>
      </c>
    </row>
    <row r="49" spans="1:4" x14ac:dyDescent="0.35">
      <c r="A49">
        <v>2019</v>
      </c>
      <c r="B49" t="s">
        <v>16</v>
      </c>
      <c r="C49" s="140" t="s">
        <v>173</v>
      </c>
      <c r="D49">
        <v>6</v>
      </c>
    </row>
    <row r="50" spans="1:4" x14ac:dyDescent="0.35">
      <c r="A50">
        <v>2019</v>
      </c>
      <c r="B50" t="s">
        <v>16</v>
      </c>
      <c r="C50" s="140" t="s">
        <v>174</v>
      </c>
      <c r="D50">
        <v>4</v>
      </c>
    </row>
    <row r="51" spans="1:4" x14ac:dyDescent="0.35">
      <c r="A51">
        <v>2019</v>
      </c>
      <c r="B51" t="s">
        <v>16</v>
      </c>
      <c r="C51" s="140" t="s">
        <v>78</v>
      </c>
      <c r="D51">
        <v>17</v>
      </c>
    </row>
    <row r="52" spans="1:4" x14ac:dyDescent="0.35">
      <c r="A52">
        <v>2019</v>
      </c>
      <c r="B52" t="s">
        <v>17</v>
      </c>
      <c r="C52" s="140" t="s">
        <v>171</v>
      </c>
      <c r="D52">
        <v>0</v>
      </c>
    </row>
    <row r="53" spans="1:4" x14ac:dyDescent="0.35">
      <c r="A53">
        <v>2019</v>
      </c>
      <c r="B53" t="s">
        <v>17</v>
      </c>
      <c r="C53" s="140" t="s">
        <v>172</v>
      </c>
      <c r="D53">
        <v>1.6400000000000001</v>
      </c>
    </row>
    <row r="54" spans="1:4" x14ac:dyDescent="0.35">
      <c r="A54">
        <v>2019</v>
      </c>
      <c r="B54" t="s">
        <v>17</v>
      </c>
      <c r="C54" s="140" t="s">
        <v>173</v>
      </c>
      <c r="D54">
        <v>7</v>
      </c>
    </row>
    <row r="55" spans="1:4" x14ac:dyDescent="0.35">
      <c r="A55">
        <v>2019</v>
      </c>
      <c r="B55" t="s">
        <v>17</v>
      </c>
      <c r="C55" s="140" t="s">
        <v>174</v>
      </c>
      <c r="D55">
        <v>11</v>
      </c>
    </row>
    <row r="56" spans="1:4" x14ac:dyDescent="0.35">
      <c r="A56">
        <v>2019</v>
      </c>
      <c r="B56" t="s">
        <v>17</v>
      </c>
      <c r="C56" s="140" t="s">
        <v>78</v>
      </c>
      <c r="D56">
        <v>13</v>
      </c>
    </row>
    <row r="57" spans="1:4" x14ac:dyDescent="0.35">
      <c r="A57">
        <v>2019</v>
      </c>
      <c r="B57" t="s">
        <v>19</v>
      </c>
      <c r="C57" s="140" t="s">
        <v>171</v>
      </c>
      <c r="D57">
        <v>0</v>
      </c>
    </row>
    <row r="58" spans="1:4" x14ac:dyDescent="0.35">
      <c r="A58">
        <v>2019</v>
      </c>
      <c r="B58" t="s">
        <v>19</v>
      </c>
      <c r="C58" s="140" t="s">
        <v>172</v>
      </c>
      <c r="D58">
        <v>1</v>
      </c>
    </row>
    <row r="59" spans="1:4" x14ac:dyDescent="0.35">
      <c r="A59">
        <v>2019</v>
      </c>
      <c r="B59" t="s">
        <v>19</v>
      </c>
      <c r="C59" s="140" t="s">
        <v>173</v>
      </c>
      <c r="D59">
        <v>8</v>
      </c>
    </row>
    <row r="60" spans="1:4" x14ac:dyDescent="0.35">
      <c r="A60">
        <v>2019</v>
      </c>
      <c r="B60" t="s">
        <v>19</v>
      </c>
      <c r="C60" s="140" t="s">
        <v>174</v>
      </c>
      <c r="D60">
        <v>4</v>
      </c>
    </row>
    <row r="61" spans="1:4" x14ac:dyDescent="0.35">
      <c r="A61">
        <v>2019</v>
      </c>
      <c r="B61" t="s">
        <v>19</v>
      </c>
      <c r="C61" s="140" t="s">
        <v>78</v>
      </c>
      <c r="D61">
        <v>8</v>
      </c>
    </row>
    <row r="62" spans="1:4" x14ac:dyDescent="0.35">
      <c r="A62">
        <v>2019</v>
      </c>
      <c r="B62" t="s">
        <v>20</v>
      </c>
      <c r="C62" s="140" t="s">
        <v>171</v>
      </c>
      <c r="D62">
        <v>1</v>
      </c>
    </row>
    <row r="63" spans="1:4" x14ac:dyDescent="0.35">
      <c r="A63">
        <v>2019</v>
      </c>
      <c r="B63" t="s">
        <v>20</v>
      </c>
      <c r="C63" s="140" t="s">
        <v>172</v>
      </c>
      <c r="D63">
        <v>1</v>
      </c>
    </row>
    <row r="64" spans="1:4" x14ac:dyDescent="0.35">
      <c r="A64">
        <v>2019</v>
      </c>
      <c r="B64" t="s">
        <v>20</v>
      </c>
      <c r="C64" s="140" t="s">
        <v>173</v>
      </c>
      <c r="D64">
        <v>6.75</v>
      </c>
    </row>
    <row r="65" spans="1:4" x14ac:dyDescent="0.35">
      <c r="A65">
        <v>2019</v>
      </c>
      <c r="B65" t="s">
        <v>20</v>
      </c>
      <c r="C65" s="140" t="s">
        <v>174</v>
      </c>
      <c r="D65">
        <v>14</v>
      </c>
    </row>
    <row r="66" spans="1:4" x14ac:dyDescent="0.35">
      <c r="A66">
        <v>2019</v>
      </c>
      <c r="B66" t="s">
        <v>20</v>
      </c>
      <c r="C66" s="140" t="s">
        <v>78</v>
      </c>
      <c r="D66">
        <v>22.21</v>
      </c>
    </row>
    <row r="67" spans="1:4" x14ac:dyDescent="0.35">
      <c r="A67">
        <v>2019</v>
      </c>
      <c r="B67" t="s">
        <v>21</v>
      </c>
      <c r="C67" s="140" t="s">
        <v>171</v>
      </c>
      <c r="D67">
        <v>1</v>
      </c>
    </row>
    <row r="68" spans="1:4" x14ac:dyDescent="0.35">
      <c r="A68">
        <v>2019</v>
      </c>
      <c r="B68" t="s">
        <v>21</v>
      </c>
      <c r="C68" s="140" t="s">
        <v>172</v>
      </c>
      <c r="D68">
        <v>0</v>
      </c>
    </row>
    <row r="69" spans="1:4" x14ac:dyDescent="0.35">
      <c r="A69">
        <v>2019</v>
      </c>
      <c r="B69" t="s">
        <v>21</v>
      </c>
      <c r="C69" s="140" t="s">
        <v>173</v>
      </c>
      <c r="D69">
        <v>10</v>
      </c>
    </row>
    <row r="70" spans="1:4" x14ac:dyDescent="0.35">
      <c r="A70">
        <v>2019</v>
      </c>
      <c r="B70" t="s">
        <v>21</v>
      </c>
      <c r="C70" s="140" t="s">
        <v>174</v>
      </c>
      <c r="D70">
        <v>3</v>
      </c>
    </row>
    <row r="71" spans="1:4" x14ac:dyDescent="0.35">
      <c r="A71">
        <v>2019</v>
      </c>
      <c r="B71" t="s">
        <v>21</v>
      </c>
      <c r="C71" s="140" t="s">
        <v>78</v>
      </c>
      <c r="D71">
        <v>16.8</v>
      </c>
    </row>
    <row r="72" spans="1:4" x14ac:dyDescent="0.35">
      <c r="A72">
        <v>2019</v>
      </c>
      <c r="B72" t="s">
        <v>22</v>
      </c>
      <c r="C72" s="140" t="s">
        <v>171</v>
      </c>
      <c r="D72">
        <v>0</v>
      </c>
    </row>
    <row r="73" spans="1:4" x14ac:dyDescent="0.35">
      <c r="A73">
        <v>2019</v>
      </c>
      <c r="B73" t="s">
        <v>22</v>
      </c>
      <c r="C73" s="140" t="s">
        <v>172</v>
      </c>
      <c r="D73">
        <v>2</v>
      </c>
    </row>
    <row r="74" spans="1:4" x14ac:dyDescent="0.35">
      <c r="A74">
        <v>2019</v>
      </c>
      <c r="B74" t="s">
        <v>22</v>
      </c>
      <c r="C74" s="140" t="s">
        <v>173</v>
      </c>
      <c r="D74">
        <v>4</v>
      </c>
    </row>
    <row r="75" spans="1:4" x14ac:dyDescent="0.35">
      <c r="A75">
        <v>2019</v>
      </c>
      <c r="B75" t="s">
        <v>22</v>
      </c>
      <c r="C75" s="140" t="s">
        <v>174</v>
      </c>
      <c r="D75">
        <v>3.5</v>
      </c>
    </row>
    <row r="76" spans="1:4" x14ac:dyDescent="0.35">
      <c r="A76">
        <v>2019</v>
      </c>
      <c r="B76" t="s">
        <v>22</v>
      </c>
      <c r="C76" s="140" t="s">
        <v>78</v>
      </c>
      <c r="D76">
        <v>8.06</v>
      </c>
    </row>
    <row r="77" spans="1:4" x14ac:dyDescent="0.35">
      <c r="A77">
        <v>2019</v>
      </c>
      <c r="B77" t="s">
        <v>23</v>
      </c>
      <c r="C77" s="140" t="s">
        <v>171</v>
      </c>
      <c r="D77">
        <v>1</v>
      </c>
    </row>
    <row r="78" spans="1:4" x14ac:dyDescent="0.35">
      <c r="A78">
        <v>2019</v>
      </c>
      <c r="B78" t="s">
        <v>23</v>
      </c>
      <c r="C78" s="140" t="s">
        <v>172</v>
      </c>
      <c r="D78">
        <v>2</v>
      </c>
    </row>
    <row r="79" spans="1:4" x14ac:dyDescent="0.35">
      <c r="A79">
        <v>2019</v>
      </c>
      <c r="B79" t="s">
        <v>23</v>
      </c>
      <c r="C79" s="140" t="s">
        <v>173</v>
      </c>
      <c r="D79">
        <v>9</v>
      </c>
    </row>
    <row r="80" spans="1:4" x14ac:dyDescent="0.35">
      <c r="A80">
        <v>2019</v>
      </c>
      <c r="B80" t="s">
        <v>23</v>
      </c>
      <c r="C80" s="140" t="s">
        <v>174</v>
      </c>
      <c r="D80">
        <v>30.33</v>
      </c>
    </row>
    <row r="81" spans="1:4" x14ac:dyDescent="0.35">
      <c r="A81">
        <v>2019</v>
      </c>
      <c r="B81" t="s">
        <v>23</v>
      </c>
      <c r="C81" s="140" t="s">
        <v>78</v>
      </c>
      <c r="D81">
        <v>57.4</v>
      </c>
    </row>
    <row r="82" spans="1:4" x14ac:dyDescent="0.35">
      <c r="A82">
        <v>2019</v>
      </c>
      <c r="B82" t="s">
        <v>24</v>
      </c>
      <c r="C82" s="140" t="s">
        <v>171</v>
      </c>
      <c r="D82">
        <v>0</v>
      </c>
    </row>
    <row r="83" spans="1:4" x14ac:dyDescent="0.35">
      <c r="A83">
        <v>2019</v>
      </c>
      <c r="B83" t="s">
        <v>24</v>
      </c>
      <c r="C83" s="140" t="s">
        <v>172</v>
      </c>
      <c r="D83">
        <v>0</v>
      </c>
    </row>
    <row r="84" spans="1:4" x14ac:dyDescent="0.35">
      <c r="A84">
        <v>2019</v>
      </c>
      <c r="B84" t="s">
        <v>24</v>
      </c>
      <c r="C84" s="140" t="s">
        <v>173</v>
      </c>
      <c r="D84">
        <v>0</v>
      </c>
    </row>
    <row r="85" spans="1:4" x14ac:dyDescent="0.35">
      <c r="A85">
        <v>2019</v>
      </c>
      <c r="B85" t="s">
        <v>24</v>
      </c>
      <c r="C85" s="140" t="s">
        <v>174</v>
      </c>
      <c r="D85">
        <v>0</v>
      </c>
    </row>
    <row r="86" spans="1:4" x14ac:dyDescent="0.35">
      <c r="A86">
        <v>2019</v>
      </c>
      <c r="B86" t="s">
        <v>24</v>
      </c>
      <c r="C86" s="140" t="s">
        <v>78</v>
      </c>
      <c r="D86">
        <v>0</v>
      </c>
    </row>
    <row r="87" spans="1:4" x14ac:dyDescent="0.35">
      <c r="A87">
        <v>2019</v>
      </c>
      <c r="B87" t="s">
        <v>25</v>
      </c>
      <c r="C87" s="140" t="s">
        <v>171</v>
      </c>
      <c r="D87">
        <v>1</v>
      </c>
    </row>
    <row r="88" spans="1:4" x14ac:dyDescent="0.35">
      <c r="A88">
        <v>2019</v>
      </c>
      <c r="B88" t="s">
        <v>25</v>
      </c>
      <c r="C88" s="140" t="s">
        <v>172</v>
      </c>
      <c r="D88">
        <v>3</v>
      </c>
    </row>
    <row r="89" spans="1:4" x14ac:dyDescent="0.35">
      <c r="A89">
        <v>2019</v>
      </c>
      <c r="B89" t="s">
        <v>25</v>
      </c>
      <c r="C89" s="140" t="s">
        <v>173</v>
      </c>
      <c r="D89">
        <v>4</v>
      </c>
    </row>
    <row r="90" spans="1:4" x14ac:dyDescent="0.35">
      <c r="A90">
        <v>2019</v>
      </c>
      <c r="B90" t="s">
        <v>25</v>
      </c>
      <c r="C90" s="140" t="s">
        <v>174</v>
      </c>
      <c r="D90">
        <v>8.5</v>
      </c>
    </row>
    <row r="91" spans="1:4" x14ac:dyDescent="0.35">
      <c r="A91">
        <v>2019</v>
      </c>
      <c r="B91" t="s">
        <v>25</v>
      </c>
      <c r="C91" s="140" t="s">
        <v>78</v>
      </c>
      <c r="D91">
        <v>16.2</v>
      </c>
    </row>
    <row r="92" spans="1:4" x14ac:dyDescent="0.35">
      <c r="A92">
        <v>2019</v>
      </c>
      <c r="B92" t="s">
        <v>26</v>
      </c>
      <c r="C92" s="140" t="s">
        <v>171</v>
      </c>
      <c r="D92">
        <v>0</v>
      </c>
    </row>
    <row r="93" spans="1:4" x14ac:dyDescent="0.35">
      <c r="A93">
        <v>2019</v>
      </c>
      <c r="B93" t="s">
        <v>26</v>
      </c>
      <c r="C93" s="140" t="s">
        <v>172</v>
      </c>
      <c r="D93">
        <v>1</v>
      </c>
    </row>
    <row r="94" spans="1:4" x14ac:dyDescent="0.35">
      <c r="A94">
        <v>2019</v>
      </c>
      <c r="B94" t="s">
        <v>26</v>
      </c>
      <c r="C94" s="140" t="s">
        <v>173</v>
      </c>
      <c r="D94">
        <v>2</v>
      </c>
    </row>
    <row r="95" spans="1:4" x14ac:dyDescent="0.35">
      <c r="A95">
        <v>2019</v>
      </c>
      <c r="B95" t="s">
        <v>26</v>
      </c>
      <c r="C95" s="140" t="s">
        <v>174</v>
      </c>
      <c r="D95">
        <v>5.25</v>
      </c>
    </row>
    <row r="96" spans="1:4" x14ac:dyDescent="0.35">
      <c r="A96">
        <v>2019</v>
      </c>
      <c r="B96" t="s">
        <v>26</v>
      </c>
      <c r="C96" s="140" t="s">
        <v>78</v>
      </c>
      <c r="D96">
        <v>8</v>
      </c>
    </row>
    <row r="97" spans="1:4" x14ac:dyDescent="0.35">
      <c r="A97">
        <v>2019</v>
      </c>
      <c r="B97" t="s">
        <v>27</v>
      </c>
      <c r="C97" s="140" t="s">
        <v>171</v>
      </c>
      <c r="D97">
        <v>1</v>
      </c>
    </row>
    <row r="98" spans="1:4" x14ac:dyDescent="0.35">
      <c r="A98">
        <v>2019</v>
      </c>
      <c r="B98" t="s">
        <v>27</v>
      </c>
      <c r="C98" s="140" t="s">
        <v>172</v>
      </c>
      <c r="D98">
        <v>1</v>
      </c>
    </row>
    <row r="99" spans="1:4" x14ac:dyDescent="0.35">
      <c r="A99">
        <v>2019</v>
      </c>
      <c r="B99" t="s">
        <v>27</v>
      </c>
      <c r="C99" s="140" t="s">
        <v>173</v>
      </c>
      <c r="D99">
        <v>8</v>
      </c>
    </row>
    <row r="100" spans="1:4" x14ac:dyDescent="0.35">
      <c r="A100">
        <v>2019</v>
      </c>
      <c r="B100" t="s">
        <v>27</v>
      </c>
      <c r="C100" s="140" t="s">
        <v>174</v>
      </c>
      <c r="D100">
        <v>1</v>
      </c>
    </row>
    <row r="101" spans="1:4" x14ac:dyDescent="0.35">
      <c r="A101">
        <v>2019</v>
      </c>
      <c r="B101" t="s">
        <v>27</v>
      </c>
      <c r="C101" s="140" t="s">
        <v>78</v>
      </c>
      <c r="D101">
        <v>15</v>
      </c>
    </row>
    <row r="102" spans="1:4" x14ac:dyDescent="0.35">
      <c r="A102">
        <v>2019</v>
      </c>
      <c r="B102" t="s">
        <v>28</v>
      </c>
      <c r="C102" s="140" t="s">
        <v>171</v>
      </c>
      <c r="D102">
        <v>0</v>
      </c>
    </row>
    <row r="103" spans="1:4" x14ac:dyDescent="0.35">
      <c r="A103">
        <v>2019</v>
      </c>
      <c r="B103" t="s">
        <v>28</v>
      </c>
      <c r="C103" s="140" t="s">
        <v>172</v>
      </c>
      <c r="D103">
        <v>0</v>
      </c>
    </row>
    <row r="104" spans="1:4" x14ac:dyDescent="0.35">
      <c r="A104">
        <v>2019</v>
      </c>
      <c r="B104" t="s">
        <v>28</v>
      </c>
      <c r="C104" s="140" t="s">
        <v>173</v>
      </c>
      <c r="D104">
        <v>7</v>
      </c>
    </row>
    <row r="105" spans="1:4" x14ac:dyDescent="0.35">
      <c r="A105">
        <v>2019</v>
      </c>
      <c r="B105" t="s">
        <v>28</v>
      </c>
      <c r="C105" s="140" t="s">
        <v>174</v>
      </c>
      <c r="D105">
        <v>9.2899999999999991</v>
      </c>
    </row>
    <row r="106" spans="1:4" x14ac:dyDescent="0.35">
      <c r="A106">
        <v>2019</v>
      </c>
      <c r="B106" t="s">
        <v>28</v>
      </c>
      <c r="C106" s="140" t="s">
        <v>78</v>
      </c>
      <c r="D106">
        <v>11</v>
      </c>
    </row>
    <row r="107" spans="1:4" x14ac:dyDescent="0.35">
      <c r="A107">
        <v>2019</v>
      </c>
      <c r="B107" t="s">
        <v>29</v>
      </c>
      <c r="C107" s="140" t="s">
        <v>171</v>
      </c>
      <c r="D107">
        <v>0</v>
      </c>
    </row>
    <row r="108" spans="1:4" x14ac:dyDescent="0.35">
      <c r="A108">
        <v>2019</v>
      </c>
      <c r="B108" t="s">
        <v>29</v>
      </c>
      <c r="C108" s="140" t="s">
        <v>172</v>
      </c>
      <c r="D108">
        <v>0</v>
      </c>
    </row>
    <row r="109" spans="1:4" x14ac:dyDescent="0.35">
      <c r="A109">
        <v>2019</v>
      </c>
      <c r="B109" t="s">
        <v>29</v>
      </c>
      <c r="C109" s="140" t="s">
        <v>173</v>
      </c>
      <c r="D109">
        <v>0</v>
      </c>
    </row>
    <row r="110" spans="1:4" x14ac:dyDescent="0.35">
      <c r="A110">
        <v>2019</v>
      </c>
      <c r="B110" t="s">
        <v>29</v>
      </c>
      <c r="C110" s="140" t="s">
        <v>174</v>
      </c>
      <c r="D110">
        <v>0</v>
      </c>
    </row>
    <row r="111" spans="1:4" x14ac:dyDescent="0.35">
      <c r="A111">
        <v>2019</v>
      </c>
      <c r="B111" t="s">
        <v>29</v>
      </c>
      <c r="C111" s="140" t="s">
        <v>78</v>
      </c>
      <c r="D111">
        <v>0</v>
      </c>
    </row>
    <row r="112" spans="1:4" x14ac:dyDescent="0.35">
      <c r="A112">
        <v>2019</v>
      </c>
      <c r="B112" t="s">
        <v>30</v>
      </c>
      <c r="C112" s="140" t="s">
        <v>171</v>
      </c>
      <c r="D112">
        <v>0</v>
      </c>
    </row>
    <row r="113" spans="1:4" x14ac:dyDescent="0.35">
      <c r="A113">
        <v>2019</v>
      </c>
      <c r="B113" t="s">
        <v>30</v>
      </c>
      <c r="C113" s="140" t="s">
        <v>172</v>
      </c>
      <c r="D113">
        <v>0</v>
      </c>
    </row>
    <row r="114" spans="1:4" x14ac:dyDescent="0.35">
      <c r="A114">
        <v>2019</v>
      </c>
      <c r="B114" t="s">
        <v>30</v>
      </c>
      <c r="C114" s="140" t="s">
        <v>173</v>
      </c>
      <c r="D114">
        <v>0</v>
      </c>
    </row>
    <row r="115" spans="1:4" x14ac:dyDescent="0.35">
      <c r="A115">
        <v>2019</v>
      </c>
      <c r="B115" t="s">
        <v>30</v>
      </c>
      <c r="C115" s="140" t="s">
        <v>174</v>
      </c>
      <c r="D115">
        <v>0</v>
      </c>
    </row>
    <row r="116" spans="1:4" x14ac:dyDescent="0.35">
      <c r="A116">
        <v>2019</v>
      </c>
      <c r="B116" t="s">
        <v>30</v>
      </c>
      <c r="C116" s="140" t="s">
        <v>78</v>
      </c>
      <c r="D116">
        <v>0</v>
      </c>
    </row>
    <row r="117" spans="1:4" x14ac:dyDescent="0.35">
      <c r="A117">
        <v>2019</v>
      </c>
      <c r="B117" t="s">
        <v>31</v>
      </c>
      <c r="C117" s="140" t="s">
        <v>171</v>
      </c>
      <c r="D117">
        <v>0</v>
      </c>
    </row>
    <row r="118" spans="1:4" x14ac:dyDescent="0.35">
      <c r="A118">
        <v>2019</v>
      </c>
      <c r="B118" t="s">
        <v>31</v>
      </c>
      <c r="C118" s="140" t="s">
        <v>172</v>
      </c>
      <c r="D118">
        <v>2</v>
      </c>
    </row>
    <row r="119" spans="1:4" x14ac:dyDescent="0.35">
      <c r="A119">
        <v>2019</v>
      </c>
      <c r="B119" t="s">
        <v>31</v>
      </c>
      <c r="C119" s="140" t="s">
        <v>173</v>
      </c>
      <c r="D119">
        <v>4</v>
      </c>
    </row>
    <row r="120" spans="1:4" x14ac:dyDescent="0.35">
      <c r="A120">
        <v>2019</v>
      </c>
      <c r="B120" t="s">
        <v>31</v>
      </c>
      <c r="C120" s="140" t="s">
        <v>174</v>
      </c>
      <c r="D120">
        <v>15</v>
      </c>
    </row>
    <row r="121" spans="1:4" x14ac:dyDescent="0.35">
      <c r="A121">
        <v>2019</v>
      </c>
      <c r="B121" t="s">
        <v>31</v>
      </c>
      <c r="C121" s="140" t="s">
        <v>78</v>
      </c>
      <c r="D121">
        <v>19</v>
      </c>
    </row>
    <row r="122" spans="1:4" x14ac:dyDescent="0.35">
      <c r="A122">
        <v>2019</v>
      </c>
      <c r="B122" t="s">
        <v>32</v>
      </c>
      <c r="C122" s="140" t="s">
        <v>171</v>
      </c>
      <c r="D122">
        <v>0</v>
      </c>
    </row>
    <row r="123" spans="1:4" x14ac:dyDescent="0.35">
      <c r="A123">
        <v>2019</v>
      </c>
      <c r="B123" t="s">
        <v>32</v>
      </c>
      <c r="C123" s="140" t="s">
        <v>172</v>
      </c>
      <c r="D123">
        <v>0</v>
      </c>
    </row>
    <row r="124" spans="1:4" x14ac:dyDescent="0.35">
      <c r="A124">
        <v>2019</v>
      </c>
      <c r="B124" t="s">
        <v>32</v>
      </c>
      <c r="C124" s="140" t="s">
        <v>173</v>
      </c>
      <c r="D124">
        <v>0</v>
      </c>
    </row>
    <row r="125" spans="1:4" x14ac:dyDescent="0.35">
      <c r="A125">
        <v>2019</v>
      </c>
      <c r="B125" t="s">
        <v>32</v>
      </c>
      <c r="C125" s="140" t="s">
        <v>174</v>
      </c>
      <c r="D125">
        <v>1</v>
      </c>
    </row>
    <row r="126" spans="1:4" x14ac:dyDescent="0.35">
      <c r="A126">
        <v>2019</v>
      </c>
      <c r="B126" t="s">
        <v>32</v>
      </c>
      <c r="C126" s="140" t="s">
        <v>78</v>
      </c>
      <c r="D126">
        <v>0</v>
      </c>
    </row>
    <row r="127" spans="1:4" x14ac:dyDescent="0.35">
      <c r="A127">
        <v>2019</v>
      </c>
      <c r="B127" t="s">
        <v>33</v>
      </c>
      <c r="C127" s="140" t="s">
        <v>171</v>
      </c>
      <c r="D127">
        <v>0</v>
      </c>
    </row>
    <row r="128" spans="1:4" x14ac:dyDescent="0.35">
      <c r="A128">
        <v>2019</v>
      </c>
      <c r="B128" t="s">
        <v>33</v>
      </c>
      <c r="C128" s="140" t="s">
        <v>172</v>
      </c>
      <c r="D128">
        <v>1</v>
      </c>
    </row>
    <row r="129" spans="1:4" x14ac:dyDescent="0.35">
      <c r="A129">
        <v>2019</v>
      </c>
      <c r="B129" t="s">
        <v>33</v>
      </c>
      <c r="C129" s="140" t="s">
        <v>173</v>
      </c>
      <c r="D129">
        <v>5</v>
      </c>
    </row>
    <row r="130" spans="1:4" x14ac:dyDescent="0.35">
      <c r="A130">
        <v>2019</v>
      </c>
      <c r="B130" t="s">
        <v>33</v>
      </c>
      <c r="C130" s="140" t="s">
        <v>174</v>
      </c>
      <c r="D130">
        <v>8</v>
      </c>
    </row>
    <row r="131" spans="1:4" x14ac:dyDescent="0.35">
      <c r="A131">
        <v>2019</v>
      </c>
      <c r="B131" t="s">
        <v>33</v>
      </c>
      <c r="C131" s="140" t="s">
        <v>78</v>
      </c>
      <c r="D131">
        <v>12</v>
      </c>
    </row>
    <row r="132" spans="1:4" x14ac:dyDescent="0.35">
      <c r="A132">
        <v>2019</v>
      </c>
      <c r="B132" t="s">
        <v>34</v>
      </c>
      <c r="C132" s="140" t="s">
        <v>171</v>
      </c>
      <c r="D132">
        <v>0</v>
      </c>
    </row>
    <row r="133" spans="1:4" x14ac:dyDescent="0.35">
      <c r="A133">
        <v>2019</v>
      </c>
      <c r="B133" t="s">
        <v>34</v>
      </c>
      <c r="C133" s="140" t="s">
        <v>172</v>
      </c>
      <c r="D133">
        <v>1</v>
      </c>
    </row>
    <row r="134" spans="1:4" x14ac:dyDescent="0.35">
      <c r="A134">
        <v>2019</v>
      </c>
      <c r="B134" t="s">
        <v>34</v>
      </c>
      <c r="C134" s="140" t="s">
        <v>173</v>
      </c>
      <c r="D134">
        <v>4</v>
      </c>
    </row>
    <row r="135" spans="1:4" x14ac:dyDescent="0.35">
      <c r="A135">
        <v>2019</v>
      </c>
      <c r="B135" t="s">
        <v>34</v>
      </c>
      <c r="C135" s="140" t="s">
        <v>174</v>
      </c>
      <c r="D135">
        <v>3</v>
      </c>
    </row>
    <row r="136" spans="1:4" x14ac:dyDescent="0.35">
      <c r="A136">
        <v>2019</v>
      </c>
      <c r="B136" t="s">
        <v>34</v>
      </c>
      <c r="C136" s="140" t="s">
        <v>78</v>
      </c>
      <c r="D136">
        <v>9</v>
      </c>
    </row>
    <row r="137" spans="1:4" x14ac:dyDescent="0.35">
      <c r="A137">
        <v>2019</v>
      </c>
      <c r="B137" t="s">
        <v>35</v>
      </c>
      <c r="C137" s="140" t="s">
        <v>171</v>
      </c>
      <c r="D137">
        <v>0</v>
      </c>
    </row>
    <row r="138" spans="1:4" x14ac:dyDescent="0.35">
      <c r="A138">
        <v>2019</v>
      </c>
      <c r="B138" t="s">
        <v>35</v>
      </c>
      <c r="C138" s="140" t="s">
        <v>172</v>
      </c>
      <c r="D138">
        <v>0</v>
      </c>
    </row>
    <row r="139" spans="1:4" x14ac:dyDescent="0.35">
      <c r="A139">
        <v>2019</v>
      </c>
      <c r="B139" t="s">
        <v>35</v>
      </c>
      <c r="C139" s="140" t="s">
        <v>173</v>
      </c>
      <c r="D139">
        <v>9</v>
      </c>
    </row>
    <row r="140" spans="1:4" x14ac:dyDescent="0.35">
      <c r="A140">
        <v>2019</v>
      </c>
      <c r="B140" t="s">
        <v>35</v>
      </c>
      <c r="C140" s="140" t="s">
        <v>174</v>
      </c>
      <c r="D140">
        <v>4</v>
      </c>
    </row>
    <row r="141" spans="1:4" x14ac:dyDescent="0.35">
      <c r="A141">
        <v>2019</v>
      </c>
      <c r="B141" t="s">
        <v>35</v>
      </c>
      <c r="C141" s="140" t="s">
        <v>78</v>
      </c>
      <c r="D141">
        <v>19.23</v>
      </c>
    </row>
    <row r="142" spans="1:4" x14ac:dyDescent="0.35">
      <c r="A142">
        <v>2019</v>
      </c>
      <c r="B142" t="s">
        <v>36</v>
      </c>
      <c r="C142" s="140" t="s">
        <v>171</v>
      </c>
      <c r="D142">
        <v>0</v>
      </c>
    </row>
    <row r="143" spans="1:4" x14ac:dyDescent="0.35">
      <c r="A143">
        <v>2019</v>
      </c>
      <c r="B143" t="s">
        <v>36</v>
      </c>
      <c r="C143" s="140" t="s">
        <v>172</v>
      </c>
      <c r="D143">
        <v>1</v>
      </c>
    </row>
    <row r="144" spans="1:4" x14ac:dyDescent="0.35">
      <c r="A144">
        <v>2019</v>
      </c>
      <c r="B144" t="s">
        <v>36</v>
      </c>
      <c r="C144" s="140" t="s">
        <v>173</v>
      </c>
      <c r="D144">
        <v>4</v>
      </c>
    </row>
    <row r="145" spans="1:4" x14ac:dyDescent="0.35">
      <c r="A145">
        <v>2019</v>
      </c>
      <c r="B145" t="s">
        <v>36</v>
      </c>
      <c r="C145" s="140" t="s">
        <v>174</v>
      </c>
      <c r="D145">
        <v>4</v>
      </c>
    </row>
    <row r="146" spans="1:4" x14ac:dyDescent="0.35">
      <c r="A146">
        <v>2019</v>
      </c>
      <c r="B146" t="s">
        <v>36</v>
      </c>
      <c r="C146" s="140" t="s">
        <v>78</v>
      </c>
      <c r="D146">
        <v>14.62</v>
      </c>
    </row>
    <row r="147" spans="1:4" x14ac:dyDescent="0.35">
      <c r="A147">
        <v>2019</v>
      </c>
      <c r="B147" t="s">
        <v>38</v>
      </c>
      <c r="C147" s="140" t="s">
        <v>171</v>
      </c>
      <c r="D147">
        <v>0</v>
      </c>
    </row>
    <row r="148" spans="1:4" x14ac:dyDescent="0.35">
      <c r="A148">
        <v>2019</v>
      </c>
      <c r="B148" t="s">
        <v>38</v>
      </c>
      <c r="C148" s="140" t="s">
        <v>172</v>
      </c>
      <c r="D148">
        <v>1</v>
      </c>
    </row>
    <row r="149" spans="1:4" x14ac:dyDescent="0.35">
      <c r="A149">
        <v>2019</v>
      </c>
      <c r="B149" t="s">
        <v>38</v>
      </c>
      <c r="C149" s="140" t="s">
        <v>173</v>
      </c>
      <c r="D149">
        <v>2</v>
      </c>
    </row>
    <row r="150" spans="1:4" x14ac:dyDescent="0.35">
      <c r="A150">
        <v>2019</v>
      </c>
      <c r="B150" t="s">
        <v>38</v>
      </c>
      <c r="C150" s="140" t="s">
        <v>174</v>
      </c>
      <c r="D150">
        <v>6</v>
      </c>
    </row>
    <row r="151" spans="1:4" x14ac:dyDescent="0.35">
      <c r="A151">
        <v>2019</v>
      </c>
      <c r="B151" t="s">
        <v>38</v>
      </c>
      <c r="C151" s="140" t="s">
        <v>78</v>
      </c>
      <c r="D151">
        <v>6</v>
      </c>
    </row>
    <row r="152" spans="1:4" x14ac:dyDescent="0.35">
      <c r="A152">
        <v>2019</v>
      </c>
      <c r="B152" t="s">
        <v>39</v>
      </c>
      <c r="C152" s="140" t="s">
        <v>171</v>
      </c>
      <c r="D152">
        <v>0</v>
      </c>
    </row>
    <row r="153" spans="1:4" x14ac:dyDescent="0.35">
      <c r="A153">
        <v>2019</v>
      </c>
      <c r="B153" t="s">
        <v>39</v>
      </c>
      <c r="C153" s="140" t="s">
        <v>172</v>
      </c>
      <c r="D153">
        <v>0</v>
      </c>
    </row>
    <row r="154" spans="1:4" x14ac:dyDescent="0.35">
      <c r="A154">
        <v>2019</v>
      </c>
      <c r="B154" t="s">
        <v>39</v>
      </c>
      <c r="C154" s="140" t="s">
        <v>173</v>
      </c>
      <c r="D154">
        <v>4</v>
      </c>
    </row>
    <row r="155" spans="1:4" x14ac:dyDescent="0.35">
      <c r="A155">
        <v>2019</v>
      </c>
      <c r="B155" t="s">
        <v>39</v>
      </c>
      <c r="C155" s="140" t="s">
        <v>174</v>
      </c>
      <c r="D155">
        <v>3</v>
      </c>
    </row>
    <row r="156" spans="1:4" x14ac:dyDescent="0.35">
      <c r="A156">
        <v>2019</v>
      </c>
      <c r="B156" t="s">
        <v>39</v>
      </c>
      <c r="C156" s="140" t="s">
        <v>78</v>
      </c>
      <c r="D156">
        <v>9.5</v>
      </c>
    </row>
    <row r="157" spans="1:4" x14ac:dyDescent="0.35">
      <c r="A157">
        <v>2019</v>
      </c>
      <c r="B157" t="s">
        <v>40</v>
      </c>
      <c r="C157" s="140" t="s">
        <v>171</v>
      </c>
      <c r="D157">
        <v>0</v>
      </c>
    </row>
    <row r="158" spans="1:4" x14ac:dyDescent="0.35">
      <c r="A158">
        <v>2019</v>
      </c>
      <c r="B158" t="s">
        <v>40</v>
      </c>
      <c r="C158" s="140" t="s">
        <v>172</v>
      </c>
      <c r="D158">
        <v>0</v>
      </c>
    </row>
    <row r="159" spans="1:4" x14ac:dyDescent="0.35">
      <c r="A159">
        <v>2019</v>
      </c>
      <c r="B159" t="s">
        <v>40</v>
      </c>
      <c r="C159" s="140" t="s">
        <v>173</v>
      </c>
      <c r="D159">
        <v>1</v>
      </c>
    </row>
    <row r="160" spans="1:4" x14ac:dyDescent="0.35">
      <c r="A160">
        <v>2019</v>
      </c>
      <c r="B160" t="s">
        <v>40</v>
      </c>
      <c r="C160" s="140" t="s">
        <v>174</v>
      </c>
      <c r="D160">
        <v>4</v>
      </c>
    </row>
    <row r="161" spans="1:4" x14ac:dyDescent="0.35">
      <c r="A161">
        <v>2019</v>
      </c>
      <c r="B161" t="s">
        <v>40</v>
      </c>
      <c r="C161" s="140" t="s">
        <v>78</v>
      </c>
      <c r="D161">
        <v>4</v>
      </c>
    </row>
    <row r="162" spans="1:4" x14ac:dyDescent="0.35">
      <c r="A162">
        <v>2019</v>
      </c>
      <c r="B162" t="s">
        <v>41</v>
      </c>
      <c r="C162" s="140" t="s">
        <v>171</v>
      </c>
      <c r="D162">
        <v>1</v>
      </c>
    </row>
    <row r="163" spans="1:4" x14ac:dyDescent="0.35">
      <c r="A163">
        <v>2019</v>
      </c>
      <c r="B163" t="s">
        <v>41</v>
      </c>
      <c r="C163" s="140" t="s">
        <v>172</v>
      </c>
      <c r="D163">
        <v>2</v>
      </c>
    </row>
    <row r="164" spans="1:4" x14ac:dyDescent="0.35">
      <c r="A164">
        <v>2019</v>
      </c>
      <c r="B164" t="s">
        <v>41</v>
      </c>
      <c r="C164" s="140" t="s">
        <v>173</v>
      </c>
      <c r="D164">
        <v>7</v>
      </c>
    </row>
    <row r="165" spans="1:4" x14ac:dyDescent="0.35">
      <c r="A165">
        <v>2019</v>
      </c>
      <c r="B165" t="s">
        <v>41</v>
      </c>
      <c r="C165" s="140" t="s">
        <v>174</v>
      </c>
      <c r="D165">
        <v>5</v>
      </c>
    </row>
    <row r="166" spans="1:4" x14ac:dyDescent="0.35">
      <c r="A166">
        <v>2019</v>
      </c>
      <c r="B166" t="s">
        <v>41</v>
      </c>
      <c r="C166" s="140" t="s">
        <v>78</v>
      </c>
      <c r="D166">
        <v>10.75</v>
      </c>
    </row>
    <row r="167" spans="1:4" x14ac:dyDescent="0.35">
      <c r="A167">
        <v>2019</v>
      </c>
      <c r="B167" t="s">
        <v>42</v>
      </c>
      <c r="C167" s="140" t="s">
        <v>171</v>
      </c>
      <c r="D167">
        <v>0</v>
      </c>
    </row>
    <row r="168" spans="1:4" x14ac:dyDescent="0.35">
      <c r="A168">
        <v>2019</v>
      </c>
      <c r="B168" t="s">
        <v>42</v>
      </c>
      <c r="C168" s="140" t="s">
        <v>172</v>
      </c>
      <c r="D168">
        <v>0</v>
      </c>
    </row>
    <row r="169" spans="1:4" x14ac:dyDescent="0.35">
      <c r="A169">
        <v>2019</v>
      </c>
      <c r="B169" t="s">
        <v>42</v>
      </c>
      <c r="C169" s="140" t="s">
        <v>173</v>
      </c>
      <c r="D169">
        <v>0</v>
      </c>
    </row>
    <row r="170" spans="1:4" x14ac:dyDescent="0.35">
      <c r="A170">
        <v>2019</v>
      </c>
      <c r="B170" t="s">
        <v>42</v>
      </c>
      <c r="C170" s="140" t="s">
        <v>174</v>
      </c>
      <c r="D170">
        <v>0</v>
      </c>
    </row>
    <row r="171" spans="1:4" x14ac:dyDescent="0.35">
      <c r="A171">
        <v>2019</v>
      </c>
      <c r="B171" t="s">
        <v>42</v>
      </c>
      <c r="C171" s="140" t="s">
        <v>78</v>
      </c>
      <c r="D171">
        <v>0</v>
      </c>
    </row>
    <row r="172" spans="1:4" x14ac:dyDescent="0.35">
      <c r="A172">
        <v>2019</v>
      </c>
      <c r="B172" t="s">
        <v>43</v>
      </c>
      <c r="C172" s="140" t="s">
        <v>171</v>
      </c>
      <c r="D172">
        <v>0</v>
      </c>
    </row>
    <row r="173" spans="1:4" x14ac:dyDescent="0.35">
      <c r="A173">
        <v>2019</v>
      </c>
      <c r="B173" t="s">
        <v>43</v>
      </c>
      <c r="C173" s="140" t="s">
        <v>172</v>
      </c>
      <c r="D173">
        <v>1</v>
      </c>
    </row>
    <row r="174" spans="1:4" x14ac:dyDescent="0.35">
      <c r="A174">
        <v>2019</v>
      </c>
      <c r="B174" t="s">
        <v>43</v>
      </c>
      <c r="C174" s="140" t="s">
        <v>173</v>
      </c>
      <c r="D174">
        <v>5</v>
      </c>
    </row>
    <row r="175" spans="1:4" x14ac:dyDescent="0.35">
      <c r="A175">
        <v>2019</v>
      </c>
      <c r="B175" t="s">
        <v>43</v>
      </c>
      <c r="C175" s="140" t="s">
        <v>174</v>
      </c>
      <c r="D175">
        <v>4</v>
      </c>
    </row>
    <row r="176" spans="1:4" x14ac:dyDescent="0.35">
      <c r="A176">
        <v>2019</v>
      </c>
      <c r="B176" t="s">
        <v>43</v>
      </c>
      <c r="C176" s="140" t="s">
        <v>78</v>
      </c>
      <c r="D176">
        <v>8.5</v>
      </c>
    </row>
    <row r="177" spans="1:4" x14ac:dyDescent="0.35">
      <c r="A177">
        <v>2019</v>
      </c>
      <c r="B177" t="s">
        <v>44</v>
      </c>
      <c r="C177" s="140" t="s">
        <v>171</v>
      </c>
      <c r="D177">
        <v>0</v>
      </c>
    </row>
    <row r="178" spans="1:4" x14ac:dyDescent="0.35">
      <c r="A178">
        <v>2019</v>
      </c>
      <c r="B178" t="s">
        <v>44</v>
      </c>
      <c r="C178" s="140" t="s">
        <v>172</v>
      </c>
      <c r="D178">
        <v>3</v>
      </c>
    </row>
    <row r="179" spans="1:4" x14ac:dyDescent="0.35">
      <c r="A179">
        <v>2019</v>
      </c>
      <c r="B179" t="s">
        <v>44</v>
      </c>
      <c r="C179" s="140" t="s">
        <v>173</v>
      </c>
      <c r="D179">
        <v>6</v>
      </c>
    </row>
    <row r="180" spans="1:4" x14ac:dyDescent="0.35">
      <c r="A180">
        <v>2019</v>
      </c>
      <c r="B180" t="s">
        <v>44</v>
      </c>
      <c r="C180" s="140" t="s">
        <v>174</v>
      </c>
      <c r="D180">
        <v>8</v>
      </c>
    </row>
    <row r="181" spans="1:4" x14ac:dyDescent="0.35">
      <c r="A181">
        <v>2019</v>
      </c>
      <c r="B181" t="s">
        <v>44</v>
      </c>
      <c r="C181" s="140" t="s">
        <v>78</v>
      </c>
      <c r="D181">
        <v>11</v>
      </c>
    </row>
    <row r="182" spans="1:4" x14ac:dyDescent="0.35">
      <c r="A182">
        <v>2019</v>
      </c>
      <c r="B182" t="s">
        <v>45</v>
      </c>
      <c r="C182" s="140" t="s">
        <v>171</v>
      </c>
      <c r="D182">
        <v>0</v>
      </c>
    </row>
    <row r="183" spans="1:4" x14ac:dyDescent="0.35">
      <c r="A183">
        <v>2019</v>
      </c>
      <c r="B183" t="s">
        <v>45</v>
      </c>
      <c r="C183" s="140" t="s">
        <v>172</v>
      </c>
      <c r="D183">
        <v>0</v>
      </c>
    </row>
    <row r="184" spans="1:4" x14ac:dyDescent="0.35">
      <c r="A184">
        <v>2019</v>
      </c>
      <c r="B184" t="s">
        <v>45</v>
      </c>
      <c r="C184" s="140" t="s">
        <v>173</v>
      </c>
      <c r="D184">
        <v>0</v>
      </c>
    </row>
    <row r="185" spans="1:4" x14ac:dyDescent="0.35">
      <c r="A185">
        <v>2019</v>
      </c>
      <c r="B185" t="s">
        <v>45</v>
      </c>
      <c r="C185" s="140" t="s">
        <v>174</v>
      </c>
      <c r="D185">
        <v>0</v>
      </c>
    </row>
    <row r="186" spans="1:4" x14ac:dyDescent="0.35">
      <c r="A186">
        <v>2019</v>
      </c>
      <c r="B186" t="s">
        <v>45</v>
      </c>
      <c r="C186" s="140" t="s">
        <v>78</v>
      </c>
      <c r="D186">
        <v>0</v>
      </c>
    </row>
    <row r="187" spans="1:4" x14ac:dyDescent="0.35">
      <c r="A187">
        <v>2019</v>
      </c>
      <c r="B187" t="s">
        <v>46</v>
      </c>
      <c r="C187" s="140" t="s">
        <v>171</v>
      </c>
      <c r="D187">
        <v>0</v>
      </c>
    </row>
    <row r="188" spans="1:4" x14ac:dyDescent="0.35">
      <c r="A188">
        <v>2019</v>
      </c>
      <c r="B188" t="s">
        <v>46</v>
      </c>
      <c r="C188" s="140" t="s">
        <v>172</v>
      </c>
      <c r="D188">
        <v>0</v>
      </c>
    </row>
    <row r="189" spans="1:4" x14ac:dyDescent="0.35">
      <c r="A189">
        <v>2019</v>
      </c>
      <c r="B189" t="s">
        <v>46</v>
      </c>
      <c r="C189" s="140" t="s">
        <v>173</v>
      </c>
      <c r="D189">
        <v>0</v>
      </c>
    </row>
    <row r="190" spans="1:4" x14ac:dyDescent="0.35">
      <c r="A190">
        <v>2019</v>
      </c>
      <c r="B190" t="s">
        <v>46</v>
      </c>
      <c r="C190" s="140" t="s">
        <v>174</v>
      </c>
      <c r="D190">
        <v>0</v>
      </c>
    </row>
    <row r="191" spans="1:4" x14ac:dyDescent="0.35">
      <c r="A191">
        <v>2019</v>
      </c>
      <c r="B191" t="s">
        <v>46</v>
      </c>
      <c r="C191" s="140" t="s">
        <v>78</v>
      </c>
      <c r="D191">
        <v>0</v>
      </c>
    </row>
    <row r="192" spans="1:4" x14ac:dyDescent="0.35">
      <c r="A192">
        <v>2019</v>
      </c>
      <c r="B192" t="s">
        <v>47</v>
      </c>
      <c r="C192" s="140" t="s">
        <v>171</v>
      </c>
      <c r="D192">
        <v>0</v>
      </c>
    </row>
    <row r="193" spans="1:4" x14ac:dyDescent="0.35">
      <c r="A193">
        <v>2019</v>
      </c>
      <c r="B193" t="s">
        <v>47</v>
      </c>
      <c r="C193" s="140" t="s">
        <v>172</v>
      </c>
      <c r="D193">
        <v>2</v>
      </c>
    </row>
    <row r="194" spans="1:4" x14ac:dyDescent="0.35">
      <c r="A194">
        <v>2019</v>
      </c>
      <c r="B194" t="s">
        <v>47</v>
      </c>
      <c r="C194" s="140" t="s">
        <v>173</v>
      </c>
      <c r="D194">
        <v>4</v>
      </c>
    </row>
    <row r="195" spans="1:4" x14ac:dyDescent="0.35">
      <c r="A195">
        <v>2019</v>
      </c>
      <c r="B195" t="s">
        <v>47</v>
      </c>
      <c r="C195" s="140" t="s">
        <v>174</v>
      </c>
      <c r="D195">
        <v>5</v>
      </c>
    </row>
    <row r="196" spans="1:4" x14ac:dyDescent="0.35">
      <c r="A196">
        <v>2019</v>
      </c>
      <c r="B196" t="s">
        <v>47</v>
      </c>
      <c r="C196" s="140" t="s">
        <v>78</v>
      </c>
      <c r="D196">
        <v>10</v>
      </c>
    </row>
    <row r="197" spans="1:4" x14ac:dyDescent="0.35">
      <c r="A197">
        <v>2019</v>
      </c>
      <c r="B197" t="s">
        <v>48</v>
      </c>
      <c r="C197" s="140" t="s">
        <v>171</v>
      </c>
      <c r="D197">
        <v>0</v>
      </c>
    </row>
    <row r="198" spans="1:4" x14ac:dyDescent="0.35">
      <c r="A198">
        <v>2019</v>
      </c>
      <c r="B198" t="s">
        <v>48</v>
      </c>
      <c r="C198" s="140" t="s">
        <v>172</v>
      </c>
      <c r="D198">
        <v>1</v>
      </c>
    </row>
    <row r="199" spans="1:4" x14ac:dyDescent="0.35">
      <c r="A199">
        <v>2019</v>
      </c>
      <c r="B199" t="s">
        <v>48</v>
      </c>
      <c r="C199" s="140" t="s">
        <v>173</v>
      </c>
      <c r="D199">
        <v>5</v>
      </c>
    </row>
    <row r="200" spans="1:4" x14ac:dyDescent="0.35">
      <c r="A200">
        <v>2019</v>
      </c>
      <c r="B200" t="s">
        <v>48</v>
      </c>
      <c r="C200" s="140" t="s">
        <v>174</v>
      </c>
      <c r="D200">
        <v>5.88</v>
      </c>
    </row>
    <row r="201" spans="1:4" x14ac:dyDescent="0.35">
      <c r="A201">
        <v>2019</v>
      </c>
      <c r="B201" t="s">
        <v>48</v>
      </c>
      <c r="C201" s="140" t="s">
        <v>78</v>
      </c>
      <c r="D201">
        <v>20.5</v>
      </c>
    </row>
    <row r="202" spans="1:4" x14ac:dyDescent="0.35">
      <c r="A202">
        <v>2019</v>
      </c>
      <c r="B202" t="s">
        <v>49</v>
      </c>
      <c r="C202" s="140" t="s">
        <v>171</v>
      </c>
      <c r="D202">
        <v>0</v>
      </c>
    </row>
    <row r="203" spans="1:4" x14ac:dyDescent="0.35">
      <c r="A203">
        <v>2019</v>
      </c>
      <c r="B203" t="s">
        <v>49</v>
      </c>
      <c r="C203" s="140" t="s">
        <v>172</v>
      </c>
      <c r="D203">
        <v>1</v>
      </c>
    </row>
    <row r="204" spans="1:4" x14ac:dyDescent="0.35">
      <c r="A204">
        <v>2019</v>
      </c>
      <c r="B204" t="s">
        <v>49</v>
      </c>
      <c r="C204" s="140" t="s">
        <v>173</v>
      </c>
      <c r="D204">
        <v>4</v>
      </c>
    </row>
    <row r="205" spans="1:4" x14ac:dyDescent="0.35">
      <c r="A205">
        <v>2019</v>
      </c>
      <c r="B205" t="s">
        <v>49</v>
      </c>
      <c r="C205" s="140" t="s">
        <v>174</v>
      </c>
      <c r="D205">
        <v>4</v>
      </c>
    </row>
    <row r="206" spans="1:4" x14ac:dyDescent="0.35">
      <c r="A206">
        <v>2019</v>
      </c>
      <c r="B206" t="s">
        <v>49</v>
      </c>
      <c r="C206" s="140" t="s">
        <v>78</v>
      </c>
      <c r="D206">
        <v>8</v>
      </c>
    </row>
    <row r="207" spans="1:4" x14ac:dyDescent="0.35">
      <c r="A207">
        <v>2019</v>
      </c>
      <c r="B207" t="s">
        <v>50</v>
      </c>
      <c r="C207" s="140" t="s">
        <v>171</v>
      </c>
      <c r="D207">
        <v>2</v>
      </c>
    </row>
    <row r="208" spans="1:4" x14ac:dyDescent="0.35">
      <c r="A208">
        <v>2019</v>
      </c>
      <c r="B208" t="s">
        <v>50</v>
      </c>
      <c r="C208" s="140" t="s">
        <v>172</v>
      </c>
      <c r="D208">
        <v>2</v>
      </c>
    </row>
    <row r="209" spans="1:4" x14ac:dyDescent="0.35">
      <c r="A209">
        <v>2019</v>
      </c>
      <c r="B209" t="s">
        <v>50</v>
      </c>
      <c r="C209" s="140" t="s">
        <v>173</v>
      </c>
      <c r="D209">
        <v>15</v>
      </c>
    </row>
    <row r="210" spans="1:4" x14ac:dyDescent="0.35">
      <c r="A210">
        <v>2019</v>
      </c>
      <c r="B210" t="s">
        <v>50</v>
      </c>
      <c r="C210" s="140" t="s">
        <v>174</v>
      </c>
      <c r="D210">
        <v>5.5</v>
      </c>
    </row>
    <row r="211" spans="1:4" x14ac:dyDescent="0.35">
      <c r="A211">
        <v>2019</v>
      </c>
      <c r="B211" t="s">
        <v>50</v>
      </c>
      <c r="C211" s="140" t="s">
        <v>78</v>
      </c>
      <c r="D211">
        <v>32</v>
      </c>
    </row>
    <row r="212" spans="1:4" x14ac:dyDescent="0.35">
      <c r="A212">
        <v>2019</v>
      </c>
      <c r="B212" t="s">
        <v>51</v>
      </c>
      <c r="C212" s="140" t="s">
        <v>171</v>
      </c>
      <c r="D212">
        <v>0</v>
      </c>
    </row>
    <row r="213" spans="1:4" x14ac:dyDescent="0.35">
      <c r="A213">
        <v>2019</v>
      </c>
      <c r="B213" t="s">
        <v>51</v>
      </c>
      <c r="C213" s="140" t="s">
        <v>172</v>
      </c>
      <c r="D213">
        <v>0</v>
      </c>
    </row>
    <row r="214" spans="1:4" x14ac:dyDescent="0.35">
      <c r="A214">
        <v>2019</v>
      </c>
      <c r="B214" t="s">
        <v>51</v>
      </c>
      <c r="C214" s="140" t="s">
        <v>173</v>
      </c>
      <c r="D214">
        <v>0</v>
      </c>
    </row>
    <row r="215" spans="1:4" x14ac:dyDescent="0.35">
      <c r="A215">
        <v>2019</v>
      </c>
      <c r="B215" t="s">
        <v>51</v>
      </c>
      <c r="C215" s="140" t="s">
        <v>174</v>
      </c>
      <c r="D215">
        <v>0</v>
      </c>
    </row>
    <row r="216" spans="1:4" x14ac:dyDescent="0.35">
      <c r="A216">
        <v>2019</v>
      </c>
      <c r="B216" t="s">
        <v>51</v>
      </c>
      <c r="C216" s="140" t="s">
        <v>78</v>
      </c>
      <c r="D216">
        <v>0</v>
      </c>
    </row>
    <row r="217" spans="1:4" x14ac:dyDescent="0.35">
      <c r="A217">
        <v>2019</v>
      </c>
      <c r="B217" t="s">
        <v>52</v>
      </c>
      <c r="C217" s="140" t="s">
        <v>171</v>
      </c>
      <c r="D217">
        <v>0</v>
      </c>
    </row>
    <row r="218" spans="1:4" x14ac:dyDescent="0.35">
      <c r="A218">
        <v>2019</v>
      </c>
      <c r="B218" t="s">
        <v>52</v>
      </c>
      <c r="C218" s="140" t="s">
        <v>172</v>
      </c>
      <c r="D218">
        <v>1</v>
      </c>
    </row>
    <row r="219" spans="1:4" x14ac:dyDescent="0.35">
      <c r="A219">
        <v>2019</v>
      </c>
      <c r="B219" t="s">
        <v>52</v>
      </c>
      <c r="C219" s="140" t="s">
        <v>173</v>
      </c>
      <c r="D219">
        <v>7.98</v>
      </c>
    </row>
    <row r="220" spans="1:4" x14ac:dyDescent="0.35">
      <c r="A220">
        <v>2019</v>
      </c>
      <c r="B220" t="s">
        <v>52</v>
      </c>
      <c r="C220" s="140" t="s">
        <v>174</v>
      </c>
      <c r="D220">
        <v>11</v>
      </c>
    </row>
    <row r="221" spans="1:4" x14ac:dyDescent="0.35">
      <c r="A221">
        <v>2019</v>
      </c>
      <c r="B221" t="s">
        <v>52</v>
      </c>
      <c r="C221" s="140" t="s">
        <v>78</v>
      </c>
      <c r="D221">
        <v>21.5</v>
      </c>
    </row>
    <row r="222" spans="1:4" x14ac:dyDescent="0.35">
      <c r="A222">
        <v>2019</v>
      </c>
      <c r="B222" t="s">
        <v>115</v>
      </c>
      <c r="C222" s="140" t="s">
        <v>171</v>
      </c>
      <c r="D222">
        <v>1</v>
      </c>
    </row>
    <row r="223" spans="1:4" x14ac:dyDescent="0.35">
      <c r="A223">
        <v>2019</v>
      </c>
      <c r="B223" t="s">
        <v>115</v>
      </c>
      <c r="C223" s="140" t="s">
        <v>172</v>
      </c>
      <c r="D223">
        <v>3</v>
      </c>
    </row>
    <row r="224" spans="1:4" x14ac:dyDescent="0.35">
      <c r="A224">
        <v>2019</v>
      </c>
      <c r="B224" t="s">
        <v>115</v>
      </c>
      <c r="C224" s="140" t="s">
        <v>173</v>
      </c>
      <c r="D224">
        <v>7</v>
      </c>
    </row>
    <row r="225" spans="1:4" x14ac:dyDescent="0.35">
      <c r="A225">
        <v>2019</v>
      </c>
      <c r="B225" t="s">
        <v>115</v>
      </c>
      <c r="C225" s="140" t="s">
        <v>174</v>
      </c>
      <c r="D225">
        <v>7</v>
      </c>
    </row>
    <row r="226" spans="1:4" x14ac:dyDescent="0.35">
      <c r="A226">
        <v>2019</v>
      </c>
      <c r="B226" t="s">
        <v>115</v>
      </c>
      <c r="C226" s="140" t="s">
        <v>78</v>
      </c>
      <c r="D226">
        <v>15.5</v>
      </c>
    </row>
    <row r="227" spans="1:4" x14ac:dyDescent="0.35">
      <c r="A227">
        <v>2019</v>
      </c>
      <c r="B227" t="s">
        <v>37</v>
      </c>
      <c r="C227" s="140" t="s">
        <v>171</v>
      </c>
      <c r="D227">
        <v>1</v>
      </c>
    </row>
    <row r="228" spans="1:4" x14ac:dyDescent="0.35">
      <c r="A228">
        <v>2019</v>
      </c>
      <c r="B228" t="s">
        <v>37</v>
      </c>
      <c r="C228" s="140" t="s">
        <v>172</v>
      </c>
      <c r="D228">
        <v>5</v>
      </c>
    </row>
    <row r="229" spans="1:4" x14ac:dyDescent="0.35">
      <c r="A229">
        <v>2019</v>
      </c>
      <c r="B229" t="s">
        <v>37</v>
      </c>
      <c r="C229" s="140" t="s">
        <v>173</v>
      </c>
      <c r="D229">
        <v>15</v>
      </c>
    </row>
    <row r="230" spans="1:4" x14ac:dyDescent="0.35">
      <c r="A230">
        <v>2019</v>
      </c>
      <c r="B230" t="s">
        <v>37</v>
      </c>
      <c r="C230" s="140" t="s">
        <v>174</v>
      </c>
      <c r="D230">
        <v>0</v>
      </c>
    </row>
    <row r="231" spans="1:4" x14ac:dyDescent="0.35">
      <c r="A231">
        <v>2019</v>
      </c>
      <c r="B231" t="s">
        <v>37</v>
      </c>
      <c r="C231" s="140" t="s">
        <v>78</v>
      </c>
      <c r="D231">
        <v>36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EFAED-710B-4607-B335-99A78262C55E}">
  <sheetPr codeName="Sheet29"/>
  <dimension ref="B2:Q53"/>
  <sheetViews>
    <sheetView workbookViewId="0">
      <selection activeCell="A4" sqref="A4:H4"/>
    </sheetView>
  </sheetViews>
  <sheetFormatPr defaultRowHeight="14.5" x14ac:dyDescent="0.35"/>
  <sheetData>
    <row r="2" spans="2:17" x14ac:dyDescent="0.35">
      <c r="B2" s="126" t="s">
        <v>147</v>
      </c>
      <c r="C2" s="127" t="s">
        <v>148</v>
      </c>
      <c r="D2" s="127"/>
      <c r="E2" s="127"/>
      <c r="F2" s="127"/>
      <c r="G2" s="127"/>
      <c r="H2" s="127"/>
      <c r="I2" s="127"/>
      <c r="J2" s="127"/>
      <c r="K2" s="127"/>
      <c r="L2" s="127"/>
      <c r="M2" s="127"/>
      <c r="N2" s="127"/>
      <c r="O2" s="127"/>
      <c r="P2" s="127"/>
      <c r="Q2" s="127"/>
    </row>
    <row r="3" spans="2:17" x14ac:dyDescent="0.35">
      <c r="B3" s="128" t="s">
        <v>149</v>
      </c>
      <c r="C3" s="127" t="s">
        <v>150</v>
      </c>
      <c r="D3" s="127"/>
      <c r="E3" s="127"/>
      <c r="F3" s="127"/>
      <c r="G3" s="127"/>
      <c r="H3" s="127"/>
      <c r="I3" s="127"/>
      <c r="J3" s="127"/>
      <c r="K3" s="127"/>
      <c r="L3" s="127"/>
      <c r="M3" s="127"/>
      <c r="N3" s="127"/>
      <c r="O3" s="127"/>
      <c r="P3" s="127"/>
      <c r="Q3" s="127"/>
    </row>
    <row r="4" spans="2:17" x14ac:dyDescent="0.35">
      <c r="B4" s="128"/>
      <c r="C4" s="127"/>
      <c r="D4" s="127"/>
      <c r="E4" s="127"/>
      <c r="F4" s="127"/>
      <c r="G4" s="127"/>
      <c r="H4" s="127"/>
      <c r="I4" s="127"/>
      <c r="J4" s="127"/>
      <c r="K4" s="127"/>
      <c r="L4" s="127"/>
      <c r="M4" s="127"/>
      <c r="N4" s="127"/>
      <c r="O4" s="127"/>
      <c r="P4" s="127"/>
      <c r="Q4" s="127"/>
    </row>
    <row r="5" spans="2:17" x14ac:dyDescent="0.35">
      <c r="B5" s="127"/>
      <c r="C5" s="127"/>
      <c r="D5" s="127"/>
      <c r="E5" s="127"/>
      <c r="F5" s="127"/>
      <c r="G5" s="127"/>
      <c r="H5" s="127"/>
      <c r="I5" s="127"/>
      <c r="J5" s="127"/>
      <c r="K5" s="127"/>
      <c r="L5" s="127"/>
      <c r="M5" s="127"/>
      <c r="N5" s="127"/>
      <c r="O5" s="127"/>
      <c r="P5" s="127"/>
      <c r="Q5" s="127"/>
    </row>
    <row r="6" spans="2:17" x14ac:dyDescent="0.35">
      <c r="B6" s="129" t="s">
        <v>151</v>
      </c>
      <c r="C6" s="127"/>
      <c r="D6" s="129" t="s">
        <v>152</v>
      </c>
      <c r="E6" s="127"/>
      <c r="F6" s="129" t="s">
        <v>153</v>
      </c>
      <c r="G6" s="127"/>
      <c r="H6" s="130">
        <f>MAX(H8:H54)</f>
        <v>46</v>
      </c>
      <c r="I6" s="129" t="s">
        <v>154</v>
      </c>
      <c r="J6" s="127"/>
      <c r="K6" s="129" t="s">
        <v>155</v>
      </c>
      <c r="L6" s="127"/>
      <c r="M6" s="131" t="s">
        <v>156</v>
      </c>
      <c r="N6" s="127"/>
      <c r="O6" s="130">
        <f>MAX(O8:O14)</f>
        <v>7</v>
      </c>
      <c r="P6" s="129" t="s">
        <v>157</v>
      </c>
      <c r="Q6" s="129" t="s">
        <v>158</v>
      </c>
    </row>
    <row r="7" spans="2:17" x14ac:dyDescent="0.35">
      <c r="B7" s="132" t="s">
        <v>177</v>
      </c>
      <c r="C7" s="127"/>
      <c r="D7" s="133" t="s">
        <v>159</v>
      </c>
      <c r="E7" s="127"/>
      <c r="F7" s="133" t="s">
        <v>160</v>
      </c>
      <c r="G7" s="127"/>
      <c r="H7" s="130">
        <v>47</v>
      </c>
      <c r="I7" s="126" t="e">
        <f>VLOOKUP(H7,H8:I53,2,FALSE)</f>
        <v>#N/A</v>
      </c>
      <c r="J7" s="127"/>
      <c r="K7" s="133" t="str">
        <f>CONCATENATE("_",D7,".xlsx")</f>
        <v>_2018_19.xlsx</v>
      </c>
      <c r="L7" s="127"/>
      <c r="M7" s="134" t="s">
        <v>161</v>
      </c>
      <c r="N7" s="127"/>
      <c r="O7" s="130">
        <v>8</v>
      </c>
      <c r="P7" s="126" t="e">
        <f>VLOOKUP(O7,O8:P15,2,FALSE)</f>
        <v>#N/A</v>
      </c>
      <c r="Q7" s="126" t="e">
        <f>VLOOKUP(O7,O8:Q15,3,FALSE)</f>
        <v>#N/A</v>
      </c>
    </row>
    <row r="8" spans="2:17" x14ac:dyDescent="0.35">
      <c r="B8" s="127"/>
      <c r="C8" s="127"/>
      <c r="D8" s="135" t="str">
        <f>CONCATENATE(LEFT(D7,4),"-",RIGHT(D7,2))</f>
        <v>2018-19</v>
      </c>
      <c r="E8" s="127"/>
      <c r="F8" s="127"/>
      <c r="G8" s="127"/>
      <c r="H8" s="127">
        <v>1</v>
      </c>
      <c r="I8" s="136" t="s">
        <v>7</v>
      </c>
      <c r="J8" s="127"/>
      <c r="K8" s="127"/>
      <c r="L8" s="127"/>
      <c r="M8" s="137"/>
      <c r="N8" s="127"/>
      <c r="O8" s="127">
        <v>1</v>
      </c>
      <c r="P8" s="139" t="s">
        <v>164</v>
      </c>
      <c r="Q8" s="138" t="s">
        <v>169</v>
      </c>
    </row>
    <row r="9" spans="2:17" x14ac:dyDescent="0.35">
      <c r="B9" s="127"/>
      <c r="C9" s="127"/>
      <c r="D9" s="126" t="str">
        <f>CONCATENATE(LEFT(D7,2),RIGHT(D7,2))</f>
        <v>2019</v>
      </c>
      <c r="E9" s="127"/>
      <c r="F9" s="127"/>
      <c r="G9" s="127"/>
      <c r="H9" s="127">
        <v>2</v>
      </c>
      <c r="I9" s="136" t="s">
        <v>8</v>
      </c>
      <c r="J9" s="127"/>
      <c r="K9" s="127"/>
      <c r="L9" s="127"/>
      <c r="M9" s="137"/>
      <c r="N9" s="127"/>
      <c r="O9" s="127">
        <v>2</v>
      </c>
      <c r="P9" s="139" t="s">
        <v>165</v>
      </c>
      <c r="Q9" s="127" t="s">
        <v>170</v>
      </c>
    </row>
    <row r="10" spans="2:17" x14ac:dyDescent="0.35">
      <c r="B10" s="127"/>
      <c r="C10" s="127"/>
      <c r="D10" s="127"/>
      <c r="E10" s="127"/>
      <c r="F10" s="127"/>
      <c r="G10" s="127"/>
      <c r="H10" s="127">
        <v>3</v>
      </c>
      <c r="I10" s="136" t="s">
        <v>9</v>
      </c>
      <c r="J10" s="127"/>
      <c r="K10" s="127"/>
      <c r="L10" s="127"/>
      <c r="M10" s="139"/>
      <c r="N10" s="127"/>
      <c r="O10" s="127">
        <v>3</v>
      </c>
      <c r="P10" s="139" t="s">
        <v>163</v>
      </c>
      <c r="Q10" s="127" t="s">
        <v>171</v>
      </c>
    </row>
    <row r="11" spans="2:17" x14ac:dyDescent="0.35">
      <c r="B11" s="127"/>
      <c r="C11" s="127"/>
      <c r="D11" s="127"/>
      <c r="E11" s="127"/>
      <c r="F11" s="127"/>
      <c r="G11" s="127"/>
      <c r="H11" s="127">
        <v>4</v>
      </c>
      <c r="I11" s="136" t="s">
        <v>10</v>
      </c>
      <c r="J11" s="127"/>
      <c r="K11" s="127"/>
      <c r="L11" s="127"/>
      <c r="M11" s="139"/>
      <c r="N11" s="127"/>
      <c r="O11" s="127">
        <v>4</v>
      </c>
      <c r="P11" s="139" t="s">
        <v>166</v>
      </c>
      <c r="Q11" s="127" t="s">
        <v>172</v>
      </c>
    </row>
    <row r="12" spans="2:17" x14ac:dyDescent="0.35">
      <c r="B12" s="127"/>
      <c r="C12" s="127"/>
      <c r="D12" s="127"/>
      <c r="E12" s="127"/>
      <c r="F12" s="127"/>
      <c r="G12" s="127"/>
      <c r="H12" s="127">
        <v>5</v>
      </c>
      <c r="I12" s="136" t="s">
        <v>11</v>
      </c>
      <c r="J12" s="127"/>
      <c r="K12" s="127"/>
      <c r="L12" s="127"/>
      <c r="M12" s="139"/>
      <c r="N12" s="127"/>
      <c r="O12" s="127">
        <v>5</v>
      </c>
      <c r="P12" s="139" t="s">
        <v>162</v>
      </c>
      <c r="Q12" s="127" t="s">
        <v>173</v>
      </c>
    </row>
    <row r="13" spans="2:17" x14ac:dyDescent="0.35">
      <c r="B13" s="127"/>
      <c r="C13" s="127"/>
      <c r="D13" s="127"/>
      <c r="E13" s="127"/>
      <c r="F13" s="127"/>
      <c r="G13" s="127"/>
      <c r="H13" s="127">
        <v>6</v>
      </c>
      <c r="I13" s="136" t="s">
        <v>12</v>
      </c>
      <c r="J13" s="127"/>
      <c r="K13" s="127"/>
      <c r="L13" s="127"/>
      <c r="O13" s="138">
        <v>6</v>
      </c>
      <c r="P13" s="139" t="s">
        <v>167</v>
      </c>
      <c r="Q13" s="138" t="s">
        <v>174</v>
      </c>
    </row>
    <row r="14" spans="2:17" x14ac:dyDescent="0.35">
      <c r="B14" s="127"/>
      <c r="C14" s="127"/>
      <c r="D14" s="127"/>
      <c r="E14" s="127"/>
      <c r="F14" s="127"/>
      <c r="G14" s="127"/>
      <c r="H14" s="127">
        <v>7</v>
      </c>
      <c r="I14" s="136" t="s">
        <v>13</v>
      </c>
      <c r="J14" s="127"/>
      <c r="K14" s="127"/>
      <c r="L14" s="127"/>
      <c r="O14" s="138">
        <v>7</v>
      </c>
      <c r="P14" s="139" t="s">
        <v>168</v>
      </c>
      <c r="Q14" s="138" t="s">
        <v>78</v>
      </c>
    </row>
    <row r="15" spans="2:17" x14ac:dyDescent="0.35">
      <c r="B15" s="127"/>
      <c r="C15" s="127"/>
      <c r="D15" s="127"/>
      <c r="E15" s="127"/>
      <c r="F15" s="127"/>
      <c r="G15" s="127"/>
      <c r="H15" s="127">
        <v>8</v>
      </c>
      <c r="I15" s="136" t="s">
        <v>14</v>
      </c>
      <c r="J15" s="127"/>
      <c r="K15" s="127"/>
      <c r="L15" s="127"/>
    </row>
    <row r="16" spans="2:17" x14ac:dyDescent="0.35">
      <c r="B16" s="127"/>
      <c r="C16" s="127"/>
      <c r="D16" s="127"/>
      <c r="E16" s="127"/>
      <c r="F16" s="127"/>
      <c r="G16" s="127"/>
      <c r="H16" s="127">
        <v>9</v>
      </c>
      <c r="I16" s="136" t="s">
        <v>15</v>
      </c>
      <c r="J16" s="127"/>
      <c r="K16" s="127"/>
      <c r="L16" s="127"/>
      <c r="M16" s="131" t="s">
        <v>156</v>
      </c>
      <c r="N16" s="127"/>
      <c r="O16" s="130">
        <f>MAX(O18:O22)</f>
        <v>5</v>
      </c>
      <c r="P16" s="129" t="s">
        <v>178</v>
      </c>
      <c r="Q16" s="129" t="s">
        <v>179</v>
      </c>
    </row>
    <row r="17" spans="2:17" x14ac:dyDescent="0.35">
      <c r="B17" s="127"/>
      <c r="C17" s="127"/>
      <c r="D17" s="127"/>
      <c r="E17" s="127"/>
      <c r="F17" s="127"/>
      <c r="G17" s="127"/>
      <c r="H17" s="127">
        <v>10</v>
      </c>
      <c r="I17" s="136" t="s">
        <v>16</v>
      </c>
      <c r="J17" s="127"/>
      <c r="K17" s="127"/>
      <c r="L17" s="127"/>
      <c r="M17" s="134" t="s">
        <v>161</v>
      </c>
      <c r="N17" s="127"/>
      <c r="O17" s="130">
        <v>6</v>
      </c>
      <c r="P17" s="126" t="e">
        <f>VLOOKUP(O17,O18:P23,2,FALSE)</f>
        <v>#N/A</v>
      </c>
      <c r="Q17" s="126" t="e">
        <f>VLOOKUP(O17,O18:Q22,3,FALSE)</f>
        <v>#N/A</v>
      </c>
    </row>
    <row r="18" spans="2:17" x14ac:dyDescent="0.35">
      <c r="B18" s="127"/>
      <c r="C18" s="127"/>
      <c r="D18" s="127"/>
      <c r="E18" s="127"/>
      <c r="F18" s="127"/>
      <c r="G18" s="127"/>
      <c r="H18" s="127">
        <v>11</v>
      </c>
      <c r="I18" s="136" t="s">
        <v>17</v>
      </c>
      <c r="J18" s="127"/>
      <c r="K18" s="127"/>
      <c r="L18" s="127"/>
      <c r="M18" s="137"/>
      <c r="N18" s="127"/>
      <c r="O18" s="127">
        <v>1</v>
      </c>
      <c r="P18" s="139" t="s">
        <v>182</v>
      </c>
      <c r="Q18" s="127" t="s">
        <v>171</v>
      </c>
    </row>
    <row r="19" spans="2:17" x14ac:dyDescent="0.35">
      <c r="B19" s="127"/>
      <c r="C19" s="127"/>
      <c r="D19" s="127"/>
      <c r="E19" s="127"/>
      <c r="F19" s="127"/>
      <c r="G19" s="127"/>
      <c r="H19" s="127">
        <v>12</v>
      </c>
      <c r="I19" s="136" t="s">
        <v>19</v>
      </c>
      <c r="J19" s="127"/>
      <c r="K19" s="127"/>
      <c r="L19" s="127"/>
      <c r="M19" s="137"/>
      <c r="N19" s="127"/>
      <c r="O19" s="127">
        <v>2</v>
      </c>
      <c r="P19" s="139" t="s">
        <v>183</v>
      </c>
      <c r="Q19" s="127" t="s">
        <v>172</v>
      </c>
    </row>
    <row r="20" spans="2:17" x14ac:dyDescent="0.35">
      <c r="B20" s="127"/>
      <c r="C20" s="127"/>
      <c r="D20" s="127"/>
      <c r="E20" s="127"/>
      <c r="F20" s="127"/>
      <c r="G20" s="127"/>
      <c r="H20" s="127">
        <v>13</v>
      </c>
      <c r="I20" s="136" t="s">
        <v>20</v>
      </c>
      <c r="J20" s="127"/>
      <c r="K20" s="127"/>
      <c r="L20" s="127"/>
      <c r="M20" s="139"/>
      <c r="N20" s="127"/>
      <c r="O20" s="127">
        <v>3</v>
      </c>
      <c r="P20" s="139" t="s">
        <v>184</v>
      </c>
      <c r="Q20" s="127" t="s">
        <v>173</v>
      </c>
    </row>
    <row r="21" spans="2:17" x14ac:dyDescent="0.35">
      <c r="B21" s="127"/>
      <c r="C21" s="127"/>
      <c r="D21" s="127"/>
      <c r="E21" s="127"/>
      <c r="F21" s="127"/>
      <c r="G21" s="127"/>
      <c r="H21" s="127">
        <v>14</v>
      </c>
      <c r="I21" s="136" t="s">
        <v>21</v>
      </c>
      <c r="J21" s="127"/>
      <c r="K21" s="127"/>
      <c r="L21" s="127"/>
      <c r="M21" s="139"/>
      <c r="N21" s="127"/>
      <c r="O21" s="138">
        <v>4</v>
      </c>
      <c r="P21" s="139" t="s">
        <v>185</v>
      </c>
      <c r="Q21" s="138" t="s">
        <v>174</v>
      </c>
    </row>
    <row r="22" spans="2:17" x14ac:dyDescent="0.35">
      <c r="B22" s="127"/>
      <c r="C22" s="127"/>
      <c r="D22" s="127"/>
      <c r="E22" s="127"/>
      <c r="F22" s="127"/>
      <c r="G22" s="127"/>
      <c r="H22" s="127">
        <v>15</v>
      </c>
      <c r="I22" s="136" t="s">
        <v>22</v>
      </c>
      <c r="J22" s="127"/>
      <c r="K22" s="127"/>
      <c r="L22" s="127"/>
      <c r="M22" s="139"/>
      <c r="N22" s="127"/>
      <c r="O22" s="138">
        <v>5</v>
      </c>
      <c r="P22" s="139" t="s">
        <v>186</v>
      </c>
      <c r="Q22" s="138" t="s">
        <v>78</v>
      </c>
    </row>
    <row r="23" spans="2:17" x14ac:dyDescent="0.35">
      <c r="B23" s="127"/>
      <c r="C23" s="127"/>
      <c r="D23" s="127"/>
      <c r="E23" s="127"/>
      <c r="F23" s="127"/>
      <c r="G23" s="127"/>
      <c r="H23" s="127">
        <v>16</v>
      </c>
      <c r="I23" s="136" t="s">
        <v>23</v>
      </c>
      <c r="J23" s="127"/>
      <c r="K23" s="127"/>
      <c r="L23" s="127"/>
      <c r="O23" s="138"/>
    </row>
    <row r="24" spans="2:17" x14ac:dyDescent="0.35">
      <c r="B24" s="127"/>
      <c r="C24" s="127"/>
      <c r="D24" s="127"/>
      <c r="E24" s="127"/>
      <c r="F24" s="127"/>
      <c r="G24" s="127"/>
      <c r="H24" s="127">
        <v>17</v>
      </c>
      <c r="I24" s="136" t="s">
        <v>24</v>
      </c>
      <c r="J24" s="127"/>
      <c r="K24" s="127"/>
      <c r="L24" s="127"/>
      <c r="M24" s="131" t="s">
        <v>156</v>
      </c>
      <c r="N24" s="127"/>
      <c r="O24" s="130">
        <f>MAX(O26:O30)</f>
        <v>5</v>
      </c>
      <c r="P24" s="129" t="s">
        <v>180</v>
      </c>
      <c r="Q24" s="129" t="s">
        <v>181</v>
      </c>
    </row>
    <row r="25" spans="2:17" x14ac:dyDescent="0.35">
      <c r="B25" s="127"/>
      <c r="C25" s="127"/>
      <c r="D25" s="127"/>
      <c r="E25" s="127"/>
      <c r="F25" s="127"/>
      <c r="G25" s="127"/>
      <c r="H25" s="127">
        <v>18</v>
      </c>
      <c r="I25" s="136" t="s">
        <v>25</v>
      </c>
      <c r="J25" s="127"/>
      <c r="K25" s="127"/>
      <c r="L25" s="127"/>
      <c r="M25" s="134" t="s">
        <v>161</v>
      </c>
      <c r="N25" s="127"/>
      <c r="O25" s="130">
        <v>6</v>
      </c>
      <c r="P25" s="126" t="e">
        <f>VLOOKUP(O25,O26:P30,2,FALSE)</f>
        <v>#N/A</v>
      </c>
      <c r="Q25" s="126" t="e">
        <f>VLOOKUP(O25,O26:Q30,3,FALSE)</f>
        <v>#N/A</v>
      </c>
    </row>
    <row r="26" spans="2:17" x14ac:dyDescent="0.35">
      <c r="B26" s="127"/>
      <c r="C26" s="127"/>
      <c r="D26" s="127"/>
      <c r="E26" s="127"/>
      <c r="F26" s="127"/>
      <c r="G26" s="127"/>
      <c r="H26" s="127">
        <v>19</v>
      </c>
      <c r="I26" s="136" t="s">
        <v>26</v>
      </c>
      <c r="J26" s="127"/>
      <c r="K26" s="127"/>
      <c r="L26" s="127"/>
      <c r="M26" s="137"/>
      <c r="N26" s="127"/>
      <c r="O26" s="127">
        <v>1</v>
      </c>
      <c r="P26" s="139" t="s">
        <v>187</v>
      </c>
      <c r="Q26" s="127" t="s">
        <v>171</v>
      </c>
    </row>
    <row r="27" spans="2:17" x14ac:dyDescent="0.35">
      <c r="B27" s="127"/>
      <c r="C27" s="127"/>
      <c r="D27" s="127"/>
      <c r="E27" s="127"/>
      <c r="F27" s="127"/>
      <c r="G27" s="127"/>
      <c r="H27" s="127">
        <v>20</v>
      </c>
      <c r="I27" s="136" t="s">
        <v>27</v>
      </c>
      <c r="J27" s="127"/>
      <c r="K27" s="127"/>
      <c r="L27" s="127"/>
      <c r="M27" s="137"/>
      <c r="N27" s="127"/>
      <c r="O27" s="127">
        <v>2</v>
      </c>
      <c r="P27" s="139" t="s">
        <v>188</v>
      </c>
      <c r="Q27" s="127" t="s">
        <v>172</v>
      </c>
    </row>
    <row r="28" spans="2:17" x14ac:dyDescent="0.35">
      <c r="B28" s="127"/>
      <c r="C28" s="127"/>
      <c r="D28" s="127"/>
      <c r="E28" s="127"/>
      <c r="F28" s="127"/>
      <c r="G28" s="127"/>
      <c r="H28" s="127">
        <v>21</v>
      </c>
      <c r="I28" s="136" t="s">
        <v>28</v>
      </c>
      <c r="J28" s="127"/>
      <c r="K28" s="127"/>
      <c r="L28" s="127"/>
      <c r="M28" s="139"/>
      <c r="N28" s="127"/>
      <c r="O28" s="127">
        <v>3</v>
      </c>
      <c r="P28" s="139" t="s">
        <v>189</v>
      </c>
      <c r="Q28" s="127" t="s">
        <v>173</v>
      </c>
    </row>
    <row r="29" spans="2:17" x14ac:dyDescent="0.35">
      <c r="B29" s="127"/>
      <c r="C29" s="127"/>
      <c r="D29" s="127"/>
      <c r="E29" s="127"/>
      <c r="F29" s="127"/>
      <c r="G29" s="127"/>
      <c r="H29" s="127">
        <v>22</v>
      </c>
      <c r="I29" s="136" t="s">
        <v>29</v>
      </c>
      <c r="J29" s="127"/>
      <c r="K29" s="127"/>
      <c r="L29" s="127"/>
      <c r="M29" s="139"/>
      <c r="N29" s="127"/>
      <c r="O29" s="138">
        <v>4</v>
      </c>
      <c r="P29" s="139" t="s">
        <v>190</v>
      </c>
      <c r="Q29" s="138" t="s">
        <v>174</v>
      </c>
    </row>
    <row r="30" spans="2:17" x14ac:dyDescent="0.35">
      <c r="B30" s="127"/>
      <c r="C30" s="127"/>
      <c r="D30" s="127"/>
      <c r="E30" s="127"/>
      <c r="F30" s="127"/>
      <c r="G30" s="127"/>
      <c r="H30" s="127">
        <v>23</v>
      </c>
      <c r="I30" s="136" t="s">
        <v>30</v>
      </c>
      <c r="J30" s="127"/>
      <c r="K30" s="127"/>
      <c r="L30" s="127"/>
      <c r="M30" s="139"/>
      <c r="N30" s="127"/>
      <c r="O30" s="138">
        <v>5</v>
      </c>
      <c r="P30" s="139" t="s">
        <v>191</v>
      </c>
      <c r="Q30" s="138" t="s">
        <v>78</v>
      </c>
    </row>
    <row r="31" spans="2:17" x14ac:dyDescent="0.35">
      <c r="B31" s="127"/>
      <c r="C31" s="127"/>
      <c r="D31" s="127"/>
      <c r="E31" s="127"/>
      <c r="F31" s="127"/>
      <c r="G31" s="127"/>
      <c r="H31" s="127">
        <v>24</v>
      </c>
      <c r="I31" s="136" t="s">
        <v>31</v>
      </c>
      <c r="J31" s="127"/>
      <c r="K31" s="127"/>
      <c r="L31" s="127"/>
    </row>
    <row r="32" spans="2:17" x14ac:dyDescent="0.35">
      <c r="B32" s="127"/>
      <c r="C32" s="127"/>
      <c r="D32" s="127"/>
      <c r="E32" s="127"/>
      <c r="F32" s="127"/>
      <c r="G32" s="127"/>
      <c r="H32" s="127">
        <v>25</v>
      </c>
      <c r="I32" s="136" t="s">
        <v>32</v>
      </c>
      <c r="J32" s="127"/>
      <c r="K32" s="127"/>
      <c r="L32" s="127"/>
    </row>
    <row r="33" spans="2:17" x14ac:dyDescent="0.35">
      <c r="B33" s="127"/>
      <c r="C33" s="127"/>
      <c r="D33" s="127"/>
      <c r="E33" s="127"/>
      <c r="F33" s="127"/>
      <c r="G33" s="127"/>
      <c r="H33" s="127">
        <v>26</v>
      </c>
      <c r="I33" s="136" t="s">
        <v>33</v>
      </c>
      <c r="J33" s="127"/>
      <c r="K33" s="127"/>
      <c r="L33" s="127"/>
    </row>
    <row r="34" spans="2:17" x14ac:dyDescent="0.35">
      <c r="B34" s="127"/>
      <c r="C34" s="127"/>
      <c r="D34" s="127"/>
      <c r="E34" s="127"/>
      <c r="F34" s="127"/>
      <c r="G34" s="127"/>
      <c r="H34" s="127">
        <v>27</v>
      </c>
      <c r="I34" s="136" t="s">
        <v>34</v>
      </c>
      <c r="J34" s="127"/>
      <c r="K34" s="127"/>
      <c r="L34" s="127"/>
      <c r="M34" s="137"/>
      <c r="N34" s="127"/>
      <c r="O34" s="127"/>
      <c r="P34" s="128"/>
      <c r="Q34" s="138"/>
    </row>
    <row r="35" spans="2:17" x14ac:dyDescent="0.35">
      <c r="B35" s="127"/>
      <c r="C35" s="127"/>
      <c r="D35" s="127"/>
      <c r="E35" s="127"/>
      <c r="F35" s="127"/>
      <c r="G35" s="127"/>
      <c r="H35" s="127">
        <v>28</v>
      </c>
      <c r="I35" s="136" t="s">
        <v>35</v>
      </c>
      <c r="J35" s="127"/>
      <c r="K35" s="127"/>
      <c r="L35" s="127"/>
      <c r="M35" s="137"/>
      <c r="N35" s="127"/>
      <c r="O35" s="127"/>
      <c r="P35" s="139"/>
      <c r="Q35" s="138"/>
    </row>
    <row r="36" spans="2:17" x14ac:dyDescent="0.35">
      <c r="B36" s="127"/>
      <c r="C36" s="127"/>
      <c r="D36" s="127"/>
      <c r="E36" s="127"/>
      <c r="F36" s="127"/>
      <c r="G36" s="127"/>
      <c r="H36" s="127">
        <v>29</v>
      </c>
      <c r="I36" s="136" t="s">
        <v>36</v>
      </c>
      <c r="J36" s="127"/>
      <c r="K36" s="127"/>
      <c r="L36" s="127"/>
      <c r="M36" s="139"/>
      <c r="N36" s="127"/>
      <c r="O36" s="127"/>
      <c r="P36" s="139"/>
      <c r="Q36" s="127"/>
    </row>
    <row r="37" spans="2:17" x14ac:dyDescent="0.35">
      <c r="B37" s="127"/>
      <c r="C37" s="127"/>
      <c r="D37" s="127"/>
      <c r="E37" s="127"/>
      <c r="F37" s="127"/>
      <c r="G37" s="127"/>
      <c r="H37" s="127">
        <v>30</v>
      </c>
      <c r="I37" s="136" t="s">
        <v>38</v>
      </c>
      <c r="J37" s="127"/>
      <c r="K37" s="127"/>
      <c r="L37" s="127"/>
      <c r="M37" s="139"/>
      <c r="N37" s="127"/>
      <c r="O37" s="127"/>
      <c r="P37" s="139"/>
      <c r="Q37" s="127"/>
    </row>
    <row r="38" spans="2:17" x14ac:dyDescent="0.35">
      <c r="B38" s="127"/>
      <c r="C38" s="127"/>
      <c r="D38" s="127"/>
      <c r="E38" s="127"/>
      <c r="F38" s="127"/>
      <c r="G38" s="127"/>
      <c r="H38" s="127">
        <v>31</v>
      </c>
      <c r="I38" s="136" t="s">
        <v>39</v>
      </c>
      <c r="J38" s="127"/>
      <c r="K38" s="127"/>
      <c r="L38" s="127"/>
      <c r="M38" s="127"/>
      <c r="N38" s="127"/>
      <c r="O38" s="127"/>
      <c r="P38" s="127"/>
      <c r="Q38" s="127"/>
    </row>
    <row r="39" spans="2:17" x14ac:dyDescent="0.35">
      <c r="B39" s="127"/>
      <c r="C39" s="127"/>
      <c r="D39" s="127"/>
      <c r="E39" s="127"/>
      <c r="F39" s="127"/>
      <c r="G39" s="127"/>
      <c r="H39" s="127">
        <v>32</v>
      </c>
      <c r="I39" s="136" t="s">
        <v>40</v>
      </c>
      <c r="J39" s="127"/>
      <c r="K39" s="127"/>
      <c r="L39" s="127"/>
      <c r="M39" s="127"/>
      <c r="N39" s="127"/>
      <c r="O39" s="127"/>
      <c r="P39" s="127"/>
      <c r="Q39" s="127"/>
    </row>
    <row r="40" spans="2:17" x14ac:dyDescent="0.35">
      <c r="B40" s="127"/>
      <c r="C40" s="127"/>
      <c r="D40" s="127"/>
      <c r="E40" s="127"/>
      <c r="F40" s="127"/>
      <c r="G40" s="127"/>
      <c r="H40" s="127">
        <v>33</v>
      </c>
      <c r="I40" s="136" t="s">
        <v>41</v>
      </c>
      <c r="J40" s="127"/>
      <c r="K40" s="127"/>
      <c r="L40" s="127"/>
      <c r="M40" s="127"/>
      <c r="N40" s="127"/>
      <c r="O40" s="127"/>
      <c r="P40" s="127"/>
      <c r="Q40" s="127"/>
    </row>
    <row r="41" spans="2:17" x14ac:dyDescent="0.35">
      <c r="B41" s="127"/>
      <c r="C41" s="127"/>
      <c r="D41" s="127"/>
      <c r="E41" s="127"/>
      <c r="F41" s="127"/>
      <c r="G41" s="127"/>
      <c r="H41" s="127">
        <v>34</v>
      </c>
      <c r="I41" s="136" t="s">
        <v>42</v>
      </c>
      <c r="J41" s="127"/>
      <c r="K41" s="127"/>
      <c r="L41" s="127"/>
      <c r="M41" s="127"/>
      <c r="N41" s="127"/>
      <c r="O41" s="127"/>
      <c r="P41" s="127"/>
      <c r="Q41" s="127"/>
    </row>
    <row r="42" spans="2:17" x14ac:dyDescent="0.35">
      <c r="B42" s="127"/>
      <c r="C42" s="127"/>
      <c r="D42" s="127"/>
      <c r="E42" s="127"/>
      <c r="F42" s="127"/>
      <c r="G42" s="127"/>
      <c r="H42" s="127">
        <v>35</v>
      </c>
      <c r="I42" s="136" t="s">
        <v>43</v>
      </c>
      <c r="J42" s="127"/>
      <c r="K42" s="127"/>
      <c r="L42" s="127"/>
      <c r="M42" s="127"/>
      <c r="N42" s="127"/>
      <c r="O42" s="127"/>
      <c r="P42" s="127"/>
      <c r="Q42" s="127"/>
    </row>
    <row r="43" spans="2:17" x14ac:dyDescent="0.35">
      <c r="B43" s="127"/>
      <c r="C43" s="127"/>
      <c r="D43" s="127"/>
      <c r="E43" s="127"/>
      <c r="F43" s="127"/>
      <c r="G43" s="127"/>
      <c r="H43" s="127">
        <v>36</v>
      </c>
      <c r="I43" s="136" t="s">
        <v>44</v>
      </c>
      <c r="J43" s="127"/>
      <c r="K43" s="127"/>
      <c r="L43" s="127"/>
      <c r="M43" s="127"/>
      <c r="N43" s="127"/>
      <c r="O43" s="127"/>
      <c r="P43" s="127"/>
      <c r="Q43" s="127"/>
    </row>
    <row r="44" spans="2:17" x14ac:dyDescent="0.35">
      <c r="B44" s="127"/>
      <c r="C44" s="127"/>
      <c r="D44" s="127"/>
      <c r="E44" s="127"/>
      <c r="F44" s="127"/>
      <c r="G44" s="127"/>
      <c r="H44" s="127">
        <v>37</v>
      </c>
      <c r="I44" s="136" t="s">
        <v>45</v>
      </c>
      <c r="J44" s="127"/>
      <c r="K44" s="127"/>
      <c r="L44" s="127"/>
      <c r="M44" s="127"/>
      <c r="N44" s="127"/>
      <c r="O44" s="127"/>
      <c r="P44" s="127"/>
      <c r="Q44" s="127"/>
    </row>
    <row r="45" spans="2:17" x14ac:dyDescent="0.35">
      <c r="B45" s="127"/>
      <c r="C45" s="127"/>
      <c r="D45" s="127"/>
      <c r="E45" s="127"/>
      <c r="F45" s="127"/>
      <c r="G45" s="127"/>
      <c r="H45" s="127">
        <v>38</v>
      </c>
      <c r="I45" s="136" t="s">
        <v>46</v>
      </c>
      <c r="J45" s="127"/>
      <c r="K45" s="127"/>
      <c r="L45" s="127"/>
      <c r="M45" s="127"/>
      <c r="N45" s="127"/>
      <c r="O45" s="127"/>
      <c r="P45" s="127"/>
      <c r="Q45" s="127"/>
    </row>
    <row r="46" spans="2:17" x14ac:dyDescent="0.35">
      <c r="B46" s="127"/>
      <c r="C46" s="127"/>
      <c r="D46" s="127"/>
      <c r="E46" s="127"/>
      <c r="F46" s="127"/>
      <c r="G46" s="127"/>
      <c r="H46" s="127">
        <v>39</v>
      </c>
      <c r="I46" s="136" t="s">
        <v>47</v>
      </c>
      <c r="J46" s="127"/>
      <c r="K46" s="127"/>
      <c r="L46" s="127"/>
      <c r="M46" s="127"/>
      <c r="N46" s="127"/>
      <c r="O46" s="127"/>
      <c r="P46" s="127"/>
      <c r="Q46" s="127"/>
    </row>
    <row r="47" spans="2:17" x14ac:dyDescent="0.35">
      <c r="B47" s="127"/>
      <c r="C47" s="127"/>
      <c r="D47" s="127"/>
      <c r="E47" s="127"/>
      <c r="F47" s="127"/>
      <c r="G47" s="127"/>
      <c r="H47" s="127">
        <v>40</v>
      </c>
      <c r="I47" s="136" t="s">
        <v>48</v>
      </c>
      <c r="J47" s="127"/>
      <c r="K47" s="127"/>
      <c r="L47" s="127"/>
      <c r="M47" s="127"/>
      <c r="N47" s="127"/>
      <c r="O47" s="127"/>
      <c r="P47" s="127"/>
      <c r="Q47" s="127"/>
    </row>
    <row r="48" spans="2:17" x14ac:dyDescent="0.35">
      <c r="B48" s="127"/>
      <c r="C48" s="127"/>
      <c r="D48" s="127"/>
      <c r="E48" s="127"/>
      <c r="F48" s="127"/>
      <c r="G48" s="127"/>
      <c r="H48" s="127">
        <v>41</v>
      </c>
      <c r="I48" s="136" t="s">
        <v>49</v>
      </c>
      <c r="J48" s="127"/>
      <c r="K48" s="127"/>
      <c r="L48" s="127"/>
      <c r="M48" s="127"/>
      <c r="N48" s="127"/>
      <c r="O48" s="127"/>
      <c r="P48" s="127"/>
      <c r="Q48" s="127"/>
    </row>
    <row r="49" spans="2:17" x14ac:dyDescent="0.35">
      <c r="B49" s="127"/>
      <c r="C49" s="127"/>
      <c r="D49" s="127"/>
      <c r="E49" s="127"/>
      <c r="F49" s="127"/>
      <c r="G49" s="127"/>
      <c r="H49" s="127">
        <v>42</v>
      </c>
      <c r="I49" s="136" t="s">
        <v>50</v>
      </c>
      <c r="J49" s="127"/>
      <c r="K49" s="127"/>
      <c r="L49" s="127"/>
      <c r="M49" s="127"/>
      <c r="N49" s="127"/>
      <c r="O49" s="127"/>
      <c r="P49" s="127"/>
      <c r="Q49" s="127"/>
    </row>
    <row r="50" spans="2:17" x14ac:dyDescent="0.35">
      <c r="B50" s="127"/>
      <c r="C50" s="127"/>
      <c r="D50" s="127"/>
      <c r="E50" s="127"/>
      <c r="F50" s="127"/>
      <c r="G50" s="127"/>
      <c r="H50" s="127">
        <v>43</v>
      </c>
      <c r="I50" s="136" t="s">
        <v>51</v>
      </c>
      <c r="J50" s="127"/>
      <c r="K50" s="127"/>
      <c r="L50" s="127"/>
      <c r="M50" s="127"/>
      <c r="N50" s="127"/>
      <c r="O50" s="127"/>
      <c r="P50" s="127"/>
      <c r="Q50" s="127"/>
    </row>
    <row r="51" spans="2:17" x14ac:dyDescent="0.35">
      <c r="B51" s="127"/>
      <c r="C51" s="127"/>
      <c r="D51" s="127"/>
      <c r="E51" s="127"/>
      <c r="F51" s="127"/>
      <c r="G51" s="127"/>
      <c r="H51" s="127">
        <v>44</v>
      </c>
      <c r="I51" s="136" t="s">
        <v>52</v>
      </c>
      <c r="J51" s="127"/>
      <c r="K51" s="127"/>
      <c r="L51" s="127"/>
      <c r="M51" s="127"/>
      <c r="N51" s="127"/>
      <c r="O51" s="127"/>
      <c r="P51" s="127"/>
      <c r="Q51" s="127"/>
    </row>
    <row r="52" spans="2:17" x14ac:dyDescent="0.35">
      <c r="B52" s="127"/>
      <c r="C52" s="127"/>
      <c r="D52" s="127"/>
      <c r="E52" s="127"/>
      <c r="F52" s="127"/>
      <c r="G52" s="127"/>
      <c r="H52" s="127">
        <v>45</v>
      </c>
      <c r="I52" s="136" t="s">
        <v>115</v>
      </c>
      <c r="J52" s="127"/>
      <c r="K52" s="127"/>
      <c r="L52" s="127"/>
      <c r="M52" s="127"/>
      <c r="N52" s="127"/>
      <c r="O52" s="127"/>
      <c r="P52" s="127"/>
      <c r="Q52" s="127"/>
    </row>
    <row r="53" spans="2:17" x14ac:dyDescent="0.35">
      <c r="B53" s="127"/>
      <c r="C53" s="127"/>
      <c r="D53" s="127"/>
      <c r="E53" s="127"/>
      <c r="F53" s="127"/>
      <c r="G53" s="127"/>
      <c r="H53" s="127">
        <v>46</v>
      </c>
      <c r="I53" s="136" t="s">
        <v>37</v>
      </c>
      <c r="J53" s="127"/>
      <c r="K53" s="127"/>
      <c r="L53" s="127"/>
      <c r="M53" s="127"/>
      <c r="N53" s="127"/>
      <c r="O53" s="127"/>
      <c r="P53" s="127"/>
      <c r="Q53" s="127"/>
    </row>
  </sheetData>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6"/>
  <dimension ref="A1:AI82"/>
  <sheetViews>
    <sheetView zoomScaleNormal="100" workbookViewId="0">
      <selection activeCell="A4" sqref="A4:H4"/>
    </sheetView>
  </sheetViews>
  <sheetFormatPr defaultColWidth="9.1796875" defaultRowHeight="14.5" x14ac:dyDescent="0.35"/>
  <cols>
    <col min="1" max="1" width="50.7265625" style="4" customWidth="1"/>
    <col min="2" max="9" width="10.7265625" style="4" customWidth="1"/>
    <col min="10" max="10" width="9.1796875" style="4" customWidth="1"/>
    <col min="11" max="12" width="0" style="4" hidden="1" customWidth="1"/>
    <col min="13" max="13" width="9.1796875" style="4" customWidth="1"/>
    <col min="14" max="14" width="10" style="4" bestFit="1" customWidth="1"/>
    <col min="15" max="15" width="11.81640625" style="4" customWidth="1"/>
    <col min="16" max="20" width="9.1796875" style="4"/>
    <col min="21" max="21" width="11" style="4" customWidth="1"/>
    <col min="22" max="16384" width="9.1796875" style="4"/>
  </cols>
  <sheetData>
    <row r="1" spans="1:35" s="3" customFormat="1" ht="37.5" customHeight="1" x14ac:dyDescent="0.5">
      <c r="A1" s="156"/>
      <c r="B1" s="156"/>
      <c r="C1" s="156"/>
      <c r="D1" s="156"/>
      <c r="E1" s="156"/>
      <c r="F1" s="156"/>
      <c r="G1" s="156"/>
      <c r="H1" s="156"/>
      <c r="I1" s="156"/>
      <c r="J1" s="1"/>
      <c r="K1" s="1"/>
      <c r="L1" s="2"/>
      <c r="M1" s="2"/>
    </row>
    <row r="2" spans="1:35" s="5" customFormat="1" ht="15" customHeight="1" x14ac:dyDescent="0.35">
      <c r="A2" s="4"/>
      <c r="B2" s="4"/>
      <c r="C2" s="4"/>
      <c r="D2" s="4"/>
      <c r="E2" s="4"/>
      <c r="F2" s="4"/>
      <c r="G2" s="4"/>
      <c r="H2" s="4"/>
      <c r="I2" s="4"/>
      <c r="J2" s="4"/>
      <c r="K2" s="4"/>
      <c r="L2" s="4"/>
      <c r="M2" s="4"/>
    </row>
    <row r="3" spans="1:35" s="5" customFormat="1" ht="15" customHeight="1" x14ac:dyDescent="0.35">
      <c r="A3" s="31"/>
      <c r="B3" s="32"/>
      <c r="C3" s="32"/>
      <c r="D3" s="32"/>
      <c r="E3" s="32"/>
      <c r="F3" s="32"/>
      <c r="G3" s="32"/>
      <c r="H3" s="32"/>
      <c r="I3" s="4"/>
      <c r="J3" s="4"/>
      <c r="K3" s="4"/>
      <c r="L3" s="4"/>
      <c r="M3" s="4"/>
    </row>
    <row r="4" spans="1:35" s="5" customFormat="1" ht="15" customHeight="1" x14ac:dyDescent="0.35">
      <c r="A4" s="158">
        <f>FIRE1102a!A4</f>
        <v>2019</v>
      </c>
      <c r="B4" s="158"/>
      <c r="C4" s="158"/>
      <c r="D4" s="158"/>
      <c r="E4" s="158"/>
      <c r="F4" s="158"/>
      <c r="G4" s="158"/>
      <c r="H4" s="158"/>
      <c r="I4" s="4"/>
      <c r="J4" s="4"/>
      <c r="K4" s="4"/>
      <c r="L4" s="4"/>
      <c r="M4" s="4"/>
      <c r="N4" s="4"/>
    </row>
    <row r="5" spans="1:35" s="5" customFormat="1" ht="15" thickBot="1" x14ac:dyDescent="0.4">
      <c r="A5" s="4"/>
      <c r="B5" s="157"/>
      <c r="C5" s="157"/>
      <c r="D5" s="157"/>
      <c r="E5" s="157"/>
      <c r="F5" s="157"/>
      <c r="G5" s="157"/>
      <c r="H5" s="47"/>
      <c r="I5" s="30"/>
      <c r="J5" s="4"/>
      <c r="K5" s="4"/>
      <c r="L5" s="6"/>
      <c r="M5" s="6"/>
      <c r="O5" s="6"/>
      <c r="P5" s="6"/>
      <c r="R5" s="6"/>
      <c r="S5" s="6"/>
      <c r="T5" s="6"/>
      <c r="U5" s="6"/>
      <c r="V5" s="6"/>
      <c r="Y5" s="7"/>
    </row>
    <row r="6" spans="1:35" s="9" customFormat="1" ht="29.5" thickBot="1" x14ac:dyDescent="0.4">
      <c r="A6" s="8" t="s">
        <v>61</v>
      </c>
      <c r="B6" s="64" t="s">
        <v>72</v>
      </c>
      <c r="C6" s="64" t="s">
        <v>73</v>
      </c>
      <c r="D6" s="64" t="s">
        <v>74</v>
      </c>
      <c r="E6" s="64" t="s">
        <v>75</v>
      </c>
      <c r="F6" s="64" t="s">
        <v>76</v>
      </c>
      <c r="G6" s="64" t="s">
        <v>77</v>
      </c>
      <c r="H6" s="64" t="s">
        <v>78</v>
      </c>
      <c r="I6" s="66" t="s">
        <v>1</v>
      </c>
      <c r="N6" s="4"/>
    </row>
    <row r="7" spans="1:35" s="5" customFormat="1" ht="15" customHeight="1" x14ac:dyDescent="0.35">
      <c r="A7" s="34" t="s">
        <v>0</v>
      </c>
      <c r="B7" s="14">
        <f ca="1">INDIRECT("'("&amp;$A$4&amp;"a)'!C3")</f>
        <v>121</v>
      </c>
      <c r="C7" s="14">
        <f ca="1">INDIRECT("'("&amp;$A$4&amp;"a)'!d3")</f>
        <v>172</v>
      </c>
      <c r="D7" s="14">
        <f ca="1">INDIRECT("'("&amp;$A$4&amp;"a)'!e3")</f>
        <v>467.91</v>
      </c>
      <c r="E7" s="14">
        <f ca="1">INDIRECT("'("&amp;$A$4&amp;"a)'!f3")</f>
        <v>1222.5999999999999</v>
      </c>
      <c r="F7" s="14">
        <f ca="1">INDIRECT("'("&amp;$A$4&amp;"a)'!g3")</f>
        <v>3635.0699999999997</v>
      </c>
      <c r="G7" s="14">
        <f ca="1">INDIRECT("'("&amp;$A$4&amp;"a)'!h3")</f>
        <v>3329.34</v>
      </c>
      <c r="H7" s="14">
        <f ca="1">INDIRECT("'("&amp;$A$4&amp;"a)'!i3")</f>
        <v>13722.525</v>
      </c>
      <c r="I7" s="14">
        <f ca="1">INDIRECT("'("&amp;$A$4&amp;"a)'!j3")</f>
        <v>22670.445</v>
      </c>
      <c r="J7" s="4"/>
      <c r="K7" s="4"/>
      <c r="L7" s="10"/>
      <c r="M7" s="10"/>
      <c r="O7" s="10"/>
      <c r="P7" s="10"/>
      <c r="R7" s="10"/>
      <c r="S7" s="10"/>
      <c r="T7" s="10"/>
      <c r="U7" s="10"/>
      <c r="V7" s="10"/>
      <c r="X7" s="11"/>
      <c r="Y7" s="11"/>
      <c r="Z7" s="11"/>
      <c r="AA7" s="11"/>
      <c r="AB7" s="11"/>
      <c r="AC7" s="11"/>
      <c r="AD7" s="11"/>
      <c r="AE7" s="11"/>
      <c r="AF7" s="11"/>
      <c r="AG7" s="11"/>
      <c r="AH7" s="11"/>
      <c r="AI7" s="12"/>
    </row>
    <row r="8" spans="1:35" s="5" customFormat="1" ht="15" customHeight="1" x14ac:dyDescent="0.35">
      <c r="A8" s="35" t="s">
        <v>6</v>
      </c>
      <c r="B8" s="14">
        <f ca="1">INDIRECT("'("&amp;$A$4&amp;"a)'!C4")</f>
        <v>100</v>
      </c>
      <c r="C8" s="14">
        <f ca="1">INDIRECT("'("&amp;$A$4&amp;"a)'!d4")</f>
        <v>119</v>
      </c>
      <c r="D8" s="14">
        <f ca="1">INDIRECT("'("&amp;$A$4&amp;"a)'!e4")</f>
        <v>329.91</v>
      </c>
      <c r="E8" s="14">
        <f ca="1">INDIRECT("'("&amp;$A$4&amp;"a)'!f4")</f>
        <v>846.6</v>
      </c>
      <c r="F8" s="14">
        <f ca="1">INDIRECT("'("&amp;$A$4&amp;"a)'!g4")</f>
        <v>2030.71</v>
      </c>
      <c r="G8" s="14">
        <f ca="1">INDIRECT("'("&amp;$A$4&amp;"a)'!h4")</f>
        <v>1990.63</v>
      </c>
      <c r="H8" s="14">
        <f ca="1">INDIRECT("'("&amp;$A$4&amp;"a)'!i4")</f>
        <v>7106.494999999999</v>
      </c>
      <c r="I8" s="14">
        <f ca="1">INDIRECT("'("&amp;$A$4&amp;"a)'!j4")</f>
        <v>12523.344999999999</v>
      </c>
      <c r="J8" s="4"/>
      <c r="L8" s="10"/>
      <c r="M8" s="10"/>
      <c r="O8" s="10"/>
      <c r="P8" s="10"/>
      <c r="R8" s="12"/>
      <c r="S8" s="12"/>
      <c r="T8" s="12"/>
      <c r="U8" s="12"/>
      <c r="V8" s="12"/>
      <c r="X8" s="11"/>
      <c r="Y8" s="11"/>
      <c r="Z8" s="11"/>
      <c r="AA8" s="11"/>
      <c r="AB8" s="11"/>
      <c r="AC8" s="11"/>
      <c r="AD8" s="11"/>
      <c r="AE8" s="11"/>
      <c r="AF8" s="11"/>
      <c r="AG8" s="11"/>
      <c r="AH8" s="11"/>
    </row>
    <row r="9" spans="1:35" s="5" customFormat="1" ht="15" customHeight="1" x14ac:dyDescent="0.35">
      <c r="A9" s="4" t="s">
        <v>7</v>
      </c>
      <c r="B9" s="13">
        <f ca="1">INDIRECT("'("&amp;$A$4&amp;"a)'!C5")</f>
        <v>4</v>
      </c>
      <c r="C9" s="13">
        <f ca="1">INDIRECT("'("&amp;$A$4&amp;"a)'!d5")</f>
        <v>4</v>
      </c>
      <c r="D9" s="13">
        <f ca="1">INDIRECT("'("&amp;$A$4&amp;"a)'!e5")</f>
        <v>7</v>
      </c>
      <c r="E9" s="13">
        <f ca="1">INDIRECT("'("&amp;$A$4&amp;"a)'!f5")</f>
        <v>19</v>
      </c>
      <c r="F9" s="13">
        <f ca="1">INDIRECT("'("&amp;$A$4&amp;"a)'!g5")</f>
        <v>76.02</v>
      </c>
      <c r="G9" s="13">
        <f ca="1">INDIRECT("'("&amp;$A$4&amp;"a)'!h5")</f>
        <v>60.5</v>
      </c>
      <c r="H9" s="13">
        <f ca="1">INDIRECT("'("&amp;$A$4&amp;"a)'!i5")</f>
        <v>295.41000000000003</v>
      </c>
      <c r="I9" s="14">
        <f ca="1">INDIRECT("'("&amp;$A$4&amp;"a)'!j5")</f>
        <v>465.93</v>
      </c>
      <c r="J9" s="4"/>
      <c r="L9" s="10"/>
      <c r="M9" s="10"/>
      <c r="O9" s="10"/>
      <c r="P9" s="10"/>
      <c r="R9" s="12"/>
      <c r="S9" s="12"/>
      <c r="T9" s="12"/>
      <c r="U9" s="12"/>
      <c r="V9" s="12"/>
      <c r="X9" s="11"/>
      <c r="Y9" s="11"/>
      <c r="Z9" s="11"/>
      <c r="AA9" s="11"/>
      <c r="AB9" s="11"/>
      <c r="AC9" s="11"/>
      <c r="AD9" s="11"/>
      <c r="AE9" s="11"/>
      <c r="AF9" s="11"/>
      <c r="AG9" s="11"/>
      <c r="AH9" s="11"/>
    </row>
    <row r="10" spans="1:35" s="5" customFormat="1" ht="15" customHeight="1" x14ac:dyDescent="0.35">
      <c r="A10" s="4" t="s">
        <v>8</v>
      </c>
      <c r="B10" s="13">
        <f ca="1">INDIRECT("'("&amp;$A$4&amp;"a)'!C6")</f>
        <v>2</v>
      </c>
      <c r="C10" s="13">
        <f ca="1">INDIRECT("'("&amp;$A$4&amp;"a)'!d6")</f>
        <v>4</v>
      </c>
      <c r="D10" s="13">
        <f ca="1">INDIRECT("'("&amp;$A$4&amp;"a)'!e6")</f>
        <v>10</v>
      </c>
      <c r="E10" s="13">
        <f ca="1">INDIRECT("'("&amp;$A$4&amp;"a)'!f6")</f>
        <v>13</v>
      </c>
      <c r="F10" s="13">
        <f ca="1">INDIRECT("'("&amp;$A$4&amp;"a)'!g6")</f>
        <v>37</v>
      </c>
      <c r="G10" s="13">
        <f ca="1">INDIRECT("'("&amp;$A$4&amp;"a)'!h6")</f>
        <v>45</v>
      </c>
      <c r="H10" s="13">
        <f ca="1">INDIRECT("'("&amp;$A$4&amp;"a)'!i6")</f>
        <v>170</v>
      </c>
      <c r="I10" s="14">
        <f ca="1">INDIRECT("'("&amp;$A$4&amp;"a)'!j6")</f>
        <v>281</v>
      </c>
      <c r="J10" s="4"/>
      <c r="L10" s="10"/>
      <c r="M10" s="10"/>
      <c r="O10" s="10"/>
      <c r="P10" s="10"/>
      <c r="R10" s="12"/>
      <c r="S10" s="12"/>
      <c r="T10" s="12"/>
      <c r="U10" s="12"/>
      <c r="V10" s="12"/>
      <c r="X10" s="11"/>
      <c r="Y10" s="11"/>
      <c r="Z10" s="11"/>
      <c r="AA10" s="11"/>
      <c r="AB10" s="11"/>
      <c r="AC10" s="11"/>
      <c r="AD10" s="11"/>
      <c r="AE10" s="11"/>
      <c r="AF10" s="11"/>
      <c r="AG10" s="11"/>
      <c r="AH10" s="11"/>
    </row>
    <row r="11" spans="1:35" s="5" customFormat="1" ht="15" customHeight="1" x14ac:dyDescent="0.35">
      <c r="A11" s="4" t="s">
        <v>9</v>
      </c>
      <c r="B11" s="13">
        <f ca="1">INDIRECT("'("&amp;$A$4&amp;"a)'!C7")</f>
        <v>3</v>
      </c>
      <c r="C11" s="13">
        <f ca="1">INDIRECT("'("&amp;$A$4&amp;"a)'!d7")</f>
        <v>2</v>
      </c>
      <c r="D11" s="13">
        <f ca="1">INDIRECT("'("&amp;$A$4&amp;"a)'!e7")</f>
        <v>6</v>
      </c>
      <c r="E11" s="13">
        <f ca="1">INDIRECT("'("&amp;$A$4&amp;"a)'!f7")</f>
        <v>17</v>
      </c>
      <c r="F11" s="13">
        <f ca="1">INDIRECT("'("&amp;$A$4&amp;"a)'!g7")</f>
        <v>54</v>
      </c>
      <c r="G11" s="13">
        <f ca="1">INDIRECT("'("&amp;$A$4&amp;"a)'!h7")</f>
        <v>61</v>
      </c>
      <c r="H11" s="13">
        <f ca="1">INDIRECT("'("&amp;$A$4&amp;"a)'!i7")</f>
        <v>223</v>
      </c>
      <c r="I11" s="14">
        <f ca="1">INDIRECT("'("&amp;$A$4&amp;"a)'!j7")</f>
        <v>366</v>
      </c>
      <c r="J11" s="4"/>
      <c r="L11" s="10"/>
      <c r="M11" s="10"/>
      <c r="O11" s="10"/>
      <c r="P11" s="10"/>
      <c r="R11" s="12"/>
      <c r="S11" s="12"/>
      <c r="T11" s="12"/>
      <c r="U11" s="12"/>
      <c r="V11" s="12"/>
      <c r="X11" s="11"/>
      <c r="Y11" s="11"/>
      <c r="Z11" s="11"/>
      <c r="AA11" s="11"/>
      <c r="AB11" s="11"/>
      <c r="AC11" s="11"/>
      <c r="AD11" s="11"/>
      <c r="AE11" s="11"/>
      <c r="AF11" s="11"/>
      <c r="AG11" s="11"/>
      <c r="AH11" s="11"/>
    </row>
    <row r="12" spans="1:35" s="5" customFormat="1" ht="15" customHeight="1" x14ac:dyDescent="0.35">
      <c r="A12" s="4" t="s">
        <v>10</v>
      </c>
      <c r="B12" s="13">
        <f ca="1">INDIRECT("'("&amp;$A$4&amp;"a)'!C8")</f>
        <v>2</v>
      </c>
      <c r="C12" s="13">
        <f ca="1">INDIRECT("'("&amp;$A$4&amp;"a)'!d8")</f>
        <v>2</v>
      </c>
      <c r="D12" s="13">
        <f ca="1">INDIRECT("'("&amp;$A$4&amp;"a)'!e8")</f>
        <v>6</v>
      </c>
      <c r="E12" s="13">
        <f ca="1">INDIRECT("'("&amp;$A$4&amp;"a)'!f8")</f>
        <v>22</v>
      </c>
      <c r="F12" s="13">
        <f ca="1">INDIRECT("'("&amp;$A$4&amp;"a)'!g8")</f>
        <v>34</v>
      </c>
      <c r="G12" s="13">
        <f ca="1">INDIRECT("'("&amp;$A$4&amp;"a)'!h8")</f>
        <v>41</v>
      </c>
      <c r="H12" s="13">
        <f ca="1">INDIRECT("'("&amp;$A$4&amp;"a)'!i8")</f>
        <v>129</v>
      </c>
      <c r="I12" s="14">
        <f ca="1">INDIRECT("'("&amp;$A$4&amp;"a)'!j8")</f>
        <v>236</v>
      </c>
      <c r="J12" s="4"/>
      <c r="L12" s="10"/>
      <c r="M12" s="10"/>
      <c r="O12" s="10"/>
      <c r="P12" s="10"/>
      <c r="R12" s="12"/>
      <c r="S12" s="12"/>
      <c r="T12" s="12"/>
      <c r="U12" s="12"/>
      <c r="V12" s="12"/>
      <c r="X12" s="11"/>
      <c r="Y12" s="11"/>
      <c r="Z12" s="11"/>
      <c r="AA12" s="11"/>
      <c r="AB12" s="11"/>
      <c r="AC12" s="11"/>
      <c r="AD12" s="11"/>
      <c r="AE12" s="11"/>
      <c r="AF12" s="11"/>
      <c r="AG12" s="11"/>
      <c r="AH12" s="11"/>
    </row>
    <row r="13" spans="1:35" s="5" customFormat="1" ht="15" customHeight="1" x14ac:dyDescent="0.35">
      <c r="A13" s="4" t="s">
        <v>11</v>
      </c>
      <c r="B13" s="13">
        <f ca="1">INDIRECT("'("&amp;$A$4&amp;"a)'!C9")</f>
        <v>2</v>
      </c>
      <c r="C13" s="13">
        <f ca="1">INDIRECT("'("&amp;$A$4&amp;"a)'!d9")</f>
        <v>3</v>
      </c>
      <c r="D13" s="13">
        <f ca="1">INDIRECT("'("&amp;$A$4&amp;"a)'!e9")</f>
        <v>10</v>
      </c>
      <c r="E13" s="13">
        <f ca="1">INDIRECT("'("&amp;$A$4&amp;"a)'!f9")</f>
        <v>25</v>
      </c>
      <c r="F13" s="13">
        <f ca="1">INDIRECT("'("&amp;$A$4&amp;"a)'!g9")</f>
        <v>49</v>
      </c>
      <c r="G13" s="13">
        <f ca="1">INDIRECT("'("&amp;$A$4&amp;"a)'!h9")</f>
        <v>27</v>
      </c>
      <c r="H13" s="13">
        <f ca="1">INDIRECT("'("&amp;$A$4&amp;"a)'!i9")</f>
        <v>136.5</v>
      </c>
      <c r="I13" s="14">
        <f ca="1">INDIRECT("'("&amp;$A$4&amp;"a)'!j9")</f>
        <v>252.5</v>
      </c>
      <c r="J13" s="4"/>
      <c r="L13" s="10"/>
      <c r="M13" s="10"/>
      <c r="O13" s="10"/>
      <c r="P13" s="10"/>
      <c r="R13" s="12"/>
      <c r="S13" s="12"/>
      <c r="T13" s="12"/>
      <c r="U13" s="12"/>
      <c r="V13" s="12"/>
      <c r="X13" s="11"/>
      <c r="Y13" s="11"/>
      <c r="Z13" s="11"/>
      <c r="AA13" s="11"/>
      <c r="AB13" s="11"/>
      <c r="AC13" s="11"/>
      <c r="AD13" s="11"/>
      <c r="AE13" s="11"/>
      <c r="AF13" s="11"/>
      <c r="AG13" s="11"/>
      <c r="AH13" s="11"/>
    </row>
    <row r="14" spans="1:35" s="5" customFormat="1" ht="15" customHeight="1" x14ac:dyDescent="0.35">
      <c r="A14" s="4" t="s">
        <v>12</v>
      </c>
      <c r="B14" s="13">
        <f ca="1">INDIRECT("'("&amp;$A$4&amp;"a)'!C10")</f>
        <v>3</v>
      </c>
      <c r="C14" s="13">
        <f ca="1">INDIRECT("'("&amp;$A$4&amp;"a)'!d10")</f>
        <v>3</v>
      </c>
      <c r="D14" s="13">
        <f ca="1">INDIRECT("'("&amp;$A$4&amp;"a)'!e10")</f>
        <v>7</v>
      </c>
      <c r="E14" s="13">
        <f ca="1">INDIRECT("'("&amp;$A$4&amp;"a)'!f10")</f>
        <v>25</v>
      </c>
      <c r="F14" s="13">
        <f ca="1">INDIRECT("'("&amp;$A$4&amp;"a)'!g10")</f>
        <v>63</v>
      </c>
      <c r="G14" s="13">
        <f ca="1">INDIRECT("'("&amp;$A$4&amp;"a)'!h10")</f>
        <v>58</v>
      </c>
      <c r="H14" s="13">
        <f ca="1">INDIRECT("'("&amp;$A$4&amp;"a)'!i10")</f>
        <v>255</v>
      </c>
      <c r="I14" s="14">
        <f ca="1">INDIRECT("'("&amp;$A$4&amp;"a)'!j10")</f>
        <v>414</v>
      </c>
      <c r="J14" s="4"/>
      <c r="L14" s="10"/>
      <c r="M14" s="10"/>
      <c r="O14" s="10"/>
      <c r="P14" s="10"/>
      <c r="R14" s="12"/>
      <c r="S14" s="12"/>
      <c r="T14" s="12"/>
      <c r="U14" s="12"/>
      <c r="V14" s="12"/>
      <c r="X14" s="11"/>
      <c r="Y14" s="11"/>
      <c r="Z14" s="11"/>
      <c r="AA14" s="11"/>
      <c r="AB14" s="11"/>
      <c r="AC14" s="11"/>
      <c r="AD14" s="11"/>
      <c r="AE14" s="11"/>
      <c r="AF14" s="11"/>
      <c r="AG14" s="11"/>
      <c r="AH14" s="11"/>
    </row>
    <row r="15" spans="1:35" s="5" customFormat="1" ht="15" customHeight="1" x14ac:dyDescent="0.35">
      <c r="A15" s="4" t="s">
        <v>13</v>
      </c>
      <c r="B15" s="13">
        <f ca="1">INDIRECT("'("&amp;$A$4&amp;"a)'!C11")</f>
        <v>2</v>
      </c>
      <c r="C15" s="13">
        <f ca="1">INDIRECT("'("&amp;$A$4&amp;"a)'!d11")</f>
        <v>2</v>
      </c>
      <c r="D15" s="13">
        <f ca="1">INDIRECT("'("&amp;$A$4&amp;"a)'!e11")</f>
        <v>5</v>
      </c>
      <c r="E15" s="13">
        <f ca="1">INDIRECT("'("&amp;$A$4&amp;"a)'!f11")</f>
        <v>16</v>
      </c>
      <c r="F15" s="13">
        <f ca="1">INDIRECT("'("&amp;$A$4&amp;"a)'!g11")</f>
        <v>49</v>
      </c>
      <c r="G15" s="13">
        <f ca="1">INDIRECT("'("&amp;$A$4&amp;"a)'!h11")</f>
        <v>53</v>
      </c>
      <c r="H15" s="13">
        <f ca="1">INDIRECT("'("&amp;$A$4&amp;"a)'!i11")</f>
        <v>199</v>
      </c>
      <c r="I15" s="14">
        <f ca="1">INDIRECT("'("&amp;$A$4&amp;"a)'!j11")</f>
        <v>326</v>
      </c>
      <c r="J15" s="4"/>
      <c r="L15" s="10"/>
      <c r="M15" s="10"/>
      <c r="O15" s="10"/>
      <c r="P15" s="10"/>
      <c r="R15" s="12"/>
      <c r="S15" s="12"/>
      <c r="T15" s="12"/>
      <c r="U15" s="12"/>
      <c r="V15" s="12"/>
      <c r="X15" s="11"/>
      <c r="Y15" s="11"/>
      <c r="Z15" s="11"/>
      <c r="AA15" s="11"/>
      <c r="AB15" s="11"/>
      <c r="AC15" s="11"/>
      <c r="AD15" s="11"/>
      <c r="AE15" s="11"/>
      <c r="AF15" s="11"/>
      <c r="AG15" s="11"/>
      <c r="AH15" s="11"/>
    </row>
    <row r="16" spans="1:35" s="5" customFormat="1" ht="15" customHeight="1" x14ac:dyDescent="0.35">
      <c r="A16" s="4" t="s">
        <v>14</v>
      </c>
      <c r="B16" s="13">
        <f ca="1">INDIRECT("'("&amp;$A$4&amp;"a)'!C12")</f>
        <v>2</v>
      </c>
      <c r="C16" s="13">
        <f ca="1">INDIRECT("'("&amp;$A$4&amp;"a)'!d12")</f>
        <v>4</v>
      </c>
      <c r="D16" s="13">
        <f ca="1">INDIRECT("'("&amp;$A$4&amp;"a)'!e12")</f>
        <v>5</v>
      </c>
      <c r="E16" s="13">
        <f ca="1">INDIRECT("'("&amp;$A$4&amp;"a)'!f12")</f>
        <v>17</v>
      </c>
      <c r="F16" s="13">
        <f ca="1">INDIRECT("'("&amp;$A$4&amp;"a)'!g12")</f>
        <v>37.5</v>
      </c>
      <c r="G16" s="13">
        <f ca="1">INDIRECT("'("&amp;$A$4&amp;"a)'!h12")</f>
        <v>20</v>
      </c>
      <c r="H16" s="13">
        <f ca="1">INDIRECT("'("&amp;$A$4&amp;"a)'!i12")</f>
        <v>105</v>
      </c>
      <c r="I16" s="14">
        <f ca="1">INDIRECT("'("&amp;$A$4&amp;"a)'!j12")</f>
        <v>190.5</v>
      </c>
      <c r="J16" s="4"/>
      <c r="L16" s="10"/>
      <c r="M16" s="10"/>
      <c r="O16" s="10"/>
      <c r="P16" s="10"/>
      <c r="R16" s="12"/>
      <c r="S16" s="12"/>
      <c r="T16" s="12"/>
      <c r="U16" s="12"/>
      <c r="V16" s="12"/>
      <c r="X16" s="11"/>
      <c r="Y16" s="11"/>
      <c r="Z16" s="11"/>
      <c r="AA16" s="11"/>
      <c r="AB16" s="11"/>
      <c r="AC16" s="11"/>
      <c r="AD16" s="11"/>
      <c r="AE16" s="11"/>
      <c r="AF16" s="11"/>
      <c r="AG16" s="11"/>
      <c r="AH16" s="11"/>
    </row>
    <row r="17" spans="1:34" s="5" customFormat="1" ht="15" customHeight="1" x14ac:dyDescent="0.35">
      <c r="A17" s="4" t="s">
        <v>15</v>
      </c>
      <c r="B17" s="13">
        <f ca="1">INDIRECT("'("&amp;$A$4&amp;"a)'!C13")</f>
        <v>2</v>
      </c>
      <c r="C17" s="13">
        <f ca="1">INDIRECT("'("&amp;$A$4&amp;"a)'!d13")</f>
        <v>4</v>
      </c>
      <c r="D17" s="13">
        <f ca="1">INDIRECT("'("&amp;$A$4&amp;"a)'!e13")</f>
        <v>10</v>
      </c>
      <c r="E17" s="13">
        <f ca="1">INDIRECT("'("&amp;$A$4&amp;"a)'!f13")</f>
        <v>17</v>
      </c>
      <c r="F17" s="13">
        <f ca="1">INDIRECT("'("&amp;$A$4&amp;"a)'!g13")</f>
        <v>26</v>
      </c>
      <c r="G17" s="13">
        <f ca="1">INDIRECT("'("&amp;$A$4&amp;"a)'!h13")</f>
        <v>25.13</v>
      </c>
      <c r="H17" s="13">
        <f ca="1">INDIRECT("'("&amp;$A$4&amp;"a)'!i13")</f>
        <v>122</v>
      </c>
      <c r="I17" s="14">
        <f ca="1">INDIRECT("'("&amp;$A$4&amp;"a)'!j13")</f>
        <v>206.13</v>
      </c>
      <c r="J17" s="4"/>
      <c r="L17" s="10"/>
      <c r="M17" s="10"/>
      <c r="O17" s="10"/>
      <c r="P17" s="10"/>
      <c r="R17" s="12"/>
      <c r="S17" s="12"/>
      <c r="T17" s="12"/>
      <c r="U17" s="12"/>
      <c r="V17" s="12"/>
      <c r="X17" s="11"/>
      <c r="Y17" s="11"/>
      <c r="Z17" s="11"/>
      <c r="AA17" s="11"/>
      <c r="AB17" s="11"/>
      <c r="AC17" s="11"/>
      <c r="AD17" s="11"/>
      <c r="AE17" s="11"/>
      <c r="AF17" s="11"/>
      <c r="AG17" s="11"/>
      <c r="AH17" s="11"/>
    </row>
    <row r="18" spans="1:34" s="5" customFormat="1" ht="15" customHeight="1" x14ac:dyDescent="0.35">
      <c r="A18" s="19" t="s">
        <v>16</v>
      </c>
      <c r="B18" s="13">
        <f ca="1">INDIRECT("'("&amp;$A$4&amp;"a)'!C14")</f>
        <v>2</v>
      </c>
      <c r="C18" s="13">
        <f ca="1">INDIRECT("'("&amp;$A$4&amp;"a)'!d14")</f>
        <v>3</v>
      </c>
      <c r="D18" s="13">
        <f ca="1">INDIRECT("'("&amp;$A$4&amp;"a)'!e14")</f>
        <v>9</v>
      </c>
      <c r="E18" s="13">
        <f ca="1">INDIRECT("'("&amp;$A$4&amp;"a)'!f14")</f>
        <v>20</v>
      </c>
      <c r="F18" s="13">
        <f ca="1">INDIRECT("'("&amp;$A$4&amp;"a)'!g14")</f>
        <v>58</v>
      </c>
      <c r="G18" s="13">
        <f ca="1">INDIRECT("'("&amp;$A$4&amp;"a)'!h14")</f>
        <v>61</v>
      </c>
      <c r="H18" s="13">
        <f ca="1">INDIRECT("'("&amp;$A$4&amp;"a)'!i14")</f>
        <v>196</v>
      </c>
      <c r="I18" s="14">
        <f ca="1">INDIRECT("'("&amp;$A$4&amp;"a)'!j14")</f>
        <v>349</v>
      </c>
      <c r="J18" s="4"/>
      <c r="L18" s="10"/>
      <c r="M18" s="10"/>
      <c r="O18" s="10"/>
      <c r="P18" s="10"/>
      <c r="R18" s="12"/>
      <c r="S18" s="12"/>
      <c r="T18" s="12"/>
      <c r="U18" s="12"/>
      <c r="V18" s="12"/>
      <c r="X18" s="11"/>
      <c r="Y18" s="11"/>
      <c r="Z18" s="11"/>
      <c r="AA18" s="11"/>
      <c r="AB18" s="11"/>
      <c r="AC18" s="11"/>
      <c r="AD18" s="11"/>
      <c r="AE18" s="11"/>
      <c r="AF18" s="11"/>
      <c r="AG18" s="11"/>
      <c r="AH18" s="11"/>
    </row>
    <row r="19" spans="1:34" s="5" customFormat="1" ht="15" customHeight="1" x14ac:dyDescent="0.35">
      <c r="A19" s="19" t="s">
        <v>17</v>
      </c>
      <c r="B19" s="13">
        <f ca="1">INDIRECT("'("&amp;$A$4&amp;"a)'!C15")</f>
        <v>3</v>
      </c>
      <c r="C19" s="13">
        <f ca="1">INDIRECT("'("&amp;$A$4&amp;"a)'!d15")</f>
        <v>7</v>
      </c>
      <c r="D19" s="13">
        <f ca="1">INDIRECT("'("&amp;$A$4&amp;"a)'!e15")</f>
        <v>26</v>
      </c>
      <c r="E19" s="13">
        <f ca="1">INDIRECT("'("&amp;$A$4&amp;"a)'!f15")</f>
        <v>51.5</v>
      </c>
      <c r="F19" s="13">
        <f ca="1">INDIRECT("'("&amp;$A$4&amp;"a)'!g15")</f>
        <v>110.8</v>
      </c>
      <c r="G19" s="13">
        <f ca="1">INDIRECT("'("&amp;$A$4&amp;"a)'!h15")</f>
        <v>74.5</v>
      </c>
      <c r="H19" s="13">
        <f ca="1">INDIRECT("'("&amp;$A$4&amp;"a)'!i15")</f>
        <v>249.5</v>
      </c>
      <c r="I19" s="14">
        <f ca="1">INDIRECT("'("&amp;$A$4&amp;"a)'!j15")</f>
        <v>522.29999999999995</v>
      </c>
      <c r="J19" s="4"/>
      <c r="L19" s="10"/>
      <c r="M19" s="10"/>
      <c r="O19" s="10"/>
      <c r="P19" s="10"/>
      <c r="R19" s="12"/>
      <c r="S19" s="12"/>
      <c r="T19" s="12"/>
      <c r="U19" s="12"/>
      <c r="V19" s="12"/>
      <c r="X19" s="11"/>
      <c r="Y19" s="11"/>
      <c r="Z19" s="11"/>
      <c r="AA19" s="11"/>
      <c r="AB19" s="11"/>
      <c r="AC19" s="11"/>
      <c r="AD19" s="11"/>
      <c r="AE19" s="11"/>
      <c r="AF19" s="11"/>
      <c r="AG19" s="11"/>
      <c r="AH19" s="11"/>
    </row>
    <row r="20" spans="1:34" s="5" customFormat="1" ht="15" customHeight="1" x14ac:dyDescent="0.35">
      <c r="A20" s="4" t="s">
        <v>18</v>
      </c>
      <c r="B20" s="13">
        <f ca="1">INDIRECT("'("&amp;$A$4&amp;"a)'!C16")</f>
        <v>3</v>
      </c>
      <c r="C20" s="13">
        <f ca="1">INDIRECT("'("&amp;$A$4&amp;"a)'!d16")</f>
        <v>5</v>
      </c>
      <c r="D20" s="13">
        <f ca="1">INDIRECT("'("&amp;$A$4&amp;"a)'!e16")</f>
        <v>10</v>
      </c>
      <c r="E20" s="13">
        <f ca="1">INDIRECT("'("&amp;$A$4&amp;"a)'!f16")</f>
        <v>37</v>
      </c>
      <c r="F20" s="13">
        <f ca="1">INDIRECT("'("&amp;$A$4&amp;"a)'!g16")</f>
        <v>74</v>
      </c>
      <c r="G20" s="13">
        <f ca="1">INDIRECT("'("&amp;$A$4&amp;"a)'!h16")</f>
        <v>67</v>
      </c>
      <c r="H20" s="13">
        <f ca="1">INDIRECT("'("&amp;$A$4&amp;"a)'!i16")</f>
        <v>228</v>
      </c>
      <c r="I20" s="14">
        <f ca="1">INDIRECT("'("&amp;$A$4&amp;"a)'!j16")</f>
        <v>424</v>
      </c>
      <c r="J20" s="4"/>
      <c r="L20" s="10"/>
      <c r="M20" s="10"/>
      <c r="O20" s="10"/>
      <c r="P20" s="10"/>
      <c r="R20" s="12"/>
      <c r="S20" s="12"/>
      <c r="T20" s="12"/>
      <c r="U20" s="12"/>
      <c r="V20" s="12"/>
      <c r="X20" s="11"/>
      <c r="Y20" s="11"/>
      <c r="Z20" s="11"/>
      <c r="AA20" s="11"/>
      <c r="AB20" s="11"/>
      <c r="AC20" s="11"/>
      <c r="AD20" s="11"/>
      <c r="AE20" s="11"/>
      <c r="AF20" s="11"/>
      <c r="AG20" s="11"/>
      <c r="AH20" s="11"/>
    </row>
    <row r="21" spans="1:34" s="5" customFormat="1" ht="15" customHeight="1" x14ac:dyDescent="0.35">
      <c r="A21" s="4" t="s">
        <v>19</v>
      </c>
      <c r="B21" s="13">
        <f ca="1">INDIRECT("'("&amp;$A$4&amp;"a)'!C17")</f>
        <v>3</v>
      </c>
      <c r="C21" s="13">
        <f ca="1">INDIRECT("'("&amp;$A$4&amp;"a)'!d17")</f>
        <v>3</v>
      </c>
      <c r="D21" s="13">
        <f ca="1">INDIRECT("'("&amp;$A$4&amp;"a)'!e17")</f>
        <v>4</v>
      </c>
      <c r="E21" s="13">
        <f ca="1">INDIRECT("'("&amp;$A$4&amp;"a)'!f17")</f>
        <v>23</v>
      </c>
      <c r="F21" s="13">
        <f ca="1">INDIRECT("'("&amp;$A$4&amp;"a)'!g17")</f>
        <v>37</v>
      </c>
      <c r="G21" s="13">
        <f ca="1">INDIRECT("'("&amp;$A$4&amp;"a)'!h17")</f>
        <v>52</v>
      </c>
      <c r="H21" s="13">
        <f ca="1">INDIRECT("'("&amp;$A$4&amp;"a)'!i17")</f>
        <v>173</v>
      </c>
      <c r="I21" s="14">
        <f ca="1">INDIRECT("'("&amp;$A$4&amp;"a)'!j17")</f>
        <v>295</v>
      </c>
      <c r="J21" s="4"/>
      <c r="L21" s="10"/>
      <c r="M21" s="10"/>
      <c r="O21" s="10"/>
      <c r="P21" s="10"/>
      <c r="R21" s="12"/>
      <c r="S21" s="12"/>
      <c r="T21" s="12"/>
      <c r="U21" s="12"/>
      <c r="V21" s="12"/>
      <c r="X21" s="11"/>
      <c r="Y21" s="11"/>
      <c r="Z21" s="11"/>
      <c r="AA21" s="11"/>
      <c r="AB21" s="11"/>
      <c r="AC21" s="11"/>
      <c r="AD21" s="11"/>
      <c r="AE21" s="11"/>
      <c r="AF21" s="11"/>
      <c r="AG21" s="11"/>
      <c r="AH21" s="11"/>
    </row>
    <row r="22" spans="1:34" s="5" customFormat="1" ht="15" customHeight="1" x14ac:dyDescent="0.35">
      <c r="A22" s="4" t="s">
        <v>20</v>
      </c>
      <c r="B22" s="13">
        <f ca="1">INDIRECT("'("&amp;$A$4&amp;"a)'!C18")</f>
        <v>3</v>
      </c>
      <c r="C22" s="13">
        <f ca="1">INDIRECT("'("&amp;$A$4&amp;"a)'!d18")</f>
        <v>3</v>
      </c>
      <c r="D22" s="13">
        <f ca="1">INDIRECT("'("&amp;$A$4&amp;"a)'!e18")</f>
        <v>8</v>
      </c>
      <c r="E22" s="13">
        <f ca="1">INDIRECT("'("&amp;$A$4&amp;"a)'!f18")</f>
        <v>25</v>
      </c>
      <c r="F22" s="13">
        <f ca="1">INDIRECT("'("&amp;$A$4&amp;"a)'!g18")</f>
        <v>55.5</v>
      </c>
      <c r="G22" s="13">
        <f ca="1">INDIRECT("'("&amp;$A$4&amp;"a)'!h18")</f>
        <v>58.5</v>
      </c>
      <c r="H22" s="13">
        <f ca="1">INDIRECT("'("&amp;$A$4&amp;"a)'!i18")</f>
        <v>197.5</v>
      </c>
      <c r="I22" s="14">
        <f ca="1">INDIRECT("'("&amp;$A$4&amp;"a)'!j18")</f>
        <v>350.5</v>
      </c>
      <c r="J22" s="4"/>
      <c r="L22" s="10"/>
      <c r="M22" s="10"/>
      <c r="O22" s="10"/>
      <c r="P22" s="10"/>
      <c r="R22" s="12"/>
      <c r="S22" s="12"/>
      <c r="T22" s="12"/>
      <c r="U22" s="12"/>
      <c r="V22" s="12"/>
      <c r="X22" s="11"/>
      <c r="Y22" s="11"/>
      <c r="Z22" s="11"/>
      <c r="AA22" s="11"/>
      <c r="AB22" s="11"/>
      <c r="AC22" s="11"/>
      <c r="AD22" s="11"/>
      <c r="AE22" s="11"/>
      <c r="AF22" s="11"/>
      <c r="AG22" s="11"/>
      <c r="AH22" s="11"/>
    </row>
    <row r="23" spans="1:34" s="5" customFormat="1" ht="15" customHeight="1" x14ac:dyDescent="0.35">
      <c r="A23" s="4" t="s">
        <v>21</v>
      </c>
      <c r="B23" s="13">
        <f ca="1">INDIRECT("'("&amp;$A$4&amp;"a)'!C19")</f>
        <v>1</v>
      </c>
      <c r="C23" s="13">
        <f ca="1">INDIRECT("'("&amp;$A$4&amp;"a)'!d19")</f>
        <v>4</v>
      </c>
      <c r="D23" s="13">
        <f ca="1">INDIRECT("'("&amp;$A$4&amp;"a)'!e19")</f>
        <v>13</v>
      </c>
      <c r="E23" s="13">
        <f ca="1">INDIRECT("'("&amp;$A$4&amp;"a)'!f19")</f>
        <v>39</v>
      </c>
      <c r="F23" s="13">
        <f ca="1">INDIRECT("'("&amp;$A$4&amp;"a)'!g19")</f>
        <v>118</v>
      </c>
      <c r="G23" s="13">
        <f ca="1">INDIRECT("'("&amp;$A$4&amp;"a)'!h19")</f>
        <v>85</v>
      </c>
      <c r="H23" s="13">
        <f ca="1">INDIRECT("'("&amp;$A$4&amp;"a)'!i19")</f>
        <v>368</v>
      </c>
      <c r="I23" s="14">
        <f ca="1">INDIRECT("'("&amp;$A$4&amp;"a)'!j19")</f>
        <v>628</v>
      </c>
      <c r="J23" s="4"/>
      <c r="L23" s="10"/>
      <c r="M23" s="10"/>
      <c r="O23" s="10"/>
      <c r="P23" s="10"/>
      <c r="R23" s="12"/>
      <c r="S23" s="12"/>
      <c r="T23" s="12"/>
      <c r="U23" s="12"/>
      <c r="V23" s="12"/>
      <c r="X23" s="11"/>
      <c r="Y23" s="11"/>
      <c r="Z23" s="11"/>
      <c r="AA23" s="11"/>
      <c r="AB23" s="11"/>
      <c r="AC23" s="11"/>
      <c r="AD23" s="11"/>
      <c r="AE23" s="11"/>
      <c r="AF23" s="11"/>
      <c r="AG23" s="11"/>
      <c r="AH23" s="11"/>
    </row>
    <row r="24" spans="1:34" s="5" customFormat="1" ht="15" customHeight="1" x14ac:dyDescent="0.35">
      <c r="A24" s="4" t="s">
        <v>22</v>
      </c>
      <c r="B24" s="13">
        <f ca="1">INDIRECT("'("&amp;$A$4&amp;"a)'!C20")</f>
        <v>3</v>
      </c>
      <c r="C24" s="13">
        <f ca="1">INDIRECT("'("&amp;$A$4&amp;"a)'!d20")</f>
        <v>4</v>
      </c>
      <c r="D24" s="13">
        <f ca="1">INDIRECT("'("&amp;$A$4&amp;"a)'!e20")</f>
        <v>6</v>
      </c>
      <c r="E24" s="13">
        <f ca="1">INDIRECT("'("&amp;$A$4&amp;"a)'!f20")</f>
        <v>17</v>
      </c>
      <c r="F24" s="13">
        <f ca="1">INDIRECT("'("&amp;$A$4&amp;"a)'!g20")</f>
        <v>19</v>
      </c>
      <c r="G24" s="13">
        <f ca="1">INDIRECT("'("&amp;$A$4&amp;"a)'!h20")</f>
        <v>32</v>
      </c>
      <c r="H24" s="13">
        <f ca="1">INDIRECT("'("&amp;$A$4&amp;"a)'!i20")</f>
        <v>88.89</v>
      </c>
      <c r="I24" s="14">
        <f ca="1">INDIRECT("'("&amp;$A$4&amp;"a)'!j20")</f>
        <v>169.89</v>
      </c>
      <c r="J24" s="4"/>
      <c r="L24" s="10"/>
      <c r="M24" s="10"/>
      <c r="O24" s="10"/>
      <c r="P24" s="10"/>
      <c r="R24" s="12"/>
      <c r="S24" s="12"/>
      <c r="T24" s="12"/>
      <c r="U24" s="12"/>
      <c r="V24" s="12"/>
      <c r="X24" s="11"/>
      <c r="Y24" s="11"/>
      <c r="Z24" s="11"/>
      <c r="AA24" s="11"/>
      <c r="AB24" s="11"/>
      <c r="AC24" s="11"/>
      <c r="AD24" s="11"/>
      <c r="AE24" s="11"/>
      <c r="AF24" s="11"/>
      <c r="AG24" s="11"/>
      <c r="AH24" s="11"/>
    </row>
    <row r="25" spans="1:34" s="5" customFormat="1" ht="15" customHeight="1" x14ac:dyDescent="0.35">
      <c r="A25" s="4" t="s">
        <v>25</v>
      </c>
      <c r="B25" s="13">
        <f ca="1">INDIRECT("'("&amp;$A$4&amp;"a)'!C21")</f>
        <v>4</v>
      </c>
      <c r="C25" s="13">
        <f ca="1">INDIRECT("'("&amp;$A$4&amp;"a)'!d21")</f>
        <v>5</v>
      </c>
      <c r="D25" s="13">
        <f ca="1">INDIRECT("'("&amp;$A$4&amp;"a)'!e21")</f>
        <v>18</v>
      </c>
      <c r="E25" s="13">
        <f ca="1">INDIRECT("'("&amp;$A$4&amp;"a)'!f21")</f>
        <v>36.5</v>
      </c>
      <c r="F25" s="13">
        <f ca="1">INDIRECT("'("&amp;$A$4&amp;"a)'!g21")</f>
        <v>91</v>
      </c>
      <c r="G25" s="13">
        <f ca="1">INDIRECT("'("&amp;$A$4&amp;"a)'!h21")</f>
        <v>96.5</v>
      </c>
      <c r="H25" s="13">
        <f ca="1">INDIRECT("'("&amp;$A$4&amp;"a)'!i21")</f>
        <v>399.04500000000002</v>
      </c>
      <c r="I25" s="14">
        <f ca="1">INDIRECT("'("&amp;$A$4&amp;"a)'!j21")</f>
        <v>650.04500000000007</v>
      </c>
      <c r="J25" s="4"/>
      <c r="L25" s="10"/>
      <c r="M25" s="10"/>
      <c r="O25" s="10"/>
      <c r="P25" s="10"/>
      <c r="R25" s="12"/>
      <c r="S25" s="12"/>
      <c r="T25" s="12"/>
      <c r="U25" s="12"/>
      <c r="V25" s="12"/>
      <c r="X25" s="11"/>
      <c r="Y25" s="11"/>
      <c r="Z25" s="11"/>
      <c r="AA25" s="11"/>
      <c r="AB25" s="11"/>
      <c r="AC25" s="11"/>
      <c r="AD25" s="11"/>
      <c r="AE25" s="11"/>
      <c r="AF25" s="11"/>
      <c r="AG25" s="11"/>
      <c r="AH25" s="11"/>
    </row>
    <row r="26" spans="1:34" s="5" customFormat="1" ht="15" customHeight="1" x14ac:dyDescent="0.35">
      <c r="A26" s="4" t="s">
        <v>26</v>
      </c>
      <c r="B26" s="13">
        <f ca="1">INDIRECT("'("&amp;$A$4&amp;"a)'!C22")</f>
        <v>3</v>
      </c>
      <c r="C26" s="13">
        <f ca="1">INDIRECT("'("&amp;$A$4&amp;"a)'!d22")</f>
        <v>3</v>
      </c>
      <c r="D26" s="13">
        <f ca="1">INDIRECT("'("&amp;$A$4&amp;"a)'!e22")</f>
        <v>11</v>
      </c>
      <c r="E26" s="13">
        <f ca="1">INDIRECT("'("&amp;$A$4&amp;"a)'!f22")</f>
        <v>17</v>
      </c>
      <c r="F26" s="13">
        <f ca="1">INDIRECT("'("&amp;$A$4&amp;"a)'!g22")</f>
        <v>45</v>
      </c>
      <c r="G26" s="13">
        <f ca="1">INDIRECT("'("&amp;$A$4&amp;"a)'!h22")</f>
        <v>43</v>
      </c>
      <c r="H26" s="13">
        <f ca="1">INDIRECT("'("&amp;$A$4&amp;"a)'!i22")</f>
        <v>102</v>
      </c>
      <c r="I26" s="14">
        <f ca="1">INDIRECT("'("&amp;$A$4&amp;"a)'!j22")</f>
        <v>224</v>
      </c>
      <c r="J26" s="4"/>
      <c r="L26" s="10"/>
      <c r="M26" s="10"/>
      <c r="O26" s="10"/>
      <c r="P26" s="10"/>
      <c r="R26" s="12"/>
      <c r="S26" s="12"/>
      <c r="T26" s="12"/>
      <c r="U26" s="12"/>
      <c r="V26" s="12"/>
      <c r="X26" s="11"/>
      <c r="Y26" s="11"/>
      <c r="Z26" s="11"/>
      <c r="AA26" s="11"/>
      <c r="AB26" s="11"/>
      <c r="AC26" s="11"/>
      <c r="AD26" s="11"/>
      <c r="AE26" s="11"/>
      <c r="AF26" s="11"/>
      <c r="AG26" s="11"/>
      <c r="AH26" s="11"/>
    </row>
    <row r="27" spans="1:34" s="5" customFormat="1" ht="15" customHeight="1" x14ac:dyDescent="0.35">
      <c r="A27" s="4" t="s">
        <v>27</v>
      </c>
      <c r="B27" s="13">
        <f ca="1">INDIRECT("'("&amp;$A$4&amp;"a)'!C23")</f>
        <v>3</v>
      </c>
      <c r="C27" s="13">
        <f ca="1">INDIRECT("'("&amp;$A$4&amp;"a)'!d23")</f>
        <v>4</v>
      </c>
      <c r="D27" s="13">
        <f ca="1">INDIRECT("'("&amp;$A$4&amp;"a)'!e23")</f>
        <v>10</v>
      </c>
      <c r="E27" s="13">
        <f ca="1">INDIRECT("'("&amp;$A$4&amp;"a)'!f23")</f>
        <v>19.600000000000001</v>
      </c>
      <c r="F27" s="13">
        <f ca="1">INDIRECT("'("&amp;$A$4&amp;"a)'!g23")</f>
        <v>74</v>
      </c>
      <c r="G27" s="13">
        <f ca="1">INDIRECT("'("&amp;$A$4&amp;"a)'!h23")</f>
        <v>76</v>
      </c>
      <c r="H27" s="13">
        <f ca="1">INDIRECT("'("&amp;$A$4&amp;"a)'!i23")</f>
        <v>277</v>
      </c>
      <c r="I27" s="14">
        <f ca="1">INDIRECT("'("&amp;$A$4&amp;"a)'!j23")</f>
        <v>463.6</v>
      </c>
      <c r="J27" s="4"/>
      <c r="L27" s="10"/>
      <c r="M27" s="10"/>
      <c r="O27" s="10"/>
      <c r="P27" s="10"/>
      <c r="R27" s="12"/>
      <c r="S27" s="12"/>
      <c r="T27" s="12"/>
      <c r="U27" s="12"/>
      <c r="V27" s="12"/>
      <c r="X27" s="11"/>
      <c r="Y27" s="11"/>
      <c r="Z27" s="11"/>
      <c r="AA27" s="11"/>
      <c r="AB27" s="11"/>
      <c r="AC27" s="11"/>
      <c r="AD27" s="11"/>
      <c r="AE27" s="11"/>
      <c r="AF27" s="11"/>
      <c r="AG27" s="11"/>
      <c r="AH27" s="11"/>
    </row>
    <row r="28" spans="1:34" s="5" customFormat="1" ht="15" customHeight="1" x14ac:dyDescent="0.35">
      <c r="A28" s="4" t="s">
        <v>28</v>
      </c>
      <c r="B28" s="13">
        <f ca="1">INDIRECT("'("&amp;$A$4&amp;"a)'!C24")</f>
        <v>2</v>
      </c>
      <c r="C28" s="13">
        <f ca="1">INDIRECT("'("&amp;$A$4&amp;"a)'!d24")</f>
        <v>3</v>
      </c>
      <c r="D28" s="13">
        <f ca="1">INDIRECT("'("&amp;$A$4&amp;"a)'!e24")</f>
        <v>12</v>
      </c>
      <c r="E28" s="13">
        <f ca="1">INDIRECT("'("&amp;$A$4&amp;"a)'!f24")</f>
        <v>24</v>
      </c>
      <c r="F28" s="13">
        <f ca="1">INDIRECT("'("&amp;$A$4&amp;"a)'!g24")</f>
        <v>76</v>
      </c>
      <c r="G28" s="13">
        <f ca="1">INDIRECT("'("&amp;$A$4&amp;"a)'!h24")</f>
        <v>65</v>
      </c>
      <c r="H28" s="13">
        <f ca="1">INDIRECT("'("&amp;$A$4&amp;"a)'!i24")</f>
        <v>312</v>
      </c>
      <c r="I28" s="14">
        <f ca="1">INDIRECT("'("&amp;$A$4&amp;"a)'!j24")</f>
        <v>494</v>
      </c>
      <c r="J28" s="4"/>
      <c r="L28" s="10"/>
      <c r="M28" s="10"/>
      <c r="O28" s="10"/>
      <c r="P28" s="10"/>
      <c r="R28" s="12"/>
      <c r="S28" s="12"/>
      <c r="T28" s="12"/>
      <c r="U28" s="12"/>
      <c r="V28" s="12"/>
      <c r="X28" s="11"/>
      <c r="Y28" s="11"/>
      <c r="Z28" s="11"/>
      <c r="AA28" s="11"/>
      <c r="AB28" s="11"/>
      <c r="AC28" s="11"/>
      <c r="AD28" s="11"/>
      <c r="AE28" s="11"/>
      <c r="AF28" s="11"/>
      <c r="AG28" s="11"/>
      <c r="AH28" s="11"/>
    </row>
    <row r="29" spans="1:34" s="5" customFormat="1" ht="15" customHeight="1" x14ac:dyDescent="0.35">
      <c r="A29" s="4" t="s">
        <v>29</v>
      </c>
      <c r="B29" s="13">
        <f ca="1">INDIRECT("'("&amp;$A$4&amp;"a)'!C25")</f>
        <v>0</v>
      </c>
      <c r="C29" s="13">
        <f ca="1">INDIRECT("'("&amp;$A$4&amp;"a)'!d25")</f>
        <v>0</v>
      </c>
      <c r="D29" s="13">
        <f ca="1">INDIRECT("'("&amp;$A$4&amp;"a)'!e25")</f>
        <v>2</v>
      </c>
      <c r="E29" s="13">
        <f ca="1">INDIRECT("'("&amp;$A$4&amp;"a)'!f25")</f>
        <v>6</v>
      </c>
      <c r="F29" s="13">
        <f ca="1">INDIRECT("'("&amp;$A$4&amp;"a)'!g25")</f>
        <v>14</v>
      </c>
      <c r="G29" s="13">
        <f ca="1">INDIRECT("'("&amp;$A$4&amp;"a)'!h25")</f>
        <v>7</v>
      </c>
      <c r="H29" s="13">
        <f ca="1">INDIRECT("'("&amp;$A$4&amp;"a)'!i25")</f>
        <v>39</v>
      </c>
      <c r="I29" s="14">
        <f ca="1">INDIRECT("'("&amp;$A$4&amp;"a)'!j25")</f>
        <v>68</v>
      </c>
      <c r="J29" s="4"/>
      <c r="L29" s="10"/>
      <c r="M29" s="10"/>
      <c r="O29" s="10"/>
      <c r="P29" s="10"/>
      <c r="R29" s="12"/>
      <c r="S29" s="12"/>
      <c r="T29" s="12"/>
      <c r="U29" s="12"/>
      <c r="V29" s="12"/>
      <c r="X29" s="11"/>
      <c r="Y29" s="11"/>
      <c r="Z29" s="11"/>
      <c r="AA29" s="11"/>
      <c r="AB29" s="11"/>
      <c r="AC29" s="11"/>
      <c r="AD29" s="11"/>
      <c r="AE29" s="11"/>
      <c r="AF29" s="11"/>
      <c r="AG29" s="11"/>
      <c r="AH29" s="11"/>
    </row>
    <row r="30" spans="1:34" s="5" customFormat="1" ht="15" customHeight="1" x14ac:dyDescent="0.35">
      <c r="A30" s="5" t="s">
        <v>31</v>
      </c>
      <c r="B30" s="13">
        <f ca="1">INDIRECT("'("&amp;$A$4&amp;"a)'!C26")</f>
        <v>4</v>
      </c>
      <c r="C30" s="13">
        <f ca="1">INDIRECT("'("&amp;$A$4&amp;"a)'!d26")</f>
        <v>4</v>
      </c>
      <c r="D30" s="13">
        <f ca="1">INDIRECT("'("&amp;$A$4&amp;"a)'!e26")</f>
        <v>15</v>
      </c>
      <c r="E30" s="13">
        <f ca="1">INDIRECT("'("&amp;$A$4&amp;"a)'!f26")</f>
        <v>49</v>
      </c>
      <c r="F30" s="13">
        <f ca="1">INDIRECT("'("&amp;$A$4&amp;"a)'!g26")</f>
        <v>61</v>
      </c>
      <c r="G30" s="13">
        <f ca="1">INDIRECT("'("&amp;$A$4&amp;"a)'!h26")</f>
        <v>129</v>
      </c>
      <c r="H30" s="13">
        <f ca="1">INDIRECT("'("&amp;$A$4&amp;"a)'!i26")</f>
        <v>396</v>
      </c>
      <c r="I30" s="14">
        <f ca="1">INDIRECT("'("&amp;$A$4&amp;"a)'!j26")</f>
        <v>658</v>
      </c>
      <c r="J30" s="4"/>
      <c r="L30" s="10"/>
      <c r="M30" s="10"/>
      <c r="O30" s="10"/>
      <c r="P30" s="10"/>
      <c r="R30" s="12"/>
      <c r="S30" s="12"/>
      <c r="T30" s="12"/>
      <c r="U30" s="12"/>
      <c r="V30" s="12"/>
      <c r="X30" s="11"/>
      <c r="Y30" s="11"/>
      <c r="Z30" s="11"/>
      <c r="AA30" s="11"/>
      <c r="AB30" s="11"/>
      <c r="AC30" s="11"/>
      <c r="AD30" s="11"/>
      <c r="AE30" s="11"/>
      <c r="AF30" s="11"/>
      <c r="AG30" s="11"/>
      <c r="AH30" s="11"/>
    </row>
    <row r="31" spans="1:34" s="5" customFormat="1" ht="15" customHeight="1" x14ac:dyDescent="0.35">
      <c r="A31" s="5" t="s">
        <v>32</v>
      </c>
      <c r="B31" s="13">
        <f ca="1">INDIRECT("'("&amp;$A$4&amp;"a)'!C27")</f>
        <v>3</v>
      </c>
      <c r="C31" s="13">
        <f ca="1">INDIRECT("'("&amp;$A$4&amp;"a)'!d27")</f>
        <v>4</v>
      </c>
      <c r="D31" s="13">
        <f ca="1">INDIRECT("'("&amp;$A$4&amp;"a)'!e27")</f>
        <v>11</v>
      </c>
      <c r="E31" s="13">
        <f ca="1">INDIRECT("'("&amp;$A$4&amp;"a)'!f27")</f>
        <v>30</v>
      </c>
      <c r="F31" s="13">
        <f ca="1">INDIRECT("'("&amp;$A$4&amp;"a)'!g27")</f>
        <v>88</v>
      </c>
      <c r="G31" s="13">
        <f ca="1">INDIRECT("'("&amp;$A$4&amp;"a)'!h27")</f>
        <v>112</v>
      </c>
      <c r="H31" s="13">
        <f ca="1">INDIRECT("'("&amp;$A$4&amp;"a)'!i27")</f>
        <v>397</v>
      </c>
      <c r="I31" s="14">
        <f ca="1">INDIRECT("'("&amp;$A$4&amp;"a)'!j27")</f>
        <v>645</v>
      </c>
      <c r="J31" s="4"/>
      <c r="L31" s="10"/>
      <c r="M31" s="10"/>
      <c r="O31" s="10"/>
      <c r="P31" s="10"/>
      <c r="R31" s="12"/>
      <c r="S31" s="12"/>
      <c r="T31" s="12"/>
      <c r="U31" s="12"/>
      <c r="V31" s="12"/>
      <c r="X31" s="11"/>
      <c r="Y31" s="11"/>
      <c r="Z31" s="11"/>
      <c r="AA31" s="11"/>
      <c r="AB31" s="11"/>
      <c r="AC31" s="11"/>
      <c r="AD31" s="11"/>
      <c r="AE31" s="11"/>
      <c r="AF31" s="11"/>
      <c r="AG31" s="11"/>
      <c r="AH31" s="11"/>
    </row>
    <row r="32" spans="1:34" s="5" customFormat="1" ht="15" customHeight="1" x14ac:dyDescent="0.35">
      <c r="A32" s="4" t="s">
        <v>33</v>
      </c>
      <c r="B32" s="13">
        <f ca="1">INDIRECT("'("&amp;$A$4&amp;"a)'!C28")</f>
        <v>4</v>
      </c>
      <c r="C32" s="13">
        <f ca="1">INDIRECT("'("&amp;$A$4&amp;"a)'!d28")</f>
        <v>3</v>
      </c>
      <c r="D32" s="13">
        <f ca="1">INDIRECT("'("&amp;$A$4&amp;"a)'!e28")</f>
        <v>5</v>
      </c>
      <c r="E32" s="13">
        <f ca="1">INDIRECT("'("&amp;$A$4&amp;"a)'!f28")</f>
        <v>20</v>
      </c>
      <c r="F32" s="13">
        <f ca="1">INDIRECT("'("&amp;$A$4&amp;"a)'!g28")</f>
        <v>52</v>
      </c>
      <c r="G32" s="13">
        <f ca="1">INDIRECT("'("&amp;$A$4&amp;"a)'!h28")</f>
        <v>63</v>
      </c>
      <c r="H32" s="13">
        <f ca="1">INDIRECT("'("&amp;$A$4&amp;"a)'!i28")</f>
        <v>195.5</v>
      </c>
      <c r="I32" s="14">
        <f ca="1">INDIRECT("'("&amp;$A$4&amp;"a)'!j28")</f>
        <v>342.5</v>
      </c>
      <c r="J32" s="4"/>
      <c r="L32" s="10"/>
      <c r="M32" s="10"/>
      <c r="O32" s="10"/>
      <c r="P32" s="10"/>
      <c r="R32" s="12"/>
      <c r="S32" s="12"/>
      <c r="T32" s="12"/>
      <c r="U32" s="12"/>
      <c r="V32" s="12"/>
      <c r="X32" s="11"/>
      <c r="Y32" s="11"/>
      <c r="Z32" s="11"/>
      <c r="AA32" s="11"/>
      <c r="AB32" s="11"/>
      <c r="AC32" s="11"/>
      <c r="AD32" s="11"/>
      <c r="AE32" s="11"/>
      <c r="AF32" s="11"/>
      <c r="AG32" s="11"/>
      <c r="AH32" s="11"/>
    </row>
    <row r="33" spans="1:34" s="5" customFormat="1" ht="15" customHeight="1" x14ac:dyDescent="0.35">
      <c r="A33" s="5" t="s">
        <v>34</v>
      </c>
      <c r="B33" s="13">
        <f ca="1">INDIRECT("'("&amp;$A$4&amp;"a)'!C29")</f>
        <v>3</v>
      </c>
      <c r="C33" s="13">
        <f ca="1">INDIRECT("'("&amp;$A$4&amp;"a)'!d29")</f>
        <v>3</v>
      </c>
      <c r="D33" s="13">
        <f ca="1">INDIRECT("'("&amp;$A$4&amp;"a)'!e29")</f>
        <v>8</v>
      </c>
      <c r="E33" s="13">
        <f ca="1">INDIRECT("'("&amp;$A$4&amp;"a)'!f29")</f>
        <v>20</v>
      </c>
      <c r="F33" s="13">
        <f ca="1">INDIRECT("'("&amp;$A$4&amp;"a)'!g29")</f>
        <v>37</v>
      </c>
      <c r="G33" s="13">
        <f ca="1">INDIRECT("'("&amp;$A$4&amp;"a)'!h29")</f>
        <v>45</v>
      </c>
      <c r="H33" s="13">
        <f ca="1">INDIRECT("'("&amp;$A$4&amp;"a)'!i29")</f>
        <v>62.71</v>
      </c>
      <c r="I33" s="14">
        <f ca="1">INDIRECT("'("&amp;$A$4&amp;"a)'!j29")</f>
        <v>178.71</v>
      </c>
      <c r="J33" s="4"/>
      <c r="L33" s="10"/>
      <c r="M33" s="10"/>
      <c r="O33" s="10"/>
      <c r="P33" s="10"/>
      <c r="R33" s="12"/>
      <c r="S33" s="12"/>
      <c r="T33" s="12"/>
      <c r="U33" s="12"/>
      <c r="V33" s="12"/>
      <c r="X33" s="11"/>
      <c r="Y33" s="11"/>
      <c r="Z33" s="11"/>
      <c r="AA33" s="11"/>
      <c r="AB33" s="11"/>
      <c r="AC33" s="11"/>
      <c r="AD33" s="11"/>
      <c r="AE33" s="11"/>
      <c r="AF33" s="11"/>
      <c r="AG33" s="11"/>
      <c r="AH33" s="11"/>
    </row>
    <row r="34" spans="1:34" s="5" customFormat="1" ht="15" customHeight="1" x14ac:dyDescent="0.35">
      <c r="A34" s="5" t="s">
        <v>36</v>
      </c>
      <c r="B34" s="13">
        <f ca="1">INDIRECT("'("&amp;$A$4&amp;"a)'!C30")</f>
        <v>4</v>
      </c>
      <c r="C34" s="13">
        <f ca="1">INDIRECT("'("&amp;$A$4&amp;"a)'!d30")</f>
        <v>3</v>
      </c>
      <c r="D34" s="13">
        <f ca="1">INDIRECT("'("&amp;$A$4&amp;"a)'!e30")</f>
        <v>9</v>
      </c>
      <c r="E34" s="13">
        <f ca="1">INDIRECT("'("&amp;$A$4&amp;"a)'!f30")</f>
        <v>25</v>
      </c>
      <c r="F34" s="13">
        <f ca="1">INDIRECT("'("&amp;$A$4&amp;"a)'!g30")</f>
        <v>38</v>
      </c>
      <c r="G34" s="13">
        <f ca="1">INDIRECT("'("&amp;$A$4&amp;"a)'!h30")</f>
        <v>39.5</v>
      </c>
      <c r="H34" s="13">
        <f ca="1">INDIRECT("'("&amp;$A$4&amp;"a)'!i30")</f>
        <v>157</v>
      </c>
      <c r="I34" s="14">
        <f ca="1">INDIRECT("'("&amp;$A$4&amp;"a)'!j30")</f>
        <v>275.5</v>
      </c>
      <c r="J34" s="4"/>
      <c r="L34" s="10"/>
      <c r="M34" s="10"/>
      <c r="O34" s="10"/>
      <c r="P34" s="10"/>
      <c r="R34" s="12"/>
      <c r="S34" s="12"/>
      <c r="T34" s="12"/>
      <c r="U34" s="12"/>
      <c r="V34" s="12"/>
      <c r="X34" s="11"/>
      <c r="Y34" s="11"/>
      <c r="Z34" s="11"/>
      <c r="AA34" s="11"/>
      <c r="AB34" s="11"/>
      <c r="AC34" s="11"/>
      <c r="AD34" s="11"/>
      <c r="AE34" s="11"/>
      <c r="AF34" s="11"/>
      <c r="AG34" s="11"/>
      <c r="AH34" s="11"/>
    </row>
    <row r="35" spans="1:34" s="5" customFormat="1" ht="15" customHeight="1" x14ac:dyDescent="0.35">
      <c r="A35" s="4" t="s">
        <v>37</v>
      </c>
      <c r="B35" s="13">
        <f ca="1">INDIRECT("'("&amp;$A$4&amp;"a)'!C31")</f>
        <v>0</v>
      </c>
      <c r="C35" s="13">
        <f ca="1">INDIRECT("'("&amp;$A$4&amp;"a)'!d31")</f>
        <v>0</v>
      </c>
      <c r="D35" s="13">
        <f ca="1">INDIRECT("'("&amp;$A$4&amp;"a)'!e31")</f>
        <v>0</v>
      </c>
      <c r="E35" s="13">
        <f ca="1">INDIRECT("'("&amp;$A$4&amp;"a)'!f31")</f>
        <v>0</v>
      </c>
      <c r="F35" s="13">
        <f ca="1">INDIRECT("'("&amp;$A$4&amp;"a)'!g31")</f>
        <v>0</v>
      </c>
      <c r="G35" s="13">
        <f ca="1">INDIRECT("'("&amp;$A$4&amp;"a)'!h31")</f>
        <v>0</v>
      </c>
      <c r="H35" s="13">
        <f ca="1">INDIRECT("'("&amp;$A$4&amp;"a)'!i31")</f>
        <v>0</v>
      </c>
      <c r="I35" s="14">
        <f ca="1">INDIRECT("'("&amp;$A$4&amp;"a)'!j31")</f>
        <v>0</v>
      </c>
      <c r="J35" s="4"/>
      <c r="L35" s="10"/>
      <c r="M35" s="10"/>
      <c r="O35" s="10"/>
      <c r="P35" s="10"/>
      <c r="R35" s="12"/>
      <c r="S35" s="12"/>
      <c r="T35" s="12"/>
      <c r="U35" s="12"/>
      <c r="V35" s="12"/>
      <c r="X35" s="11"/>
      <c r="Y35" s="11"/>
      <c r="Z35" s="11"/>
      <c r="AA35" s="11"/>
      <c r="AB35" s="11"/>
      <c r="AC35" s="11"/>
      <c r="AD35" s="11"/>
      <c r="AE35" s="11"/>
      <c r="AF35" s="11"/>
      <c r="AG35" s="11"/>
      <c r="AH35" s="11"/>
    </row>
    <row r="36" spans="1:34" s="5" customFormat="1" ht="15" customHeight="1" x14ac:dyDescent="0.35">
      <c r="A36" s="5" t="s">
        <v>38</v>
      </c>
      <c r="B36" s="13">
        <f ca="1">INDIRECT("'("&amp;$A$4&amp;"a)'!C32")</f>
        <v>2</v>
      </c>
      <c r="C36" s="13">
        <f ca="1">INDIRECT("'("&amp;$A$4&amp;"a)'!d32")</f>
        <v>2</v>
      </c>
      <c r="D36" s="13">
        <f ca="1">INDIRECT("'("&amp;$A$4&amp;"a)'!e32")</f>
        <v>9</v>
      </c>
      <c r="E36" s="13">
        <f ca="1">INDIRECT("'("&amp;$A$4&amp;"a)'!f32")</f>
        <v>16</v>
      </c>
      <c r="F36" s="13">
        <f ca="1">INDIRECT("'("&amp;$A$4&amp;"a)'!g32")</f>
        <v>54</v>
      </c>
      <c r="G36" s="13">
        <f ca="1">INDIRECT("'("&amp;$A$4&amp;"a)'!h32")</f>
        <v>56</v>
      </c>
      <c r="H36" s="13">
        <f ca="1">INDIRECT("'("&amp;$A$4&amp;"a)'!i32")</f>
        <v>158</v>
      </c>
      <c r="I36" s="14">
        <f ca="1">INDIRECT("'("&amp;$A$4&amp;"a)'!j32")</f>
        <v>297</v>
      </c>
      <c r="J36" s="4"/>
      <c r="L36" s="10"/>
      <c r="M36" s="10"/>
      <c r="O36" s="10"/>
      <c r="P36" s="10"/>
      <c r="R36" s="12"/>
      <c r="S36" s="12"/>
      <c r="T36" s="12"/>
      <c r="U36" s="12"/>
      <c r="V36" s="12"/>
      <c r="X36" s="11"/>
      <c r="Y36" s="11"/>
      <c r="Z36" s="11"/>
      <c r="AA36" s="11"/>
      <c r="AB36" s="11"/>
      <c r="AC36" s="11"/>
      <c r="AD36" s="11"/>
      <c r="AE36" s="11"/>
      <c r="AF36" s="11"/>
      <c r="AG36" s="11"/>
      <c r="AH36" s="11"/>
    </row>
    <row r="37" spans="1:34" s="5" customFormat="1" ht="15" customHeight="1" x14ac:dyDescent="0.35">
      <c r="A37" s="5" t="s">
        <v>39</v>
      </c>
      <c r="B37" s="13">
        <f ca="1">INDIRECT("'("&amp;$A$4&amp;"a)'!C33")</f>
        <v>3</v>
      </c>
      <c r="C37" s="13">
        <f ca="1">INDIRECT("'("&amp;$A$4&amp;"a)'!d33")</f>
        <v>2</v>
      </c>
      <c r="D37" s="13">
        <f ca="1">INDIRECT("'("&amp;$A$4&amp;"a)'!e33")</f>
        <v>9.91</v>
      </c>
      <c r="E37" s="13">
        <f ca="1">INDIRECT("'("&amp;$A$4&amp;"a)'!f33")</f>
        <v>21</v>
      </c>
      <c r="F37" s="13">
        <f ca="1">INDIRECT("'("&amp;$A$4&amp;"a)'!g33")</f>
        <v>47</v>
      </c>
      <c r="G37" s="13">
        <f ca="1">INDIRECT("'("&amp;$A$4&amp;"a)'!h33")</f>
        <v>34</v>
      </c>
      <c r="H37" s="13">
        <f ca="1">INDIRECT("'("&amp;$A$4&amp;"a)'!i33")</f>
        <v>116</v>
      </c>
      <c r="I37" s="14">
        <f ca="1">INDIRECT("'("&amp;$A$4&amp;"a)'!j33")</f>
        <v>232.91</v>
      </c>
      <c r="J37" s="4"/>
      <c r="L37" s="10"/>
      <c r="M37" s="10"/>
      <c r="O37" s="10"/>
      <c r="P37" s="10"/>
      <c r="R37" s="12"/>
      <c r="S37" s="12"/>
      <c r="T37" s="12"/>
      <c r="U37" s="12"/>
      <c r="V37" s="12"/>
      <c r="X37" s="11"/>
      <c r="Y37" s="11"/>
      <c r="Z37" s="11"/>
      <c r="AA37" s="11"/>
      <c r="AB37" s="11"/>
      <c r="AC37" s="11"/>
      <c r="AD37" s="11"/>
      <c r="AE37" s="11"/>
      <c r="AF37" s="11"/>
      <c r="AG37" s="11"/>
      <c r="AH37" s="11"/>
    </row>
    <row r="38" spans="1:34" s="5" customFormat="1" ht="15" customHeight="1" x14ac:dyDescent="0.35">
      <c r="A38" s="5" t="s">
        <v>40</v>
      </c>
      <c r="B38" s="13">
        <f ca="1">INDIRECT("'("&amp;$A$4&amp;"a)'!C34")</f>
        <v>2</v>
      </c>
      <c r="C38" s="13">
        <f ca="1">INDIRECT("'("&amp;$A$4&amp;"a)'!d34")</f>
        <v>1</v>
      </c>
      <c r="D38" s="13">
        <f ca="1">INDIRECT("'("&amp;$A$4&amp;"a)'!e34")</f>
        <v>4</v>
      </c>
      <c r="E38" s="13">
        <f ca="1">INDIRECT("'("&amp;$A$4&amp;"a)'!f34")</f>
        <v>14</v>
      </c>
      <c r="F38" s="13">
        <f ca="1">INDIRECT("'("&amp;$A$4&amp;"a)'!g34")</f>
        <v>19</v>
      </c>
      <c r="G38" s="13">
        <f ca="1">INDIRECT("'("&amp;$A$4&amp;"a)'!h34")</f>
        <v>21</v>
      </c>
      <c r="H38" s="13">
        <f ca="1">INDIRECT("'("&amp;$A$4&amp;"a)'!i34")</f>
        <v>73</v>
      </c>
      <c r="I38" s="14">
        <f ca="1">INDIRECT("'("&amp;$A$4&amp;"a)'!j34")</f>
        <v>134</v>
      </c>
      <c r="J38" s="4"/>
      <c r="L38" s="10"/>
      <c r="M38" s="10"/>
      <c r="O38" s="10"/>
      <c r="P38" s="10"/>
      <c r="R38" s="12"/>
      <c r="S38" s="12"/>
      <c r="T38" s="12"/>
      <c r="U38" s="12"/>
      <c r="V38" s="12"/>
      <c r="X38" s="11"/>
      <c r="Y38" s="11"/>
      <c r="Z38" s="11"/>
      <c r="AA38" s="11"/>
      <c r="AB38" s="11"/>
      <c r="AC38" s="11"/>
      <c r="AD38" s="11"/>
      <c r="AE38" s="11"/>
      <c r="AF38" s="11"/>
      <c r="AG38" s="11"/>
      <c r="AH38" s="11"/>
    </row>
    <row r="39" spans="1:34" s="5" customFormat="1" ht="15" customHeight="1" x14ac:dyDescent="0.35">
      <c r="A39" s="4" t="s">
        <v>41</v>
      </c>
      <c r="B39" s="13">
        <f ca="1">INDIRECT("'("&amp;$A$4&amp;"a)'!C35")</f>
        <v>3</v>
      </c>
      <c r="C39" s="13">
        <f ca="1">INDIRECT("'("&amp;$A$4&amp;"a)'!d35")</f>
        <v>4</v>
      </c>
      <c r="D39" s="13">
        <f ca="1">INDIRECT("'("&amp;$A$4&amp;"a)'!e35")</f>
        <v>8</v>
      </c>
      <c r="E39" s="13">
        <f ca="1">INDIRECT("'("&amp;$A$4&amp;"a)'!f35")</f>
        <v>23</v>
      </c>
      <c r="F39" s="13">
        <f ca="1">INDIRECT("'("&amp;$A$4&amp;"a)'!g35")</f>
        <v>77</v>
      </c>
      <c r="G39" s="13">
        <f ca="1">INDIRECT("'("&amp;$A$4&amp;"a)'!h35")</f>
        <v>72</v>
      </c>
      <c r="H39" s="13">
        <f ca="1">INDIRECT("'("&amp;$A$4&amp;"a)'!i35")</f>
        <v>264.08</v>
      </c>
      <c r="I39" s="14">
        <f ca="1">INDIRECT("'("&amp;$A$4&amp;"a)'!j35")</f>
        <v>451.08</v>
      </c>
      <c r="J39" s="4"/>
      <c r="L39" s="10"/>
      <c r="M39" s="10"/>
      <c r="O39" s="10"/>
      <c r="P39" s="10"/>
      <c r="R39" s="12"/>
      <c r="S39" s="12"/>
      <c r="T39" s="12"/>
      <c r="U39" s="12"/>
      <c r="V39" s="12"/>
      <c r="X39" s="11"/>
      <c r="Y39" s="11"/>
      <c r="Z39" s="11"/>
      <c r="AA39" s="11"/>
      <c r="AB39" s="11"/>
      <c r="AC39" s="11"/>
      <c r="AD39" s="11"/>
      <c r="AE39" s="11"/>
      <c r="AF39" s="11"/>
      <c r="AG39" s="11"/>
      <c r="AH39" s="11"/>
    </row>
    <row r="40" spans="1:34" s="5" customFormat="1" ht="15" customHeight="1" x14ac:dyDescent="0.35">
      <c r="A40" s="4" t="s">
        <v>42</v>
      </c>
      <c r="B40" s="13">
        <f ca="1">INDIRECT("'("&amp;$A$4&amp;"a)'!C36")</f>
        <v>3</v>
      </c>
      <c r="C40" s="13">
        <f ca="1">INDIRECT("'("&amp;$A$4&amp;"a)'!d36")</f>
        <v>3</v>
      </c>
      <c r="D40" s="13">
        <f ca="1">INDIRECT("'("&amp;$A$4&amp;"a)'!e36")</f>
        <v>9</v>
      </c>
      <c r="E40" s="13">
        <f ca="1">INDIRECT("'("&amp;$A$4&amp;"a)'!f36")</f>
        <v>25</v>
      </c>
      <c r="F40" s="13">
        <f ca="1">INDIRECT("'("&amp;$A$4&amp;"a)'!g36")</f>
        <v>49</v>
      </c>
      <c r="G40" s="13">
        <f ca="1">INDIRECT("'("&amp;$A$4&amp;"a)'!h36")</f>
        <v>36</v>
      </c>
      <c r="H40" s="13">
        <f ca="1">INDIRECT("'("&amp;$A$4&amp;"a)'!i36")</f>
        <v>110</v>
      </c>
      <c r="I40" s="14">
        <f ca="1">INDIRECT("'("&amp;$A$4&amp;"a)'!j36")</f>
        <v>235</v>
      </c>
      <c r="J40" s="4"/>
      <c r="L40" s="10"/>
      <c r="M40" s="10"/>
      <c r="O40" s="10"/>
      <c r="P40" s="10"/>
      <c r="R40" s="12"/>
      <c r="S40" s="12"/>
      <c r="T40" s="12"/>
      <c r="U40" s="12"/>
      <c r="V40" s="12"/>
      <c r="X40" s="11"/>
      <c r="Y40" s="11"/>
      <c r="Z40" s="11"/>
      <c r="AA40" s="11"/>
      <c r="AB40" s="11"/>
      <c r="AC40" s="11"/>
      <c r="AD40" s="11"/>
      <c r="AE40" s="11"/>
      <c r="AF40" s="11"/>
      <c r="AG40" s="11"/>
      <c r="AH40" s="11"/>
    </row>
    <row r="41" spans="1:34" s="5" customFormat="1" ht="15" customHeight="1" x14ac:dyDescent="0.35">
      <c r="A41" s="4" t="s">
        <v>43</v>
      </c>
      <c r="B41" s="13">
        <f ca="1">INDIRECT("'("&amp;$A$4&amp;"a)'!C37")</f>
        <v>3</v>
      </c>
      <c r="C41" s="13">
        <f ca="1">INDIRECT("'("&amp;$A$4&amp;"a)'!d37")</f>
        <v>3</v>
      </c>
      <c r="D41" s="13">
        <f ca="1">INDIRECT("'("&amp;$A$4&amp;"a)'!e37")</f>
        <v>7</v>
      </c>
      <c r="E41" s="13">
        <f ca="1">INDIRECT("'("&amp;$A$4&amp;"a)'!f37")</f>
        <v>14</v>
      </c>
      <c r="F41" s="13">
        <f ca="1">INDIRECT("'("&amp;$A$4&amp;"a)'!g37")</f>
        <v>25</v>
      </c>
      <c r="G41" s="13">
        <f ca="1">INDIRECT("'("&amp;$A$4&amp;"a)'!h37")</f>
        <v>24</v>
      </c>
      <c r="H41" s="13">
        <f ca="1">INDIRECT("'("&amp;$A$4&amp;"a)'!i37")</f>
        <v>105.86</v>
      </c>
      <c r="I41" s="14">
        <f ca="1">INDIRECT("'("&amp;$A$4&amp;"a)'!j37")</f>
        <v>181.86</v>
      </c>
      <c r="J41" s="4"/>
      <c r="L41" s="10"/>
      <c r="M41" s="10"/>
      <c r="O41" s="10"/>
      <c r="P41" s="10"/>
      <c r="R41" s="12"/>
      <c r="S41" s="12"/>
      <c r="T41" s="12"/>
      <c r="U41" s="12"/>
      <c r="V41" s="12"/>
      <c r="X41" s="11"/>
      <c r="Y41" s="11"/>
      <c r="Z41" s="11"/>
      <c r="AA41" s="11"/>
      <c r="AB41" s="11"/>
      <c r="AC41" s="11"/>
      <c r="AD41" s="11"/>
      <c r="AE41" s="11"/>
      <c r="AF41" s="11"/>
      <c r="AG41" s="11"/>
      <c r="AH41" s="11"/>
    </row>
    <row r="42" spans="1:34" s="5" customFormat="1" ht="15" customHeight="1" x14ac:dyDescent="0.35">
      <c r="A42" s="4" t="s">
        <v>45</v>
      </c>
      <c r="B42" s="13">
        <f ca="1">INDIRECT("'("&amp;$A$4&amp;"a)'!C38")</f>
        <v>2</v>
      </c>
      <c r="C42" s="13">
        <f ca="1">INDIRECT("'("&amp;$A$4&amp;"a)'!d38")</f>
        <v>2</v>
      </c>
      <c r="D42" s="13">
        <f ca="1">INDIRECT("'("&amp;$A$4&amp;"a)'!e38")</f>
        <v>8</v>
      </c>
      <c r="E42" s="13">
        <f ca="1">INDIRECT("'("&amp;$A$4&amp;"a)'!f38")</f>
        <v>26</v>
      </c>
      <c r="F42" s="13">
        <f ca="1">INDIRECT("'("&amp;$A$4&amp;"a)'!g38")</f>
        <v>63</v>
      </c>
      <c r="G42" s="13">
        <f ca="1">INDIRECT("'("&amp;$A$4&amp;"a)'!h38")</f>
        <v>40</v>
      </c>
      <c r="H42" s="13">
        <f ca="1">INDIRECT("'("&amp;$A$4&amp;"a)'!i38")</f>
        <v>178</v>
      </c>
      <c r="I42" s="14">
        <f ca="1">INDIRECT("'("&amp;$A$4&amp;"a)'!j38")</f>
        <v>319</v>
      </c>
      <c r="J42" s="4"/>
      <c r="L42" s="10"/>
      <c r="M42" s="10"/>
      <c r="O42" s="10"/>
      <c r="P42" s="10"/>
      <c r="R42" s="12"/>
      <c r="S42" s="12"/>
      <c r="T42" s="12"/>
      <c r="U42" s="12"/>
      <c r="V42" s="12"/>
      <c r="X42" s="11"/>
      <c r="Y42" s="11"/>
      <c r="Z42" s="11"/>
      <c r="AA42" s="11"/>
      <c r="AB42" s="11"/>
      <c r="AC42" s="11"/>
      <c r="AD42" s="11"/>
      <c r="AE42" s="11"/>
      <c r="AF42" s="11"/>
      <c r="AG42" s="11"/>
      <c r="AH42" s="11"/>
    </row>
    <row r="43" spans="1:34" s="5" customFormat="1" ht="15" customHeight="1" x14ac:dyDescent="0.35">
      <c r="A43" s="4" t="s">
        <v>46</v>
      </c>
      <c r="B43" s="13">
        <f ca="1">INDIRECT("'("&amp;$A$4&amp;"a)'!C39")</f>
        <v>2</v>
      </c>
      <c r="C43" s="13">
        <f ca="1">INDIRECT("'("&amp;$A$4&amp;"a)'!d39")</f>
        <v>4</v>
      </c>
      <c r="D43" s="13">
        <f ca="1">INDIRECT("'("&amp;$A$4&amp;"a)'!e39")</f>
        <v>7</v>
      </c>
      <c r="E43" s="13">
        <f ca="1">INDIRECT("'("&amp;$A$4&amp;"a)'!f39")</f>
        <v>18</v>
      </c>
      <c r="F43" s="13">
        <f ca="1">INDIRECT("'("&amp;$A$4&amp;"a)'!g39")</f>
        <v>35.89</v>
      </c>
      <c r="G43" s="13">
        <f ca="1">INDIRECT("'("&amp;$A$4&amp;"a)'!h39")</f>
        <v>27</v>
      </c>
      <c r="H43" s="13">
        <f ca="1">INDIRECT("'("&amp;$A$4&amp;"a)'!i39")</f>
        <v>97.5</v>
      </c>
      <c r="I43" s="14">
        <f ca="1">INDIRECT("'("&amp;$A$4&amp;"a)'!j39")</f>
        <v>191.39</v>
      </c>
      <c r="J43" s="4"/>
      <c r="L43" s="10"/>
      <c r="M43" s="10"/>
      <c r="O43" s="10"/>
      <c r="P43" s="10"/>
      <c r="R43" s="12"/>
      <c r="S43" s="12"/>
      <c r="T43" s="12"/>
      <c r="U43" s="12"/>
      <c r="V43" s="12"/>
      <c r="X43" s="11"/>
      <c r="Y43" s="11"/>
      <c r="Z43" s="11"/>
      <c r="AA43" s="11"/>
      <c r="AB43" s="11"/>
      <c r="AC43" s="11"/>
      <c r="AD43" s="11"/>
      <c r="AE43" s="11"/>
      <c r="AF43" s="11"/>
      <c r="AG43" s="11"/>
      <c r="AH43" s="11"/>
    </row>
    <row r="44" spans="1:34" s="5" customFormat="1" ht="15" customHeight="1" x14ac:dyDescent="0.35">
      <c r="A44" s="4" t="s">
        <v>47</v>
      </c>
      <c r="B44" s="13">
        <f ca="1">INDIRECT("'("&amp;$A$4&amp;"a)'!C40")</f>
        <v>5</v>
      </c>
      <c r="C44" s="13">
        <f ca="1">INDIRECT("'("&amp;$A$4&amp;"a)'!d40")</f>
        <v>3</v>
      </c>
      <c r="D44" s="13">
        <f ca="1">INDIRECT("'("&amp;$A$4&amp;"a)'!e40")</f>
        <v>9</v>
      </c>
      <c r="E44" s="13">
        <f ca="1">INDIRECT("'("&amp;$A$4&amp;"a)'!f40")</f>
        <v>20</v>
      </c>
      <c r="F44" s="13">
        <f ca="1">INDIRECT("'("&amp;$A$4&amp;"a)'!g40")</f>
        <v>98</v>
      </c>
      <c r="G44" s="13">
        <f ca="1">INDIRECT("'("&amp;$A$4&amp;"a)'!h40")</f>
        <v>90</v>
      </c>
      <c r="H44" s="13">
        <f ca="1">INDIRECT("'("&amp;$A$4&amp;"a)'!i40")</f>
        <v>229</v>
      </c>
      <c r="I44" s="14">
        <f ca="1">INDIRECT("'("&amp;$A$4&amp;"a)'!j40")</f>
        <v>454</v>
      </c>
      <c r="J44" s="4"/>
      <c r="L44" s="10"/>
      <c r="M44" s="10"/>
      <c r="O44" s="10"/>
      <c r="P44" s="10"/>
      <c r="R44" s="12"/>
      <c r="S44" s="12"/>
      <c r="T44" s="12"/>
      <c r="U44" s="12"/>
      <c r="V44" s="12"/>
      <c r="X44" s="11"/>
      <c r="Y44" s="11"/>
      <c r="Z44" s="11"/>
      <c r="AA44" s="11"/>
      <c r="AB44" s="11"/>
      <c r="AC44" s="11"/>
      <c r="AD44" s="11"/>
      <c r="AE44" s="11"/>
      <c r="AF44" s="11"/>
      <c r="AG44" s="11"/>
      <c r="AH44" s="11"/>
    </row>
    <row r="45" spans="1:34" s="5" customFormat="1" ht="15" customHeight="1" x14ac:dyDescent="0.35">
      <c r="A45" s="4" t="s">
        <v>49</v>
      </c>
      <c r="B45" s="13">
        <f ca="1">INDIRECT("'("&amp;$A$4&amp;"a)'!C41")</f>
        <v>3</v>
      </c>
      <c r="C45" s="13">
        <f ca="1">INDIRECT("'("&amp;$A$4&amp;"a)'!d41")</f>
        <v>3</v>
      </c>
      <c r="D45" s="13">
        <f ca="1">INDIRECT("'("&amp;$A$4&amp;"a)'!e41")</f>
        <v>7</v>
      </c>
      <c r="E45" s="13">
        <f ca="1">INDIRECT("'("&amp;$A$4&amp;"a)'!f41")</f>
        <v>13</v>
      </c>
      <c r="F45" s="13">
        <f ca="1">INDIRECT("'("&amp;$A$4&amp;"a)'!g41")</f>
        <v>31</v>
      </c>
      <c r="G45" s="13">
        <f ca="1">INDIRECT("'("&amp;$A$4&amp;"a)'!h41")</f>
        <v>48</v>
      </c>
      <c r="H45" s="13">
        <f ca="1">INDIRECT("'("&amp;$A$4&amp;"a)'!i41")</f>
        <v>127</v>
      </c>
      <c r="I45" s="14">
        <f ca="1">INDIRECT("'("&amp;$A$4&amp;"a)'!j41")</f>
        <v>232</v>
      </c>
      <c r="J45" s="4"/>
      <c r="L45" s="10"/>
      <c r="M45" s="10"/>
      <c r="O45" s="10"/>
      <c r="P45" s="10"/>
      <c r="R45" s="12"/>
      <c r="S45" s="12"/>
      <c r="T45" s="12"/>
      <c r="U45" s="12"/>
      <c r="V45" s="12"/>
      <c r="X45" s="11"/>
      <c r="Y45" s="11"/>
      <c r="Z45" s="11"/>
      <c r="AA45" s="11"/>
      <c r="AB45" s="11"/>
      <c r="AC45" s="11"/>
      <c r="AD45" s="11"/>
      <c r="AE45" s="11"/>
      <c r="AF45" s="11"/>
      <c r="AG45" s="11"/>
      <c r="AH45" s="11"/>
    </row>
    <row r="46" spans="1:34" s="5" customFormat="1" ht="15" customHeight="1" x14ac:dyDescent="0.35">
      <c r="A46" s="4" t="s">
        <v>51</v>
      </c>
      <c r="B46" s="13">
        <f ca="1">INDIRECT("'("&amp;$A$4&amp;"a)'!C42")</f>
        <v>2</v>
      </c>
      <c r="C46" s="13">
        <f ca="1">INDIRECT("'("&amp;$A$4&amp;"a)'!d42")</f>
        <v>3</v>
      </c>
      <c r="D46" s="13">
        <f ca="1">INDIRECT("'("&amp;$A$4&amp;"a)'!e42")</f>
        <v>9</v>
      </c>
      <c r="E46" s="13">
        <f ca="1">INDIRECT("'("&amp;$A$4&amp;"a)'!f42")</f>
        <v>26</v>
      </c>
      <c r="F46" s="13">
        <f ca="1">INDIRECT("'("&amp;$A$4&amp;"a)'!g42")</f>
        <v>58</v>
      </c>
      <c r="G46" s="13">
        <f ca="1">INDIRECT("'("&amp;$A$4&amp;"a)'!h42")</f>
        <v>46</v>
      </c>
      <c r="H46" s="13">
        <f ca="1">INDIRECT("'("&amp;$A$4&amp;"a)'!i42")</f>
        <v>175</v>
      </c>
      <c r="I46" s="14">
        <f ca="1">INDIRECT("'("&amp;$A$4&amp;"a)'!j42")</f>
        <v>319</v>
      </c>
      <c r="J46" s="4"/>
      <c r="L46" s="10"/>
      <c r="M46" s="10"/>
      <c r="O46" s="10"/>
      <c r="P46" s="10"/>
      <c r="R46" s="12"/>
      <c r="S46" s="12"/>
      <c r="T46" s="12"/>
      <c r="U46" s="12"/>
      <c r="V46" s="12"/>
      <c r="X46" s="11"/>
      <c r="Y46" s="11"/>
      <c r="Z46" s="11"/>
      <c r="AA46" s="11"/>
      <c r="AB46" s="11"/>
      <c r="AC46" s="11"/>
      <c r="AD46" s="11"/>
      <c r="AE46" s="11"/>
      <c r="AF46" s="11"/>
      <c r="AG46" s="11"/>
      <c r="AH46" s="11"/>
    </row>
    <row r="47" spans="1:34" s="5" customFormat="1" ht="15" customHeight="1" x14ac:dyDescent="0.35">
      <c r="A47" s="4" t="s">
        <v>30</v>
      </c>
      <c r="B47" s="13">
        <f ca="1">INDIRECT("'("&amp;$A$4&amp;"a)'!C43")</f>
        <v>0</v>
      </c>
      <c r="C47" s="13">
        <f ca="1">INDIRECT("'("&amp;$A$4&amp;"a)'!d43")</f>
        <v>0</v>
      </c>
      <c r="D47" s="13">
        <f ca="1">INDIRECT("'("&amp;$A$4&amp;"a)'!e43")</f>
        <v>0</v>
      </c>
      <c r="E47" s="13">
        <f ca="1">INDIRECT("'("&amp;$A$4&amp;"a)'!f43")</f>
        <v>0</v>
      </c>
      <c r="F47" s="13">
        <f ca="1">INDIRECT("'("&amp;$A$4&amp;"a)'!g43")</f>
        <v>0</v>
      </c>
      <c r="G47" s="13">
        <f ca="1">INDIRECT("'("&amp;$A$4&amp;"a)'!h43")</f>
        <v>0</v>
      </c>
      <c r="H47" s="13">
        <f ca="1">INDIRECT("'("&amp;$A$4&amp;"a)'!i43")</f>
        <v>0</v>
      </c>
      <c r="I47" s="14">
        <f ca="1">INDIRECT("'("&amp;$A$4&amp;"a)'!j43")</f>
        <v>0</v>
      </c>
      <c r="J47" s="4"/>
      <c r="L47" s="10"/>
      <c r="M47" s="10"/>
      <c r="O47" s="10"/>
      <c r="P47" s="10"/>
      <c r="R47" s="12"/>
      <c r="S47" s="12"/>
      <c r="T47" s="12"/>
      <c r="U47" s="12"/>
      <c r="V47" s="12"/>
      <c r="X47" s="11"/>
      <c r="Y47" s="11"/>
      <c r="Z47" s="11"/>
      <c r="AA47" s="11"/>
      <c r="AB47" s="11"/>
      <c r="AC47" s="11"/>
      <c r="AD47" s="11"/>
      <c r="AE47" s="11"/>
      <c r="AF47" s="11"/>
      <c r="AG47" s="11"/>
      <c r="AH47" s="11"/>
    </row>
    <row r="48" spans="1:34" s="5" customFormat="1" ht="15" customHeight="1" x14ac:dyDescent="0.35">
      <c r="A48" s="33" t="s">
        <v>5</v>
      </c>
      <c r="B48" s="14">
        <f ca="1">INDIRECT("'("&amp;$A$4&amp;"a)'!C44")</f>
        <v>21</v>
      </c>
      <c r="C48" s="14">
        <f ca="1">INDIRECT("'("&amp;$A$4&amp;"a)'!d44")</f>
        <v>53</v>
      </c>
      <c r="D48" s="14">
        <f ca="1">INDIRECT("'("&amp;$A$4&amp;"a)'!e44")</f>
        <v>138</v>
      </c>
      <c r="E48" s="14">
        <f ca="1">INDIRECT("'("&amp;$A$4&amp;"a)'!f44")</f>
        <v>376</v>
      </c>
      <c r="F48" s="14">
        <f ca="1">INDIRECT("'("&amp;$A$4&amp;"a)'!g44")</f>
        <v>1604.3600000000001</v>
      </c>
      <c r="G48" s="14">
        <f ca="1">INDIRECT("'("&amp;$A$4&amp;"a)'!h44")</f>
        <v>1338.71</v>
      </c>
      <c r="H48" s="14">
        <f ca="1">INDIRECT("'("&amp;$A$4&amp;"a)'!i44")</f>
        <v>6616.03</v>
      </c>
      <c r="I48" s="14">
        <f ca="1">INDIRECT("'("&amp;$A$4&amp;"a)'!j44")</f>
        <v>10147.1</v>
      </c>
      <c r="J48" s="4"/>
      <c r="L48" s="10"/>
      <c r="M48" s="10"/>
      <c r="O48" s="10"/>
      <c r="P48" s="10"/>
      <c r="R48" s="12"/>
      <c r="S48" s="12"/>
      <c r="T48" s="12"/>
      <c r="U48" s="12"/>
      <c r="V48" s="12"/>
      <c r="X48" s="11"/>
      <c r="Y48" s="11"/>
      <c r="Z48" s="11"/>
      <c r="AA48" s="11"/>
      <c r="AB48" s="11"/>
      <c r="AC48" s="11"/>
      <c r="AD48" s="11"/>
      <c r="AE48" s="11"/>
      <c r="AF48" s="11"/>
      <c r="AG48" s="11"/>
      <c r="AH48" s="11"/>
    </row>
    <row r="49" spans="1:34" s="5" customFormat="1" ht="15" customHeight="1" x14ac:dyDescent="0.35">
      <c r="A49" s="4" t="s">
        <v>24</v>
      </c>
      <c r="B49" s="49">
        <f ca="1">INDIRECT("'("&amp;$A$4&amp;"a)'!C45")</f>
        <v>5</v>
      </c>
      <c r="C49" s="49">
        <f ca="1">INDIRECT("'("&amp;$A$4&amp;"a)'!d45")</f>
        <v>6</v>
      </c>
      <c r="D49" s="49">
        <f ca="1">INDIRECT("'("&amp;$A$4&amp;"a)'!e45")</f>
        <v>13</v>
      </c>
      <c r="E49" s="49">
        <f ca="1">INDIRECT("'("&amp;$A$4&amp;"a)'!f45")</f>
        <v>57</v>
      </c>
      <c r="F49" s="49">
        <f ca="1">INDIRECT("'("&amp;$A$4&amp;"a)'!g45")</f>
        <v>208</v>
      </c>
      <c r="G49" s="49">
        <f ca="1">INDIRECT("'("&amp;$A$4&amp;"a)'!h45")</f>
        <v>179</v>
      </c>
      <c r="H49" s="49">
        <f ca="1">INDIRECT("'("&amp;$A$4&amp;"a)'!i45")</f>
        <v>895.19</v>
      </c>
      <c r="I49" s="14">
        <f ca="1">INDIRECT("'("&amp;$A$4&amp;"a)'!j45")</f>
        <v>1363.19</v>
      </c>
      <c r="J49" s="4"/>
      <c r="L49" s="10"/>
      <c r="M49" s="10"/>
      <c r="O49" s="10"/>
      <c r="P49" s="10"/>
      <c r="R49" s="12"/>
      <c r="S49" s="12"/>
      <c r="T49" s="12"/>
      <c r="U49" s="12"/>
      <c r="V49" s="12"/>
      <c r="X49" s="11"/>
      <c r="Y49" s="11"/>
      <c r="Z49" s="11"/>
      <c r="AA49" s="11"/>
      <c r="AB49" s="11"/>
      <c r="AC49" s="11"/>
      <c r="AD49" s="11"/>
      <c r="AE49" s="11"/>
      <c r="AF49" s="11"/>
      <c r="AG49" s="11"/>
      <c r="AH49" s="11"/>
    </row>
    <row r="50" spans="1:34" s="5" customFormat="1" ht="15" customHeight="1" x14ac:dyDescent="0.35">
      <c r="A50" s="4" t="s">
        <v>35</v>
      </c>
      <c r="B50" s="13">
        <f ca="1">INDIRECT("'("&amp;$A$4&amp;"a)'!C46")</f>
        <v>3</v>
      </c>
      <c r="C50" s="13">
        <f ca="1">INDIRECT("'("&amp;$A$4&amp;"a)'!d46")</f>
        <v>4</v>
      </c>
      <c r="D50" s="13">
        <f ca="1">INDIRECT("'("&amp;$A$4&amp;"a)'!e46")</f>
        <v>13</v>
      </c>
      <c r="E50" s="13">
        <f ca="1">INDIRECT("'("&amp;$A$4&amp;"a)'!f46")</f>
        <v>29</v>
      </c>
      <c r="F50" s="13">
        <f ca="1">INDIRECT("'("&amp;$A$4&amp;"a)'!g46")</f>
        <v>115.44</v>
      </c>
      <c r="G50" s="13">
        <f ca="1">INDIRECT("'("&amp;$A$4&amp;"a)'!h46")</f>
        <v>46</v>
      </c>
      <c r="H50" s="13">
        <f ca="1">INDIRECT("'("&amp;$A$4&amp;"a)'!i46")</f>
        <v>396.87</v>
      </c>
      <c r="I50" s="14">
        <f ca="1">INDIRECT("'("&amp;$A$4&amp;"a)'!j46")</f>
        <v>607.30999999999995</v>
      </c>
      <c r="J50" s="4"/>
      <c r="L50" s="10"/>
      <c r="M50" s="10"/>
      <c r="O50" s="10"/>
      <c r="P50" s="10"/>
      <c r="R50" s="12"/>
      <c r="S50" s="12"/>
      <c r="T50" s="12"/>
      <c r="U50" s="12"/>
      <c r="V50" s="12"/>
      <c r="X50" s="11"/>
      <c r="Y50" s="11"/>
      <c r="Z50" s="11"/>
      <c r="AA50" s="11"/>
      <c r="AB50" s="11"/>
      <c r="AC50" s="11"/>
      <c r="AD50" s="11"/>
      <c r="AE50" s="11"/>
      <c r="AF50" s="11"/>
      <c r="AG50" s="11"/>
      <c r="AH50" s="11"/>
    </row>
    <row r="51" spans="1:34" s="5" customFormat="1" ht="15" customHeight="1" x14ac:dyDescent="0.35">
      <c r="A51" s="4" t="s">
        <v>44</v>
      </c>
      <c r="B51" s="13">
        <f ca="1">INDIRECT("'("&amp;$A$4&amp;"a)'!C47")</f>
        <v>3</v>
      </c>
      <c r="C51" s="13">
        <f ca="1">INDIRECT("'("&amp;$A$4&amp;"a)'!d47")</f>
        <v>3</v>
      </c>
      <c r="D51" s="13">
        <f ca="1">INDIRECT("'("&amp;$A$4&amp;"a)'!e47")</f>
        <v>10</v>
      </c>
      <c r="E51" s="13">
        <f ca="1">INDIRECT("'("&amp;$A$4&amp;"a)'!f47")</f>
        <v>24</v>
      </c>
      <c r="F51" s="13">
        <f ca="1">INDIRECT("'("&amp;$A$4&amp;"a)'!g47")</f>
        <v>84</v>
      </c>
      <c r="G51" s="13">
        <f ca="1">INDIRECT("'("&amp;$A$4&amp;"a)'!h47")</f>
        <v>83</v>
      </c>
      <c r="H51" s="13">
        <f ca="1">INDIRECT("'("&amp;$A$4&amp;"a)'!i47")</f>
        <v>366</v>
      </c>
      <c r="I51" s="14">
        <f ca="1">INDIRECT("'("&amp;$A$4&amp;"a)'!j47")</f>
        <v>573</v>
      </c>
      <c r="J51" s="4"/>
      <c r="L51" s="10"/>
      <c r="M51" s="10"/>
      <c r="O51" s="10"/>
      <c r="P51" s="10"/>
      <c r="R51" s="12"/>
      <c r="S51" s="12"/>
      <c r="T51" s="12"/>
      <c r="U51" s="12"/>
      <c r="V51" s="12"/>
      <c r="X51" s="11"/>
      <c r="Y51" s="11"/>
      <c r="Z51" s="11"/>
      <c r="AA51" s="11"/>
      <c r="AB51" s="11"/>
      <c r="AC51" s="11"/>
      <c r="AD51" s="11"/>
      <c r="AE51" s="11"/>
      <c r="AF51" s="11"/>
      <c r="AG51" s="11"/>
      <c r="AH51" s="11"/>
    </row>
    <row r="52" spans="1:34" s="5" customFormat="1" ht="15" customHeight="1" x14ac:dyDescent="0.35">
      <c r="A52" s="4" t="s">
        <v>48</v>
      </c>
      <c r="B52" s="13">
        <f ca="1">INDIRECT("'("&amp;$A$4&amp;"a)'!C48")</f>
        <v>3</v>
      </c>
      <c r="C52" s="13">
        <f ca="1">INDIRECT("'("&amp;$A$4&amp;"a)'!d48")</f>
        <v>4</v>
      </c>
      <c r="D52" s="13">
        <f ca="1">INDIRECT("'("&amp;$A$4&amp;"a)'!e48")</f>
        <v>13</v>
      </c>
      <c r="E52" s="13">
        <f ca="1">INDIRECT("'("&amp;$A$4&amp;"a)'!f48")</f>
        <v>23</v>
      </c>
      <c r="F52" s="13">
        <f ca="1">INDIRECT("'("&amp;$A$4&amp;"a)'!g48")</f>
        <v>104</v>
      </c>
      <c r="G52" s="13">
        <f ca="1">INDIRECT("'("&amp;$A$4&amp;"a)'!h48")</f>
        <v>103.36</v>
      </c>
      <c r="H52" s="13">
        <f ca="1">INDIRECT("'("&amp;$A$4&amp;"a)'!i48")</f>
        <v>337.32</v>
      </c>
      <c r="I52" s="14">
        <f ca="1">INDIRECT("'("&amp;$A$4&amp;"a)'!j48")</f>
        <v>587.68000000000006</v>
      </c>
      <c r="J52" s="4"/>
      <c r="L52" s="10"/>
      <c r="M52" s="10"/>
      <c r="O52" s="10"/>
      <c r="P52" s="10"/>
      <c r="R52" s="12"/>
      <c r="S52" s="12"/>
      <c r="T52" s="12"/>
      <c r="U52" s="12"/>
      <c r="V52" s="12"/>
      <c r="X52" s="11"/>
      <c r="Y52" s="11"/>
      <c r="Z52" s="11"/>
      <c r="AA52" s="11"/>
      <c r="AB52" s="11"/>
      <c r="AC52" s="11"/>
      <c r="AD52" s="11"/>
      <c r="AE52" s="11"/>
      <c r="AF52" s="11"/>
      <c r="AG52" s="11"/>
      <c r="AH52" s="11"/>
    </row>
    <row r="53" spans="1:34" s="5" customFormat="1" ht="15" customHeight="1" x14ac:dyDescent="0.35">
      <c r="A53" s="4" t="s">
        <v>50</v>
      </c>
      <c r="B53" s="13">
        <f ca="1">INDIRECT("'("&amp;$A$4&amp;"a)'!C49")</f>
        <v>3</v>
      </c>
      <c r="C53" s="13">
        <f ca="1">INDIRECT("'("&amp;$A$4&amp;"a)'!d49")</f>
        <v>7</v>
      </c>
      <c r="D53" s="13">
        <f ca="1">INDIRECT("'("&amp;$A$4&amp;"a)'!e49")</f>
        <v>12</v>
      </c>
      <c r="E53" s="13">
        <f ca="1">INDIRECT("'("&amp;$A$4&amp;"a)'!f49")</f>
        <v>46</v>
      </c>
      <c r="F53" s="13">
        <f ca="1">INDIRECT("'("&amp;$A$4&amp;"a)'!g49")</f>
        <v>248</v>
      </c>
      <c r="G53" s="13">
        <f ca="1">INDIRECT("'("&amp;$A$4&amp;"a)'!h49")</f>
        <v>236</v>
      </c>
      <c r="H53" s="13">
        <f ca="1">INDIRECT("'("&amp;$A$4&amp;"a)'!i49")</f>
        <v>843.38</v>
      </c>
      <c r="I53" s="14">
        <f ca="1">INDIRECT("'("&amp;$A$4&amp;"a)'!j49")</f>
        <v>1395.38</v>
      </c>
      <c r="J53" s="4"/>
      <c r="L53" s="10"/>
      <c r="M53" s="10"/>
      <c r="O53" s="10"/>
      <c r="P53" s="10"/>
      <c r="R53" s="12"/>
      <c r="S53" s="12"/>
      <c r="T53" s="12"/>
      <c r="U53" s="12"/>
      <c r="V53" s="12"/>
      <c r="X53" s="11"/>
      <c r="Y53" s="11"/>
      <c r="Z53" s="11"/>
      <c r="AA53" s="11"/>
      <c r="AB53" s="11"/>
      <c r="AC53" s="11"/>
      <c r="AD53" s="11"/>
      <c r="AE53" s="11"/>
      <c r="AF53" s="11"/>
      <c r="AG53" s="11"/>
      <c r="AH53" s="11"/>
    </row>
    <row r="54" spans="1:34" s="5" customFormat="1" ht="15" customHeight="1" x14ac:dyDescent="0.35">
      <c r="A54" s="4" t="s">
        <v>52</v>
      </c>
      <c r="B54" s="13">
        <f ca="1">INDIRECT("'("&amp;$A$4&amp;"a)'!C50")</f>
        <v>3</v>
      </c>
      <c r="C54" s="13">
        <f ca="1">INDIRECT("'("&amp;$A$4&amp;"a)'!d50")</f>
        <v>3</v>
      </c>
      <c r="D54" s="13">
        <f ca="1">INDIRECT("'("&amp;$A$4&amp;"a)'!e50")</f>
        <v>10</v>
      </c>
      <c r="E54" s="13">
        <f ca="1">INDIRECT("'("&amp;$A$4&amp;"a)'!f50")</f>
        <v>43</v>
      </c>
      <c r="F54" s="13">
        <f ca="1">INDIRECT("'("&amp;$A$4&amp;"a)'!g50")</f>
        <v>158.5</v>
      </c>
      <c r="G54" s="13">
        <f ca="1">INDIRECT("'("&amp;$A$4&amp;"a)'!h50")</f>
        <v>142.53</v>
      </c>
      <c r="H54" s="13">
        <f ca="1">INDIRECT("'("&amp;$A$4&amp;"a)'!i50")</f>
        <v>590</v>
      </c>
      <c r="I54" s="14">
        <f ca="1">INDIRECT("'("&amp;$A$4&amp;"a)'!j50")</f>
        <v>950.03</v>
      </c>
      <c r="J54" s="4"/>
      <c r="L54" s="10"/>
      <c r="M54" s="10"/>
      <c r="N54" s="4"/>
      <c r="O54" s="10"/>
      <c r="P54" s="10"/>
      <c r="R54" s="12"/>
      <c r="S54" s="12"/>
      <c r="T54" s="12"/>
      <c r="U54" s="12"/>
      <c r="V54" s="12"/>
      <c r="X54" s="11"/>
      <c r="Y54" s="11"/>
      <c r="Z54" s="11"/>
      <c r="AA54" s="11"/>
      <c r="AB54" s="11"/>
      <c r="AC54" s="11"/>
      <c r="AD54" s="11"/>
      <c r="AE54" s="11"/>
      <c r="AF54" s="11"/>
      <c r="AG54" s="11"/>
      <c r="AH54" s="11"/>
    </row>
    <row r="55" spans="1:34" s="5" customFormat="1" ht="15" customHeight="1" thickBot="1" x14ac:dyDescent="0.4">
      <c r="A55" s="15" t="s">
        <v>23</v>
      </c>
      <c r="B55" s="13">
        <f ca="1">INDIRECT("'("&amp;$A$4&amp;"a)'!C51")</f>
        <v>1</v>
      </c>
      <c r="C55" s="13">
        <f ca="1">INDIRECT("'("&amp;$A$4&amp;"a)'!d51")</f>
        <v>26</v>
      </c>
      <c r="D55" s="13">
        <f ca="1">INDIRECT("'("&amp;$A$4&amp;"a)'!e51")</f>
        <v>67</v>
      </c>
      <c r="E55" s="13">
        <f ca="1">INDIRECT("'("&amp;$A$4&amp;"a)'!f51")</f>
        <v>154</v>
      </c>
      <c r="F55" s="13">
        <f ca="1">INDIRECT("'("&amp;$A$4&amp;"a)'!g51")</f>
        <v>686.42</v>
      </c>
      <c r="G55" s="13">
        <f ca="1">INDIRECT("'("&amp;$A$4&amp;"a)'!h51")</f>
        <v>548.82000000000005</v>
      </c>
      <c r="H55" s="13">
        <f ca="1">INDIRECT("'("&amp;$A$4&amp;"a)'!i51")</f>
        <v>3187.27</v>
      </c>
      <c r="I55" s="14">
        <f ca="1">INDIRECT("'("&amp;$A$4&amp;"a)'!j51")</f>
        <v>4670.51</v>
      </c>
      <c r="J55" s="4"/>
      <c r="L55" s="10"/>
      <c r="M55" s="10"/>
      <c r="N55" s="4"/>
      <c r="O55" s="10"/>
      <c r="P55" s="10"/>
      <c r="R55" s="12"/>
      <c r="S55" s="12"/>
      <c r="T55" s="12"/>
      <c r="U55" s="12"/>
      <c r="V55" s="12"/>
      <c r="X55" s="11"/>
      <c r="Y55" s="11"/>
      <c r="Z55" s="11"/>
      <c r="AA55" s="11"/>
      <c r="AB55" s="11"/>
      <c r="AC55" s="11"/>
      <c r="AD55" s="11"/>
      <c r="AE55" s="11"/>
      <c r="AF55" s="11"/>
      <c r="AG55" s="11"/>
      <c r="AH55" s="11"/>
    </row>
    <row r="56" spans="1:34" s="5" customFormat="1" ht="15" customHeight="1" x14ac:dyDescent="0.35">
      <c r="A56" s="4"/>
      <c r="B56" s="112"/>
      <c r="C56" s="112"/>
      <c r="D56" s="112"/>
      <c r="E56" s="112"/>
      <c r="F56" s="112"/>
      <c r="G56" s="112"/>
      <c r="H56" s="112"/>
      <c r="I56" s="113"/>
      <c r="J56" s="4"/>
      <c r="L56" s="10"/>
      <c r="M56" s="10"/>
      <c r="N56" s="4"/>
      <c r="O56" s="10"/>
      <c r="P56" s="10"/>
      <c r="R56" s="12"/>
      <c r="S56" s="12"/>
      <c r="T56" s="12"/>
      <c r="U56" s="12"/>
      <c r="V56" s="12"/>
      <c r="X56" s="11"/>
      <c r="Y56" s="11"/>
      <c r="Z56" s="11"/>
      <c r="AA56" s="11"/>
      <c r="AB56" s="11"/>
      <c r="AC56" s="11"/>
      <c r="AD56" s="11"/>
      <c r="AE56" s="11"/>
      <c r="AF56" s="11"/>
      <c r="AG56" s="11"/>
      <c r="AH56" s="11"/>
    </row>
    <row r="57" spans="1:34" x14ac:dyDescent="0.35">
      <c r="A57" s="108"/>
      <c r="L57" s="10"/>
      <c r="M57" s="10"/>
      <c r="O57" s="10"/>
      <c r="P57" s="10"/>
      <c r="Q57" s="10"/>
      <c r="R57" s="10"/>
      <c r="S57" s="10"/>
      <c r="T57" s="10"/>
      <c r="U57" s="10"/>
      <c r="V57" s="10"/>
    </row>
    <row r="58" spans="1:34" s="7" customFormat="1" ht="15" customHeight="1" x14ac:dyDescent="0.35">
      <c r="A58" s="108"/>
      <c r="B58" s="108"/>
      <c r="C58" s="108"/>
      <c r="D58" s="108"/>
      <c r="E58" s="108"/>
      <c r="F58" s="108"/>
      <c r="G58" s="108"/>
      <c r="H58" s="108"/>
      <c r="I58" s="108"/>
      <c r="J58" s="108"/>
      <c r="K58" s="108"/>
      <c r="L58" s="109"/>
      <c r="M58" s="109"/>
      <c r="N58" s="108"/>
      <c r="O58" s="109"/>
      <c r="P58" s="109"/>
      <c r="Q58" s="109"/>
      <c r="R58" s="109"/>
      <c r="S58" s="109"/>
      <c r="T58" s="109"/>
      <c r="U58" s="109"/>
      <c r="V58" s="109"/>
    </row>
    <row r="59" spans="1:34" s="7" customFormat="1" ht="15" customHeight="1" x14ac:dyDescent="0.35">
      <c r="A59" s="110"/>
      <c r="B59" s="108"/>
      <c r="C59" s="108"/>
      <c r="D59" s="108"/>
      <c r="E59" s="108"/>
      <c r="F59" s="108"/>
      <c r="G59" s="108"/>
      <c r="H59" s="108"/>
      <c r="I59" s="108"/>
      <c r="J59" s="108"/>
      <c r="K59" s="108"/>
      <c r="L59" s="109"/>
      <c r="M59" s="109"/>
      <c r="N59" s="108"/>
      <c r="O59" s="109"/>
      <c r="P59" s="109"/>
      <c r="Q59" s="109"/>
      <c r="R59" s="109"/>
      <c r="S59" s="109"/>
      <c r="T59" s="109"/>
      <c r="U59" s="109"/>
      <c r="V59" s="109"/>
    </row>
    <row r="60" spans="1:34" s="7" customFormat="1" ht="15" customHeight="1" x14ac:dyDescent="0.35">
      <c r="A60" s="108"/>
      <c r="B60" s="108"/>
      <c r="C60" s="108"/>
      <c r="D60" s="108"/>
      <c r="E60" s="108"/>
      <c r="F60" s="108"/>
      <c r="G60" s="108"/>
      <c r="H60" s="108"/>
      <c r="I60" s="108"/>
      <c r="J60" s="108"/>
      <c r="K60" s="108"/>
      <c r="L60" s="109"/>
      <c r="M60" s="109"/>
      <c r="N60" s="108"/>
      <c r="O60" s="109"/>
      <c r="P60" s="109"/>
      <c r="Q60" s="109"/>
      <c r="R60" s="109"/>
      <c r="S60" s="109"/>
      <c r="T60" s="109"/>
      <c r="U60" s="109"/>
      <c r="V60" s="109"/>
    </row>
    <row r="61" spans="1:34" s="7" customFormat="1" x14ac:dyDescent="0.35">
      <c r="A61" s="107"/>
      <c r="B61" s="108"/>
      <c r="C61" s="108"/>
      <c r="D61" s="108"/>
      <c r="E61" s="108"/>
      <c r="F61" s="108"/>
      <c r="G61" s="108"/>
      <c r="H61" s="108"/>
      <c r="I61" s="108"/>
      <c r="J61" s="108"/>
      <c r="K61" s="108"/>
      <c r="L61" s="109"/>
      <c r="M61" s="109"/>
      <c r="N61" s="108"/>
      <c r="O61" s="109"/>
      <c r="P61" s="109"/>
      <c r="Q61" s="109"/>
      <c r="R61" s="109"/>
      <c r="S61" s="109"/>
      <c r="T61" s="109"/>
      <c r="U61" s="109"/>
      <c r="V61" s="109"/>
    </row>
    <row r="62" spans="1:34" s="7" customFormat="1" ht="15" customHeight="1" x14ac:dyDescent="0.35">
      <c r="A62" s="108"/>
      <c r="B62" s="107"/>
      <c r="C62" s="107"/>
      <c r="D62" s="107"/>
      <c r="E62" s="107"/>
      <c r="F62" s="107"/>
      <c r="G62" s="107"/>
      <c r="H62" s="107"/>
      <c r="I62" s="107"/>
      <c r="J62" s="108"/>
      <c r="K62" s="108"/>
      <c r="L62" s="109"/>
      <c r="M62" s="109"/>
      <c r="N62" s="108"/>
      <c r="O62" s="109"/>
      <c r="P62" s="109"/>
      <c r="Q62" s="109"/>
      <c r="R62" s="109"/>
      <c r="S62" s="109"/>
      <c r="T62" s="109"/>
      <c r="U62" s="109"/>
      <c r="V62" s="109"/>
    </row>
    <row r="63" spans="1:34" s="7" customFormat="1" ht="15" customHeight="1" x14ac:dyDescent="0.35">
      <c r="A63" s="111"/>
      <c r="B63" s="108"/>
      <c r="C63" s="108"/>
      <c r="D63" s="108"/>
      <c r="E63" s="108"/>
      <c r="F63" s="108"/>
      <c r="G63" s="108"/>
      <c r="H63" s="108"/>
      <c r="I63" s="108"/>
      <c r="N63" s="108"/>
    </row>
    <row r="64" spans="1:34" s="7" customFormat="1" ht="15" customHeight="1" x14ac:dyDescent="0.35">
      <c r="A64" s="111"/>
      <c r="B64" s="108"/>
      <c r="C64" s="108"/>
      <c r="D64" s="108"/>
      <c r="E64" s="108"/>
      <c r="F64" s="108"/>
      <c r="G64" s="108"/>
      <c r="H64" s="108"/>
      <c r="I64" s="108"/>
      <c r="N64" s="108"/>
    </row>
    <row r="65" spans="1:14" s="7" customFormat="1" ht="15" customHeight="1" x14ac:dyDescent="0.35">
      <c r="A65" s="108"/>
      <c r="B65" s="108"/>
      <c r="C65" s="108"/>
      <c r="D65" s="108"/>
      <c r="E65" s="108"/>
      <c r="F65" s="108"/>
      <c r="G65" s="108"/>
      <c r="H65" s="108"/>
      <c r="I65" s="108"/>
      <c r="N65" s="108"/>
    </row>
    <row r="66" spans="1:14" s="7" customFormat="1" x14ac:dyDescent="0.35">
      <c r="A66" s="108"/>
      <c r="B66" s="108"/>
      <c r="C66" s="108"/>
      <c r="D66" s="108"/>
      <c r="E66" s="108"/>
      <c r="F66" s="108"/>
      <c r="G66" s="108"/>
      <c r="H66" s="108"/>
      <c r="I66" s="108"/>
      <c r="N66" s="108"/>
    </row>
    <row r="67" spans="1:14" s="108" customFormat="1" x14ac:dyDescent="0.35"/>
    <row r="68" spans="1:14" s="7" customFormat="1" x14ac:dyDescent="0.35">
      <c r="A68" s="111"/>
      <c r="B68" s="108"/>
      <c r="C68" s="108"/>
      <c r="D68" s="108"/>
      <c r="E68" s="108"/>
      <c r="F68" s="108"/>
      <c r="G68" s="108"/>
      <c r="H68" s="108"/>
      <c r="I68" s="18"/>
      <c r="N68" s="108"/>
    </row>
    <row r="69" spans="1:14" s="7" customFormat="1" x14ac:dyDescent="0.35">
      <c r="A69" s="108"/>
      <c r="B69" s="108"/>
      <c r="C69" s="108"/>
      <c r="D69" s="108"/>
      <c r="E69" s="108"/>
      <c r="F69" s="108"/>
      <c r="G69" s="108"/>
      <c r="H69" s="108"/>
      <c r="I69" s="18"/>
      <c r="N69" s="108"/>
    </row>
    <row r="70" spans="1:14" s="108" customFormat="1" x14ac:dyDescent="0.35"/>
    <row r="71" spans="1:14" s="108" customFormat="1" x14ac:dyDescent="0.35"/>
    <row r="72" spans="1:14" s="108" customFormat="1" x14ac:dyDescent="0.35"/>
    <row r="73" spans="1:14" s="108" customFormat="1" x14ac:dyDescent="0.35"/>
    <row r="74" spans="1:14" s="108" customFormat="1" x14ac:dyDescent="0.35"/>
    <row r="75" spans="1:14" s="108" customFormat="1" x14ac:dyDescent="0.35"/>
    <row r="76" spans="1:14" s="108" customFormat="1" x14ac:dyDescent="0.35">
      <c r="L76" s="108" t="s">
        <v>69</v>
      </c>
      <c r="M76" s="7"/>
    </row>
    <row r="77" spans="1:14" s="108" customFormat="1" x14ac:dyDescent="0.35">
      <c r="L77" s="108" t="s">
        <v>65</v>
      </c>
    </row>
    <row r="78" spans="1:14" s="108" customFormat="1" x14ac:dyDescent="0.35">
      <c r="L78" s="108" t="s">
        <v>66</v>
      </c>
    </row>
    <row r="79" spans="1:14" s="108" customFormat="1" x14ac:dyDescent="0.35">
      <c r="A79" s="4"/>
      <c r="L79" s="108" t="s">
        <v>67</v>
      </c>
    </row>
    <row r="80" spans="1:14" x14ac:dyDescent="0.35">
      <c r="L80" s="4" t="s">
        <v>68</v>
      </c>
    </row>
    <row r="81" spans="12:12" x14ac:dyDescent="0.35">
      <c r="L81" s="4" t="s">
        <v>63</v>
      </c>
    </row>
    <row r="82" spans="12:12" x14ac:dyDescent="0.35">
      <c r="L82" s="4" t="s">
        <v>54</v>
      </c>
    </row>
  </sheetData>
  <mergeCells count="3">
    <mergeCell ref="A1:I1"/>
    <mergeCell ref="B5:G5"/>
    <mergeCell ref="A4:H4"/>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7"/>
  <dimension ref="A1:AG82"/>
  <sheetViews>
    <sheetView zoomScaleNormal="100" workbookViewId="0">
      <selection activeCell="A4" sqref="A4:H4"/>
    </sheetView>
  </sheetViews>
  <sheetFormatPr defaultColWidth="9.1796875" defaultRowHeight="14.5" x14ac:dyDescent="0.35"/>
  <cols>
    <col min="1" max="1" width="50.7265625" style="4" customWidth="1"/>
    <col min="2" max="7" width="10.7265625" style="4" customWidth="1"/>
    <col min="8" max="8" width="9.1796875" style="4" customWidth="1"/>
    <col min="9" max="10" width="0" style="4" hidden="1" customWidth="1"/>
    <col min="11" max="11" width="9.1796875" style="4" customWidth="1"/>
    <col min="12" max="12" width="10" style="4" bestFit="1" customWidth="1"/>
    <col min="13" max="13" width="11.81640625" style="4" customWidth="1"/>
    <col min="14" max="18" width="9.1796875" style="4"/>
    <col min="19" max="19" width="11" style="4" customWidth="1"/>
    <col min="20" max="16384" width="9.1796875" style="4"/>
  </cols>
  <sheetData>
    <row r="1" spans="1:33" s="3" customFormat="1" ht="37.5" customHeight="1" x14ac:dyDescent="0.5">
      <c r="A1" s="156"/>
      <c r="B1" s="156"/>
      <c r="C1" s="156"/>
      <c r="D1" s="156"/>
      <c r="E1" s="156"/>
      <c r="F1" s="156"/>
      <c r="G1" s="156"/>
      <c r="H1" s="1"/>
      <c r="I1" s="1"/>
      <c r="J1" s="2"/>
      <c r="K1" s="2"/>
    </row>
    <row r="2" spans="1:33" s="5" customFormat="1" ht="15" customHeight="1" x14ac:dyDescent="0.35">
      <c r="A2" s="4"/>
      <c r="B2" s="4"/>
      <c r="C2" s="4"/>
      <c r="D2" s="4"/>
      <c r="E2" s="4"/>
      <c r="F2" s="4"/>
      <c r="G2" s="4"/>
      <c r="H2" s="4"/>
      <c r="I2" s="4"/>
      <c r="J2" s="4"/>
      <c r="K2" s="4"/>
    </row>
    <row r="3" spans="1:33" s="5" customFormat="1" ht="15" customHeight="1" x14ac:dyDescent="0.35">
      <c r="A3" s="31"/>
      <c r="B3" s="32"/>
      <c r="C3" s="32"/>
      <c r="D3" s="32"/>
      <c r="E3" s="32"/>
      <c r="F3" s="32"/>
      <c r="G3" s="32"/>
      <c r="H3" s="4"/>
      <c r="I3" s="4"/>
      <c r="J3" s="4"/>
      <c r="K3" s="4"/>
    </row>
    <row r="4" spans="1:33" s="5" customFormat="1" ht="15" customHeight="1" x14ac:dyDescent="0.35">
      <c r="A4" s="158">
        <f>FIRE1102b!A4</f>
        <v>2019</v>
      </c>
      <c r="B4" s="158"/>
      <c r="C4" s="158"/>
      <c r="D4" s="158"/>
      <c r="E4" s="158"/>
      <c r="F4" s="158"/>
      <c r="G4" s="158"/>
      <c r="H4" s="4"/>
      <c r="I4" s="4"/>
      <c r="J4" s="4"/>
      <c r="K4" s="4"/>
      <c r="L4" s="4"/>
    </row>
    <row r="5" spans="1:33" s="5" customFormat="1" ht="15" thickBot="1" x14ac:dyDescent="0.4">
      <c r="A5" s="4"/>
      <c r="B5" s="157"/>
      <c r="C5" s="157"/>
      <c r="D5" s="157"/>
      <c r="E5" s="157"/>
      <c r="F5" s="157"/>
      <c r="G5" s="157"/>
      <c r="H5" s="4"/>
      <c r="I5" s="4"/>
      <c r="J5" s="6"/>
      <c r="K5" s="6"/>
      <c r="M5" s="6"/>
      <c r="N5" s="6"/>
      <c r="P5" s="6"/>
      <c r="Q5" s="6"/>
      <c r="R5" s="6"/>
      <c r="S5" s="6"/>
      <c r="T5" s="6"/>
      <c r="W5" s="7"/>
    </row>
    <row r="6" spans="1:33" s="9" customFormat="1" ht="29.5" thickBot="1" x14ac:dyDescent="0.4">
      <c r="A6" s="8" t="s">
        <v>61</v>
      </c>
      <c r="B6" s="64" t="s">
        <v>74</v>
      </c>
      <c r="C6" s="64" t="s">
        <v>75</v>
      </c>
      <c r="D6" s="64" t="s">
        <v>76</v>
      </c>
      <c r="E6" s="64" t="s">
        <v>77</v>
      </c>
      <c r="F6" s="64" t="s">
        <v>78</v>
      </c>
      <c r="G6" s="64" t="s">
        <v>1</v>
      </c>
      <c r="L6" s="4"/>
    </row>
    <row r="7" spans="1:33" s="5" customFormat="1" ht="15" customHeight="1" x14ac:dyDescent="0.35">
      <c r="A7" s="34" t="s">
        <v>0</v>
      </c>
      <c r="B7" s="14">
        <f ca="1">INDIRECT("'("&amp;$A$4&amp;"b)'!C3")</f>
        <v>0</v>
      </c>
      <c r="C7" s="14">
        <f ca="1">INDIRECT("'("&amp;$A$4&amp;"b)'!d3")</f>
        <v>23.3</v>
      </c>
      <c r="D7" s="14">
        <f ca="1">INDIRECT("'("&amp;$A$4&amp;"b)'!e3")</f>
        <v>815.25999999999988</v>
      </c>
      <c r="E7" s="14">
        <f ca="1">INDIRECT("'("&amp;$A$4&amp;"b)'!f3")</f>
        <v>1784.1999999999996</v>
      </c>
      <c r="F7" s="14">
        <f ca="1">INDIRECT("'("&amp;$A$4&amp;"b)'!g3")</f>
        <v>6939.8343333333341</v>
      </c>
      <c r="G7" s="14">
        <f ca="1">INDIRECT("'("&amp;$A$4&amp;"b)'!h3")</f>
        <v>9562.5943333333344</v>
      </c>
      <c r="H7" s="4"/>
      <c r="I7" s="4"/>
      <c r="J7" s="10"/>
      <c r="K7" s="10"/>
      <c r="M7" s="10"/>
      <c r="N7" s="10"/>
      <c r="P7" s="10"/>
      <c r="Q7" s="10"/>
      <c r="R7" s="10"/>
      <c r="S7" s="10"/>
      <c r="T7" s="10"/>
      <c r="V7" s="11"/>
      <c r="W7" s="11"/>
      <c r="X7" s="11"/>
      <c r="Y7" s="11"/>
      <c r="Z7" s="11"/>
      <c r="AA7" s="11"/>
      <c r="AB7" s="11"/>
      <c r="AC7" s="11"/>
      <c r="AD7" s="11"/>
      <c r="AE7" s="11"/>
      <c r="AF7" s="11"/>
      <c r="AG7" s="12"/>
    </row>
    <row r="8" spans="1:33" s="5" customFormat="1" ht="15" customHeight="1" x14ac:dyDescent="0.35">
      <c r="A8" s="35" t="s">
        <v>6</v>
      </c>
      <c r="B8" s="14">
        <f ca="1">INDIRECT("'("&amp;$A$4&amp;"b)'!C4")</f>
        <v>0</v>
      </c>
      <c r="C8" s="14">
        <f ca="1">INDIRECT("'("&amp;$A$4&amp;"b)'!d4")</f>
        <v>22.3</v>
      </c>
      <c r="D8" s="14">
        <f ca="1">INDIRECT("'("&amp;$A$4&amp;"b)'!e4")</f>
        <v>778.94</v>
      </c>
      <c r="E8" s="14">
        <f ca="1">INDIRECT("'("&amp;$A$4&amp;"b)'!f4")</f>
        <v>1751.5999999999997</v>
      </c>
      <c r="F8" s="14">
        <f ca="1">INDIRECT("'("&amp;$A$4&amp;"b)'!g4")</f>
        <v>6765.0143333333344</v>
      </c>
      <c r="G8" s="14">
        <f ca="1">INDIRECT("'("&amp;$A$4&amp;"b)'!h4")</f>
        <v>9317.8543333333346</v>
      </c>
      <c r="H8" s="4"/>
      <c r="J8" s="10"/>
      <c r="K8" s="10"/>
      <c r="M8" s="10"/>
      <c r="N8" s="10"/>
      <c r="P8" s="12"/>
      <c r="Q8" s="12"/>
      <c r="R8" s="12"/>
      <c r="S8" s="12"/>
      <c r="T8" s="12"/>
      <c r="V8" s="11"/>
      <c r="W8" s="11"/>
      <c r="X8" s="11"/>
      <c r="Y8" s="11"/>
      <c r="Z8" s="11"/>
      <c r="AA8" s="11"/>
      <c r="AB8" s="11"/>
      <c r="AC8" s="11"/>
      <c r="AD8" s="11"/>
      <c r="AE8" s="11"/>
      <c r="AF8" s="11"/>
    </row>
    <row r="9" spans="1:33" s="5" customFormat="1" ht="15" customHeight="1" x14ac:dyDescent="0.35">
      <c r="A9" s="4" t="s">
        <v>7</v>
      </c>
      <c r="B9" s="13">
        <f ca="1">INDIRECT("'("&amp;$A$4&amp;"b)'!C5")</f>
        <v>0</v>
      </c>
      <c r="C9" s="13">
        <f ca="1">INDIRECT("'("&amp;$A$4&amp;"b)'!d5")</f>
        <v>0</v>
      </c>
      <c r="D9" s="13">
        <f ca="1">INDIRECT("'("&amp;$A$4&amp;"b)'!e5")</f>
        <v>7.45</v>
      </c>
      <c r="E9" s="13">
        <f ca="1">INDIRECT("'("&amp;$A$4&amp;"b)'!f5")</f>
        <v>25.48</v>
      </c>
      <c r="F9" s="13">
        <f ca="1">INDIRECT("'("&amp;$A$4&amp;"b)'!g5")</f>
        <v>105.71</v>
      </c>
      <c r="G9" s="13">
        <f ca="1">INDIRECT("'("&amp;$A$4&amp;"b)'!h5")</f>
        <v>138.63999999999999</v>
      </c>
      <c r="H9" s="4"/>
      <c r="J9" s="10"/>
      <c r="K9" s="10"/>
      <c r="M9" s="10"/>
      <c r="N9" s="10"/>
      <c r="P9" s="12"/>
      <c r="Q9" s="12"/>
      <c r="R9" s="12"/>
      <c r="S9" s="12"/>
      <c r="T9" s="12"/>
      <c r="V9" s="11"/>
      <c r="W9" s="11"/>
      <c r="X9" s="11"/>
      <c r="Y9" s="11"/>
      <c r="Z9" s="11"/>
      <c r="AA9" s="11"/>
      <c r="AB9" s="11"/>
      <c r="AC9" s="11"/>
      <c r="AD9" s="11"/>
      <c r="AE9" s="11"/>
      <c r="AF9" s="11"/>
    </row>
    <row r="10" spans="1:33" s="5" customFormat="1" ht="15" customHeight="1" x14ac:dyDescent="0.35">
      <c r="A10" s="4" t="s">
        <v>8</v>
      </c>
      <c r="B10" s="13">
        <f ca="1">INDIRECT("'("&amp;$A$4&amp;"b)'!C6")</f>
        <v>0</v>
      </c>
      <c r="C10" s="13">
        <f ca="1">INDIRECT("'("&amp;$A$4&amp;"b)'!d6")</f>
        <v>0</v>
      </c>
      <c r="D10" s="13">
        <f ca="1">INDIRECT("'("&amp;$A$4&amp;"b)'!e6")</f>
        <v>9.75</v>
      </c>
      <c r="E10" s="13">
        <f ca="1">INDIRECT("'("&amp;$A$4&amp;"b)'!f6")</f>
        <v>17.75</v>
      </c>
      <c r="F10" s="13">
        <f ca="1">INDIRECT("'("&amp;$A$4&amp;"b)'!g6")</f>
        <v>89.75</v>
      </c>
      <c r="G10" s="13">
        <f ca="1">INDIRECT("'("&amp;$A$4&amp;"b)'!h6")</f>
        <v>117.25</v>
      </c>
      <c r="H10" s="4"/>
      <c r="J10" s="10"/>
      <c r="K10" s="10"/>
      <c r="M10" s="10"/>
      <c r="N10" s="10"/>
      <c r="P10" s="12"/>
      <c r="Q10" s="12"/>
      <c r="R10" s="12"/>
      <c r="S10" s="12"/>
      <c r="T10" s="12"/>
      <c r="V10" s="11"/>
      <c r="W10" s="11"/>
      <c r="X10" s="11"/>
      <c r="Y10" s="11"/>
      <c r="Z10" s="11"/>
      <c r="AA10" s="11"/>
      <c r="AB10" s="11"/>
      <c r="AC10" s="11"/>
      <c r="AD10" s="11"/>
      <c r="AE10" s="11"/>
      <c r="AF10" s="11"/>
    </row>
    <row r="11" spans="1:33" s="5" customFormat="1" ht="15" customHeight="1" x14ac:dyDescent="0.35">
      <c r="A11" s="4" t="s">
        <v>9</v>
      </c>
      <c r="B11" s="13">
        <f ca="1">INDIRECT("'("&amp;$A$4&amp;"b)'!C7")</f>
        <v>0</v>
      </c>
      <c r="C11" s="13">
        <f ca="1">INDIRECT("'("&amp;$A$4&amp;"b)'!d7")</f>
        <v>0</v>
      </c>
      <c r="D11" s="13">
        <f ca="1">INDIRECT("'("&amp;$A$4&amp;"b)'!e7")</f>
        <v>6.18</v>
      </c>
      <c r="E11" s="13">
        <f ca="1">INDIRECT("'("&amp;$A$4&amp;"b)'!f7")</f>
        <v>7.12</v>
      </c>
      <c r="F11" s="13">
        <f ca="1">INDIRECT("'("&amp;$A$4&amp;"b)'!g7")</f>
        <v>43.676000000000002</v>
      </c>
      <c r="G11" s="13">
        <f ca="1">INDIRECT("'("&amp;$A$4&amp;"b)'!h7")</f>
        <v>56.975999999999999</v>
      </c>
      <c r="H11" s="4"/>
      <c r="J11" s="10"/>
      <c r="K11" s="10"/>
      <c r="M11" s="10"/>
      <c r="N11" s="10"/>
      <c r="P11" s="12"/>
      <c r="Q11" s="12"/>
      <c r="R11" s="12"/>
      <c r="S11" s="12"/>
      <c r="T11" s="12"/>
      <c r="V11" s="11"/>
      <c r="W11" s="11"/>
      <c r="X11" s="11"/>
      <c r="Y11" s="11"/>
      <c r="Z11" s="11"/>
      <c r="AA11" s="11"/>
      <c r="AB11" s="11"/>
      <c r="AC11" s="11"/>
      <c r="AD11" s="11"/>
      <c r="AE11" s="11"/>
      <c r="AF11" s="11"/>
    </row>
    <row r="12" spans="1:33" s="5" customFormat="1" ht="15" customHeight="1" x14ac:dyDescent="0.35">
      <c r="A12" s="4" t="s">
        <v>10</v>
      </c>
      <c r="B12" s="13">
        <f ca="1">INDIRECT("'("&amp;$A$4&amp;"b)'!C8")</f>
        <v>0</v>
      </c>
      <c r="C12" s="13">
        <f ca="1">INDIRECT("'("&amp;$A$4&amp;"b)'!d8")</f>
        <v>0</v>
      </c>
      <c r="D12" s="13">
        <f ca="1">INDIRECT("'("&amp;$A$4&amp;"b)'!e8")</f>
        <v>5.08</v>
      </c>
      <c r="E12" s="13">
        <f ca="1">INDIRECT("'("&amp;$A$4&amp;"b)'!f8")</f>
        <v>17.079999999999998</v>
      </c>
      <c r="F12" s="13">
        <f ca="1">INDIRECT("'("&amp;$A$4&amp;"b)'!g8")</f>
        <v>66.16</v>
      </c>
      <c r="G12" s="13">
        <f ca="1">INDIRECT("'("&amp;$A$4&amp;"b)'!h8")</f>
        <v>88.32</v>
      </c>
      <c r="H12" s="4"/>
      <c r="J12" s="10"/>
      <c r="K12" s="10"/>
      <c r="M12" s="10"/>
      <c r="N12" s="10"/>
      <c r="P12" s="12"/>
      <c r="Q12" s="12"/>
      <c r="R12" s="12"/>
      <c r="S12" s="12"/>
      <c r="T12" s="12"/>
      <c r="V12" s="11"/>
      <c r="W12" s="11"/>
      <c r="X12" s="11"/>
      <c r="Y12" s="11"/>
      <c r="Z12" s="11"/>
      <c r="AA12" s="11"/>
      <c r="AB12" s="11"/>
      <c r="AC12" s="11"/>
      <c r="AD12" s="11"/>
      <c r="AE12" s="11"/>
      <c r="AF12" s="11"/>
    </row>
    <row r="13" spans="1:33" s="5" customFormat="1" ht="15" customHeight="1" x14ac:dyDescent="0.35">
      <c r="A13" s="4" t="s">
        <v>11</v>
      </c>
      <c r="B13" s="13">
        <f ca="1">INDIRECT("'("&amp;$A$4&amp;"b)'!C9")</f>
        <v>0</v>
      </c>
      <c r="C13" s="13">
        <f ca="1">INDIRECT("'("&amp;$A$4&amp;"b)'!d9")</f>
        <v>0</v>
      </c>
      <c r="D13" s="13">
        <f ca="1">INDIRECT("'("&amp;$A$4&amp;"b)'!e9")</f>
        <v>11.95</v>
      </c>
      <c r="E13" s="13">
        <f ca="1">INDIRECT("'("&amp;$A$4&amp;"b)'!f9")</f>
        <v>27.22</v>
      </c>
      <c r="F13" s="13">
        <f ca="1">INDIRECT("'("&amp;$A$4&amp;"b)'!g9")</f>
        <v>67.67</v>
      </c>
      <c r="G13" s="13">
        <f ca="1">INDIRECT("'("&amp;$A$4&amp;"b)'!h9")</f>
        <v>106.84</v>
      </c>
      <c r="H13" s="4"/>
      <c r="J13" s="10"/>
      <c r="K13" s="10"/>
      <c r="M13" s="10"/>
      <c r="N13" s="10"/>
      <c r="P13" s="12"/>
      <c r="Q13" s="12"/>
      <c r="R13" s="12"/>
      <c r="S13" s="12"/>
      <c r="T13" s="12"/>
      <c r="V13" s="11"/>
      <c r="W13" s="11"/>
      <c r="X13" s="11"/>
      <c r="Y13" s="11"/>
      <c r="Z13" s="11"/>
      <c r="AA13" s="11"/>
      <c r="AB13" s="11"/>
      <c r="AC13" s="11"/>
      <c r="AD13" s="11"/>
      <c r="AE13" s="11"/>
      <c r="AF13" s="11"/>
    </row>
    <row r="14" spans="1:33" s="5" customFormat="1" ht="15" customHeight="1" x14ac:dyDescent="0.35">
      <c r="A14" s="4" t="s">
        <v>12</v>
      </c>
      <c r="B14" s="13">
        <f ca="1">INDIRECT("'("&amp;$A$4&amp;"b)'!C10")</f>
        <v>0</v>
      </c>
      <c r="C14" s="13">
        <f ca="1">INDIRECT("'("&amp;$A$4&amp;"b)'!d10")</f>
        <v>0</v>
      </c>
      <c r="D14" s="13">
        <f ca="1">INDIRECT("'("&amp;$A$4&amp;"b)'!e10")</f>
        <v>10.050000000000001</v>
      </c>
      <c r="E14" s="13">
        <f ca="1">INDIRECT("'("&amp;$A$4&amp;"b)'!f10")</f>
        <v>29.79</v>
      </c>
      <c r="F14" s="13">
        <f ca="1">INDIRECT("'("&amp;$A$4&amp;"b)'!g10")</f>
        <v>110.32</v>
      </c>
      <c r="G14" s="13">
        <f ca="1">INDIRECT("'("&amp;$A$4&amp;"b)'!h10")</f>
        <v>150.16</v>
      </c>
      <c r="H14" s="4"/>
      <c r="J14" s="10"/>
      <c r="K14" s="10"/>
      <c r="M14" s="10"/>
      <c r="N14" s="10"/>
      <c r="P14" s="12"/>
      <c r="Q14" s="12"/>
      <c r="R14" s="12"/>
      <c r="S14" s="12"/>
      <c r="T14" s="12"/>
      <c r="V14" s="11"/>
      <c r="W14" s="11"/>
      <c r="X14" s="11"/>
      <c r="Y14" s="11"/>
      <c r="Z14" s="11"/>
      <c r="AA14" s="11"/>
      <c r="AB14" s="11"/>
      <c r="AC14" s="11"/>
      <c r="AD14" s="11"/>
      <c r="AE14" s="11"/>
      <c r="AF14" s="11"/>
    </row>
    <row r="15" spans="1:33" s="5" customFormat="1" ht="15" customHeight="1" x14ac:dyDescent="0.35">
      <c r="A15" s="4" t="s">
        <v>13</v>
      </c>
      <c r="B15" s="13">
        <f ca="1">INDIRECT("'("&amp;$A$4&amp;"b)'!C11")</f>
        <v>0</v>
      </c>
      <c r="C15" s="13">
        <f ca="1">INDIRECT("'("&amp;$A$4&amp;"b)'!d11")</f>
        <v>0</v>
      </c>
      <c r="D15" s="13">
        <f ca="1">INDIRECT("'("&amp;$A$4&amp;"b)'!e11")</f>
        <v>4</v>
      </c>
      <c r="E15" s="13">
        <f ca="1">INDIRECT("'("&amp;$A$4&amp;"b)'!f11")</f>
        <v>11.25</v>
      </c>
      <c r="F15" s="13">
        <f ca="1">INDIRECT("'("&amp;$A$4&amp;"b)'!g11")</f>
        <v>70.5</v>
      </c>
      <c r="G15" s="13">
        <f ca="1">INDIRECT("'("&amp;$A$4&amp;"b)'!h11")</f>
        <v>85.75</v>
      </c>
      <c r="H15" s="4"/>
      <c r="J15" s="10"/>
      <c r="K15" s="10"/>
      <c r="M15" s="10"/>
      <c r="N15" s="10"/>
      <c r="P15" s="12"/>
      <c r="Q15" s="12"/>
      <c r="R15" s="12"/>
      <c r="S15" s="12"/>
      <c r="T15" s="12"/>
      <c r="V15" s="11"/>
      <c r="W15" s="11"/>
      <c r="X15" s="11"/>
      <c r="Y15" s="11"/>
      <c r="Z15" s="11"/>
      <c r="AA15" s="11"/>
      <c r="AB15" s="11"/>
      <c r="AC15" s="11"/>
      <c r="AD15" s="11"/>
      <c r="AE15" s="11"/>
      <c r="AF15" s="11"/>
    </row>
    <row r="16" spans="1:33" s="5" customFormat="1" ht="15" customHeight="1" x14ac:dyDescent="0.35">
      <c r="A16" s="4" t="s">
        <v>14</v>
      </c>
      <c r="B16" s="13">
        <f ca="1">INDIRECT("'("&amp;$A$4&amp;"b)'!C12")</f>
        <v>0</v>
      </c>
      <c r="C16" s="13">
        <f ca="1">INDIRECT("'("&amp;$A$4&amp;"b)'!d12")</f>
        <v>14.75</v>
      </c>
      <c r="D16" s="13">
        <f ca="1">INDIRECT("'("&amp;$A$4&amp;"b)'!e12")</f>
        <v>26</v>
      </c>
      <c r="E16" s="13">
        <f ca="1">INDIRECT("'("&amp;$A$4&amp;"b)'!f12")</f>
        <v>44.75</v>
      </c>
      <c r="F16" s="13">
        <f ca="1">INDIRECT("'("&amp;$A$4&amp;"b)'!g12")</f>
        <v>287.12</v>
      </c>
      <c r="G16" s="13">
        <f ca="1">INDIRECT("'("&amp;$A$4&amp;"b)'!h12")</f>
        <v>372.62</v>
      </c>
      <c r="H16" s="4"/>
      <c r="J16" s="10"/>
      <c r="K16" s="10"/>
      <c r="M16" s="10"/>
      <c r="N16" s="10"/>
      <c r="P16" s="12"/>
      <c r="Q16" s="12"/>
      <c r="R16" s="12"/>
      <c r="S16" s="12"/>
      <c r="T16" s="12"/>
      <c r="V16" s="11"/>
      <c r="W16" s="11"/>
      <c r="X16" s="11"/>
      <c r="Y16" s="11"/>
      <c r="Z16" s="11"/>
      <c r="AA16" s="11"/>
      <c r="AB16" s="11"/>
      <c r="AC16" s="11"/>
      <c r="AD16" s="11"/>
      <c r="AE16" s="11"/>
      <c r="AF16" s="11"/>
    </row>
    <row r="17" spans="1:32" s="5" customFormat="1" ht="15" customHeight="1" x14ac:dyDescent="0.35">
      <c r="A17" s="4" t="s">
        <v>15</v>
      </c>
      <c r="B17" s="13">
        <f ca="1">INDIRECT("'("&amp;$A$4&amp;"b)'!C13")</f>
        <v>0</v>
      </c>
      <c r="C17" s="13">
        <f ca="1">INDIRECT("'("&amp;$A$4&amp;"b)'!d13")</f>
        <v>0</v>
      </c>
      <c r="D17" s="13">
        <f ca="1">INDIRECT("'("&amp;$A$4&amp;"b)'!e13")</f>
        <v>7.9</v>
      </c>
      <c r="E17" s="13">
        <f ca="1">INDIRECT("'("&amp;$A$4&amp;"b)'!f13")</f>
        <v>79.7</v>
      </c>
      <c r="F17" s="13">
        <f ca="1">INDIRECT("'("&amp;$A$4&amp;"b)'!g13")</f>
        <v>202.19</v>
      </c>
      <c r="G17" s="13">
        <f ca="1">INDIRECT("'("&amp;$A$4&amp;"b)'!h13")</f>
        <v>289.79000000000002</v>
      </c>
      <c r="H17" s="4"/>
      <c r="J17" s="10"/>
      <c r="K17" s="10"/>
      <c r="M17" s="10"/>
      <c r="N17" s="10"/>
      <c r="P17" s="12"/>
      <c r="Q17" s="12"/>
      <c r="R17" s="12"/>
      <c r="S17" s="12"/>
      <c r="T17" s="12"/>
      <c r="V17" s="11"/>
      <c r="W17" s="11"/>
      <c r="X17" s="11"/>
      <c r="Y17" s="11"/>
      <c r="Z17" s="11"/>
      <c r="AA17" s="11"/>
      <c r="AB17" s="11"/>
      <c r="AC17" s="11"/>
      <c r="AD17" s="11"/>
      <c r="AE17" s="11"/>
      <c r="AF17" s="11"/>
    </row>
    <row r="18" spans="1:32" s="5" customFormat="1" ht="15" customHeight="1" x14ac:dyDescent="0.35">
      <c r="A18" s="19" t="s">
        <v>16</v>
      </c>
      <c r="B18" s="13">
        <f ca="1">INDIRECT("'("&amp;$A$4&amp;"b)'!C14")</f>
        <v>0</v>
      </c>
      <c r="C18" s="13">
        <f ca="1">INDIRECT("'("&amp;$A$4&amp;"b)'!d14")</f>
        <v>0</v>
      </c>
      <c r="D18" s="13">
        <f ca="1">INDIRECT("'("&amp;$A$4&amp;"b)'!e14")</f>
        <v>22</v>
      </c>
      <c r="E18" s="13">
        <f ca="1">INDIRECT("'("&amp;$A$4&amp;"b)'!f14")</f>
        <v>42.25</v>
      </c>
      <c r="F18" s="13">
        <f ca="1">INDIRECT("'("&amp;$A$4&amp;"b)'!g14")</f>
        <v>148.85</v>
      </c>
      <c r="G18" s="13">
        <f ca="1">INDIRECT("'("&amp;$A$4&amp;"b)'!h14")</f>
        <v>213.1</v>
      </c>
      <c r="H18" s="4"/>
      <c r="J18" s="10"/>
      <c r="K18" s="10"/>
      <c r="M18" s="10"/>
      <c r="N18" s="10"/>
      <c r="P18" s="12"/>
      <c r="Q18" s="12"/>
      <c r="R18" s="12"/>
      <c r="S18" s="12"/>
      <c r="T18" s="12"/>
      <c r="V18" s="11"/>
      <c r="W18" s="11"/>
      <c r="X18" s="11"/>
      <c r="Y18" s="11"/>
      <c r="Z18" s="11"/>
      <c r="AA18" s="11"/>
      <c r="AB18" s="11"/>
      <c r="AC18" s="11"/>
      <c r="AD18" s="11"/>
      <c r="AE18" s="11"/>
      <c r="AF18" s="11"/>
    </row>
    <row r="19" spans="1:32" s="5" customFormat="1" ht="15" customHeight="1" x14ac:dyDescent="0.35">
      <c r="A19" s="19" t="s">
        <v>17</v>
      </c>
      <c r="B19" s="13">
        <f ca="1">INDIRECT("'("&amp;$A$4&amp;"b)'!C15")</f>
        <v>0</v>
      </c>
      <c r="C19" s="13">
        <f ca="1">INDIRECT("'("&amp;$A$4&amp;"b)'!d15")</f>
        <v>0</v>
      </c>
      <c r="D19" s="13">
        <f ca="1">INDIRECT("'("&amp;$A$4&amp;"b)'!e15")</f>
        <v>74.5</v>
      </c>
      <c r="E19" s="13">
        <f ca="1">INDIRECT("'("&amp;$A$4&amp;"b)'!f15")</f>
        <v>184.42000000000002</v>
      </c>
      <c r="F19" s="13">
        <f ca="1">INDIRECT("'("&amp;$A$4&amp;"b)'!g15")</f>
        <v>682.33999999999992</v>
      </c>
      <c r="G19" s="13">
        <f ca="1">INDIRECT("'("&amp;$A$4&amp;"b)'!h15")</f>
        <v>941.26</v>
      </c>
      <c r="H19" s="4"/>
      <c r="J19" s="10"/>
      <c r="K19" s="10"/>
      <c r="M19" s="10"/>
      <c r="N19" s="10"/>
      <c r="P19" s="12"/>
      <c r="Q19" s="12"/>
      <c r="R19" s="12"/>
      <c r="S19" s="12"/>
      <c r="T19" s="12"/>
      <c r="V19" s="11"/>
      <c r="W19" s="11"/>
      <c r="X19" s="11"/>
      <c r="Y19" s="11"/>
      <c r="Z19" s="11"/>
      <c r="AA19" s="11"/>
      <c r="AB19" s="11"/>
      <c r="AC19" s="11"/>
      <c r="AD19" s="11"/>
      <c r="AE19" s="11"/>
      <c r="AF19" s="11"/>
    </row>
    <row r="20" spans="1:32" s="5" customFormat="1" ht="15" customHeight="1" x14ac:dyDescent="0.35">
      <c r="A20" s="4" t="s">
        <v>18</v>
      </c>
      <c r="B20" s="13">
        <f ca="1">INDIRECT("'("&amp;$A$4&amp;"b)'!C16")</f>
        <v>0</v>
      </c>
      <c r="C20" s="13">
        <f ca="1">INDIRECT("'("&amp;$A$4&amp;"b)'!d16")</f>
        <v>0</v>
      </c>
      <c r="D20" s="13">
        <f ca="1">INDIRECT("'("&amp;$A$4&amp;"b)'!e16")</f>
        <v>55</v>
      </c>
      <c r="E20" s="13">
        <f ca="1">INDIRECT("'("&amp;$A$4&amp;"b)'!f16")</f>
        <v>101</v>
      </c>
      <c r="F20" s="13">
        <f ca="1">INDIRECT("'("&amp;$A$4&amp;"b)'!g16")</f>
        <v>316</v>
      </c>
      <c r="G20" s="13">
        <f ca="1">INDIRECT("'("&amp;$A$4&amp;"b)'!h16")</f>
        <v>472</v>
      </c>
      <c r="H20" s="4"/>
      <c r="J20" s="10"/>
      <c r="K20" s="10"/>
      <c r="M20" s="10"/>
      <c r="N20" s="10"/>
      <c r="P20" s="12"/>
      <c r="Q20" s="12"/>
      <c r="R20" s="12"/>
      <c r="S20" s="12"/>
      <c r="T20" s="12"/>
      <c r="V20" s="11"/>
      <c r="W20" s="11"/>
      <c r="X20" s="11"/>
      <c r="Y20" s="11"/>
      <c r="Z20" s="11"/>
      <c r="AA20" s="11"/>
      <c r="AB20" s="11"/>
      <c r="AC20" s="11"/>
      <c r="AD20" s="11"/>
      <c r="AE20" s="11"/>
      <c r="AF20" s="11"/>
    </row>
    <row r="21" spans="1:32" s="5" customFormat="1" ht="15" customHeight="1" x14ac:dyDescent="0.35">
      <c r="A21" s="4" t="s">
        <v>19</v>
      </c>
      <c r="B21" s="13">
        <f ca="1">INDIRECT("'("&amp;$A$4&amp;"b)'!C17")</f>
        <v>0</v>
      </c>
      <c r="C21" s="13">
        <f ca="1">INDIRECT("'("&amp;$A$4&amp;"b)'!d17")</f>
        <v>0</v>
      </c>
      <c r="D21" s="13">
        <f ca="1">INDIRECT("'("&amp;$A$4&amp;"b)'!e17")</f>
        <v>10</v>
      </c>
      <c r="E21" s="13">
        <f ca="1">INDIRECT("'("&amp;$A$4&amp;"b)'!f17")</f>
        <v>26</v>
      </c>
      <c r="F21" s="13">
        <f ca="1">INDIRECT("'("&amp;$A$4&amp;"b)'!g17")</f>
        <v>101</v>
      </c>
      <c r="G21" s="13">
        <f ca="1">INDIRECT("'("&amp;$A$4&amp;"b)'!h17")</f>
        <v>137</v>
      </c>
      <c r="H21" s="4"/>
      <c r="J21" s="10"/>
      <c r="K21" s="10"/>
      <c r="M21" s="10"/>
      <c r="N21" s="10"/>
      <c r="P21" s="12"/>
      <c r="Q21" s="12"/>
      <c r="R21" s="12"/>
      <c r="S21" s="12"/>
      <c r="T21" s="12"/>
      <c r="V21" s="11"/>
      <c r="W21" s="11"/>
      <c r="X21" s="11"/>
      <c r="Y21" s="11"/>
      <c r="Z21" s="11"/>
      <c r="AA21" s="11"/>
      <c r="AB21" s="11"/>
      <c r="AC21" s="11"/>
      <c r="AD21" s="11"/>
      <c r="AE21" s="11"/>
      <c r="AF21" s="11"/>
    </row>
    <row r="22" spans="1:32" s="5" customFormat="1" ht="15" customHeight="1" x14ac:dyDescent="0.35">
      <c r="A22" s="4" t="s">
        <v>20</v>
      </c>
      <c r="B22" s="13">
        <f ca="1">INDIRECT("'("&amp;$A$4&amp;"b)'!C18")</f>
        <v>0</v>
      </c>
      <c r="C22" s="13">
        <f ca="1">INDIRECT("'("&amp;$A$4&amp;"b)'!d18")</f>
        <v>0</v>
      </c>
      <c r="D22" s="13">
        <f ca="1">INDIRECT("'("&amp;$A$4&amp;"b)'!e18")</f>
        <v>14</v>
      </c>
      <c r="E22" s="13">
        <f ca="1">INDIRECT("'("&amp;$A$4&amp;"b)'!f18")</f>
        <v>28</v>
      </c>
      <c r="F22" s="13">
        <f ca="1">INDIRECT("'("&amp;$A$4&amp;"b)'!g18")</f>
        <v>154</v>
      </c>
      <c r="G22" s="13">
        <f ca="1">INDIRECT("'("&amp;$A$4&amp;"b)'!h18")</f>
        <v>196</v>
      </c>
      <c r="H22" s="4"/>
      <c r="J22" s="10"/>
      <c r="K22" s="10"/>
      <c r="M22" s="10"/>
      <c r="N22" s="10"/>
      <c r="P22" s="12"/>
      <c r="Q22" s="12"/>
      <c r="R22" s="12"/>
      <c r="S22" s="12"/>
      <c r="T22" s="12"/>
      <c r="V22" s="11"/>
      <c r="W22" s="11"/>
      <c r="X22" s="11"/>
      <c r="Y22" s="11"/>
      <c r="Z22" s="11"/>
      <c r="AA22" s="11"/>
      <c r="AB22" s="11"/>
      <c r="AC22" s="11"/>
      <c r="AD22" s="11"/>
      <c r="AE22" s="11"/>
      <c r="AF22" s="11"/>
    </row>
    <row r="23" spans="1:32" s="5" customFormat="1" ht="15" customHeight="1" x14ac:dyDescent="0.35">
      <c r="A23" s="4" t="s">
        <v>21</v>
      </c>
      <c r="B23" s="13">
        <f ca="1">INDIRECT("'("&amp;$A$4&amp;"b)'!C19")</f>
        <v>0</v>
      </c>
      <c r="C23" s="13">
        <f ca="1">INDIRECT("'("&amp;$A$4&amp;"b)'!d19")</f>
        <v>3.8</v>
      </c>
      <c r="D23" s="13">
        <f ca="1">INDIRECT("'("&amp;$A$4&amp;"b)'!e19")</f>
        <v>25.3</v>
      </c>
      <c r="E23" s="13">
        <f ca="1">INDIRECT("'("&amp;$A$4&amp;"b)'!f19")</f>
        <v>71.8</v>
      </c>
      <c r="F23" s="13">
        <f ca="1">INDIRECT("'("&amp;$A$4&amp;"b)'!g19")</f>
        <v>296.8</v>
      </c>
      <c r="G23" s="13">
        <f ca="1">INDIRECT("'("&amp;$A$4&amp;"b)'!h19")</f>
        <v>397.70000000000005</v>
      </c>
      <c r="H23" s="4"/>
      <c r="J23" s="10"/>
      <c r="K23" s="10"/>
      <c r="M23" s="10"/>
      <c r="N23" s="10"/>
      <c r="P23" s="12"/>
      <c r="Q23" s="12"/>
      <c r="R23" s="12"/>
      <c r="S23" s="12"/>
      <c r="T23" s="12"/>
      <c r="V23" s="11"/>
      <c r="W23" s="11"/>
      <c r="X23" s="11"/>
      <c r="Y23" s="11"/>
      <c r="Z23" s="11"/>
      <c r="AA23" s="11"/>
      <c r="AB23" s="11"/>
      <c r="AC23" s="11"/>
      <c r="AD23" s="11"/>
      <c r="AE23" s="11"/>
      <c r="AF23" s="11"/>
    </row>
    <row r="24" spans="1:32" s="5" customFormat="1" ht="15" customHeight="1" x14ac:dyDescent="0.35">
      <c r="A24" s="4" t="s">
        <v>22</v>
      </c>
      <c r="B24" s="13">
        <f ca="1">INDIRECT("'("&amp;$A$4&amp;"b)'!C20")</f>
        <v>0</v>
      </c>
      <c r="C24" s="13">
        <f ca="1">INDIRECT("'("&amp;$A$4&amp;"b)'!d20")</f>
        <v>0.75</v>
      </c>
      <c r="D24" s="13">
        <f ca="1">INDIRECT("'("&amp;$A$4&amp;"b)'!e20")</f>
        <v>19.850000000000001</v>
      </c>
      <c r="E24" s="13">
        <f ca="1">INDIRECT("'("&amp;$A$4&amp;"b)'!f20")</f>
        <v>35</v>
      </c>
      <c r="F24" s="13">
        <f ca="1">INDIRECT("'("&amp;$A$4&amp;"b)'!g20")</f>
        <v>138.80000000000001</v>
      </c>
      <c r="G24" s="13">
        <f ca="1">INDIRECT("'("&amp;$A$4&amp;"b)'!h20")</f>
        <v>194.4</v>
      </c>
      <c r="H24" s="4"/>
      <c r="J24" s="10"/>
      <c r="K24" s="10"/>
      <c r="M24" s="10"/>
      <c r="N24" s="10"/>
      <c r="P24" s="12"/>
      <c r="Q24" s="12"/>
      <c r="R24" s="12"/>
      <c r="S24" s="12"/>
      <c r="T24" s="12"/>
      <c r="V24" s="11"/>
      <c r="W24" s="11"/>
      <c r="X24" s="11"/>
      <c r="Y24" s="11"/>
      <c r="Z24" s="11"/>
      <c r="AA24" s="11"/>
      <c r="AB24" s="11"/>
      <c r="AC24" s="11"/>
      <c r="AD24" s="11"/>
      <c r="AE24" s="11"/>
      <c r="AF24" s="11"/>
    </row>
    <row r="25" spans="1:32" s="5" customFormat="1" ht="15" customHeight="1" x14ac:dyDescent="0.35">
      <c r="A25" s="4" t="s">
        <v>25</v>
      </c>
      <c r="B25" s="13">
        <f ca="1">INDIRECT("'("&amp;$A$4&amp;"b)'!C21")</f>
        <v>0</v>
      </c>
      <c r="C25" s="13">
        <f ca="1">INDIRECT("'("&amp;$A$4&amp;"b)'!d21")</f>
        <v>2</v>
      </c>
      <c r="D25" s="13">
        <f ca="1">INDIRECT("'("&amp;$A$4&amp;"b)'!e21")</f>
        <v>50</v>
      </c>
      <c r="E25" s="13">
        <f ca="1">INDIRECT("'("&amp;$A$4&amp;"b)'!f21")</f>
        <v>95.75</v>
      </c>
      <c r="F25" s="13">
        <f ca="1">INDIRECT("'("&amp;$A$4&amp;"b)'!g21")</f>
        <v>421.375</v>
      </c>
      <c r="G25" s="13">
        <f ca="1">INDIRECT("'("&amp;$A$4&amp;"b)'!h21")</f>
        <v>569.125</v>
      </c>
      <c r="H25" s="4"/>
      <c r="J25" s="10"/>
      <c r="K25" s="10"/>
      <c r="M25" s="10"/>
      <c r="N25" s="10"/>
      <c r="P25" s="12"/>
      <c r="Q25" s="12"/>
      <c r="R25" s="12"/>
      <c r="S25" s="12"/>
      <c r="T25" s="12"/>
      <c r="V25" s="11"/>
      <c r="W25" s="11"/>
      <c r="X25" s="11"/>
      <c r="Y25" s="11"/>
      <c r="Z25" s="11"/>
      <c r="AA25" s="11"/>
      <c r="AB25" s="11"/>
      <c r="AC25" s="11"/>
      <c r="AD25" s="11"/>
      <c r="AE25" s="11"/>
      <c r="AF25" s="11"/>
    </row>
    <row r="26" spans="1:32" s="5" customFormat="1" ht="15" customHeight="1" x14ac:dyDescent="0.35">
      <c r="A26" s="4" t="s">
        <v>26</v>
      </c>
      <c r="B26" s="13">
        <f ca="1">INDIRECT("'("&amp;$A$4&amp;"b)'!C22")</f>
        <v>0</v>
      </c>
      <c r="C26" s="13">
        <f ca="1">INDIRECT("'("&amp;$A$4&amp;"b)'!d22")</f>
        <v>0</v>
      </c>
      <c r="D26" s="13">
        <f ca="1">INDIRECT("'("&amp;$A$4&amp;"b)'!e22")</f>
        <v>18.48</v>
      </c>
      <c r="E26" s="13">
        <f ca="1">INDIRECT("'("&amp;$A$4&amp;"b)'!f22")</f>
        <v>41.92</v>
      </c>
      <c r="F26" s="13">
        <f ca="1">INDIRECT("'("&amp;$A$4&amp;"b)'!g22")</f>
        <v>160.91999999999999</v>
      </c>
      <c r="G26" s="13">
        <f ca="1">INDIRECT("'("&amp;$A$4&amp;"b)'!h22")</f>
        <v>221.32</v>
      </c>
      <c r="H26" s="4"/>
      <c r="J26" s="10"/>
      <c r="K26" s="10"/>
      <c r="M26" s="10"/>
      <c r="N26" s="10"/>
      <c r="P26" s="12"/>
      <c r="Q26" s="12"/>
      <c r="R26" s="12"/>
      <c r="S26" s="12"/>
      <c r="T26" s="12"/>
      <c r="V26" s="11"/>
      <c r="W26" s="11"/>
      <c r="X26" s="11"/>
      <c r="Y26" s="11"/>
      <c r="Z26" s="11"/>
      <c r="AA26" s="11"/>
      <c r="AB26" s="11"/>
      <c r="AC26" s="11"/>
      <c r="AD26" s="11"/>
      <c r="AE26" s="11"/>
      <c r="AF26" s="11"/>
    </row>
    <row r="27" spans="1:32" s="5" customFormat="1" ht="15" customHeight="1" x14ac:dyDescent="0.35">
      <c r="A27" s="4" t="s">
        <v>27</v>
      </c>
      <c r="B27" s="13">
        <f ca="1">INDIRECT("'("&amp;$A$4&amp;"b)'!C23")</f>
        <v>0</v>
      </c>
      <c r="C27" s="13">
        <f ca="1">INDIRECT("'("&amp;$A$4&amp;"b)'!d23")</f>
        <v>0</v>
      </c>
      <c r="D27" s="13">
        <f ca="1">INDIRECT("'("&amp;$A$4&amp;"b)'!e23")</f>
        <v>20</v>
      </c>
      <c r="E27" s="13">
        <f ca="1">INDIRECT("'("&amp;$A$4&amp;"b)'!f23")</f>
        <v>32</v>
      </c>
      <c r="F27" s="13">
        <f ca="1">INDIRECT("'("&amp;$A$4&amp;"b)'!g23")</f>
        <v>115</v>
      </c>
      <c r="G27" s="13">
        <f ca="1">INDIRECT("'("&amp;$A$4&amp;"b)'!h23")</f>
        <v>167</v>
      </c>
      <c r="H27" s="4"/>
      <c r="J27" s="10"/>
      <c r="K27" s="10"/>
      <c r="M27" s="10"/>
      <c r="N27" s="10"/>
      <c r="P27" s="12"/>
      <c r="Q27" s="12"/>
      <c r="R27" s="12"/>
      <c r="S27" s="12"/>
      <c r="T27" s="12"/>
      <c r="V27" s="11"/>
      <c r="W27" s="11"/>
      <c r="X27" s="11"/>
      <c r="Y27" s="11"/>
      <c r="Z27" s="11"/>
      <c r="AA27" s="11"/>
      <c r="AB27" s="11"/>
      <c r="AC27" s="11"/>
      <c r="AD27" s="11"/>
      <c r="AE27" s="11"/>
      <c r="AF27" s="11"/>
    </row>
    <row r="28" spans="1:32" s="5" customFormat="1" ht="15" customHeight="1" x14ac:dyDescent="0.35">
      <c r="A28" s="4" t="s">
        <v>28</v>
      </c>
      <c r="B28" s="13">
        <f ca="1">INDIRECT("'("&amp;$A$4&amp;"b)'!C24")</f>
        <v>0</v>
      </c>
      <c r="C28" s="13">
        <f ca="1">INDIRECT("'("&amp;$A$4&amp;"b)'!d24")</f>
        <v>0</v>
      </c>
      <c r="D28" s="13">
        <f ca="1">INDIRECT("'("&amp;$A$4&amp;"b)'!e24")</f>
        <v>22</v>
      </c>
      <c r="E28" s="13">
        <f ca="1">INDIRECT("'("&amp;$A$4&amp;"b)'!f24")</f>
        <v>64</v>
      </c>
      <c r="F28" s="13">
        <f ca="1">INDIRECT("'("&amp;$A$4&amp;"b)'!g24")</f>
        <v>256</v>
      </c>
      <c r="G28" s="13">
        <f ca="1">INDIRECT("'("&amp;$A$4&amp;"b)'!h24")</f>
        <v>342</v>
      </c>
      <c r="H28" s="4"/>
      <c r="J28" s="10"/>
      <c r="K28" s="10"/>
      <c r="M28" s="10"/>
      <c r="N28" s="10"/>
      <c r="P28" s="12"/>
      <c r="Q28" s="12"/>
      <c r="R28" s="12"/>
      <c r="S28" s="12"/>
      <c r="T28" s="12"/>
      <c r="V28" s="11"/>
      <c r="W28" s="11"/>
      <c r="X28" s="11"/>
      <c r="Y28" s="11"/>
      <c r="Z28" s="11"/>
      <c r="AA28" s="11"/>
      <c r="AB28" s="11"/>
      <c r="AC28" s="11"/>
      <c r="AD28" s="11"/>
      <c r="AE28" s="11"/>
      <c r="AF28" s="11"/>
    </row>
    <row r="29" spans="1:32" s="5" customFormat="1" ht="15" customHeight="1" x14ac:dyDescent="0.35">
      <c r="A29" s="4" t="s">
        <v>29</v>
      </c>
      <c r="B29" s="13">
        <f ca="1">INDIRECT("'("&amp;$A$4&amp;"b)'!C25")</f>
        <v>0</v>
      </c>
      <c r="C29" s="13">
        <f ca="1">INDIRECT("'("&amp;$A$4&amp;"b)'!d25")</f>
        <v>0</v>
      </c>
      <c r="D29" s="13">
        <f ca="1">INDIRECT("'("&amp;$A$4&amp;"b)'!e25")</f>
        <v>11</v>
      </c>
      <c r="E29" s="13">
        <f ca="1">INDIRECT("'("&amp;$A$4&amp;"b)'!f25")</f>
        <v>22</v>
      </c>
      <c r="F29" s="13">
        <f ca="1">INDIRECT("'("&amp;$A$4&amp;"b)'!g25")</f>
        <v>71</v>
      </c>
      <c r="G29" s="13">
        <f ca="1">INDIRECT("'("&amp;$A$4&amp;"b)'!h25")</f>
        <v>104</v>
      </c>
      <c r="H29" s="4"/>
      <c r="J29" s="10"/>
      <c r="K29" s="10"/>
      <c r="M29" s="10"/>
      <c r="N29" s="10"/>
      <c r="P29" s="12"/>
      <c r="Q29" s="12"/>
      <c r="R29" s="12"/>
      <c r="S29" s="12"/>
      <c r="T29" s="12"/>
      <c r="V29" s="11"/>
      <c r="W29" s="11"/>
      <c r="X29" s="11"/>
      <c r="Y29" s="11"/>
      <c r="Z29" s="11"/>
      <c r="AA29" s="11"/>
      <c r="AB29" s="11"/>
      <c r="AC29" s="11"/>
      <c r="AD29" s="11"/>
      <c r="AE29" s="11"/>
      <c r="AF29" s="11"/>
    </row>
    <row r="30" spans="1:32" s="5" customFormat="1" ht="15" customHeight="1" x14ac:dyDescent="0.35">
      <c r="A30" s="5" t="s">
        <v>31</v>
      </c>
      <c r="B30" s="13">
        <f ca="1">INDIRECT("'("&amp;$A$4&amp;"b)'!C26")</f>
        <v>0</v>
      </c>
      <c r="C30" s="13">
        <f ca="1">INDIRECT("'("&amp;$A$4&amp;"b)'!d26")</f>
        <v>0</v>
      </c>
      <c r="D30" s="13">
        <f ca="1">INDIRECT("'("&amp;$A$4&amp;"b)'!e26")</f>
        <v>28</v>
      </c>
      <c r="E30" s="13">
        <f ca="1">INDIRECT("'("&amp;$A$4&amp;"b)'!f26")</f>
        <v>81</v>
      </c>
      <c r="F30" s="13">
        <f ca="1">INDIRECT("'("&amp;$A$4&amp;"b)'!g26")</f>
        <v>372</v>
      </c>
      <c r="G30" s="13">
        <f ca="1">INDIRECT("'("&amp;$A$4&amp;"b)'!h26")</f>
        <v>481</v>
      </c>
      <c r="H30" s="4"/>
      <c r="J30" s="10"/>
      <c r="K30" s="10"/>
      <c r="M30" s="10"/>
      <c r="N30" s="10"/>
      <c r="P30" s="12"/>
      <c r="Q30" s="12"/>
      <c r="R30" s="12"/>
      <c r="S30" s="12"/>
      <c r="T30" s="12"/>
      <c r="V30" s="11"/>
      <c r="W30" s="11"/>
      <c r="X30" s="11"/>
      <c r="Y30" s="11"/>
      <c r="Z30" s="11"/>
      <c r="AA30" s="11"/>
      <c r="AB30" s="11"/>
      <c r="AC30" s="11"/>
      <c r="AD30" s="11"/>
      <c r="AE30" s="11"/>
      <c r="AF30" s="11"/>
    </row>
    <row r="31" spans="1:32" s="5" customFormat="1" ht="15" customHeight="1" x14ac:dyDescent="0.35">
      <c r="A31" s="5" t="s">
        <v>32</v>
      </c>
      <c r="B31" s="13">
        <f ca="1">INDIRECT("'("&amp;$A$4&amp;"b)'!C27")</f>
        <v>0</v>
      </c>
      <c r="C31" s="13">
        <f ca="1">INDIRECT("'("&amp;$A$4&amp;"b)'!d27")</f>
        <v>0</v>
      </c>
      <c r="D31" s="13">
        <f ca="1">INDIRECT("'("&amp;$A$4&amp;"b)'!e27")</f>
        <v>22.5</v>
      </c>
      <c r="E31" s="13">
        <f ca="1">INDIRECT("'("&amp;$A$4&amp;"b)'!f27")</f>
        <v>66.900000000000006</v>
      </c>
      <c r="F31" s="13">
        <f ca="1">INDIRECT("'("&amp;$A$4&amp;"b)'!g27")</f>
        <v>179.3</v>
      </c>
      <c r="G31" s="13">
        <f ca="1">INDIRECT("'("&amp;$A$4&amp;"b)'!h27")</f>
        <v>268.70000000000005</v>
      </c>
      <c r="H31" s="4"/>
      <c r="J31" s="10"/>
      <c r="K31" s="10"/>
      <c r="M31" s="10"/>
      <c r="N31" s="10"/>
      <c r="P31" s="12"/>
      <c r="Q31" s="12"/>
      <c r="R31" s="12"/>
      <c r="S31" s="12"/>
      <c r="T31" s="12"/>
      <c r="V31" s="11"/>
      <c r="W31" s="11"/>
      <c r="X31" s="11"/>
      <c r="Y31" s="11"/>
      <c r="Z31" s="11"/>
      <c r="AA31" s="11"/>
      <c r="AB31" s="11"/>
      <c r="AC31" s="11"/>
      <c r="AD31" s="11"/>
      <c r="AE31" s="11"/>
      <c r="AF31" s="11"/>
    </row>
    <row r="32" spans="1:32" s="5" customFormat="1" ht="15" customHeight="1" x14ac:dyDescent="0.35">
      <c r="A32" s="4" t="s">
        <v>33</v>
      </c>
      <c r="B32" s="13">
        <f ca="1">INDIRECT("'("&amp;$A$4&amp;"b)'!C28")</f>
        <v>0</v>
      </c>
      <c r="C32" s="13">
        <f ca="1">INDIRECT("'("&amp;$A$4&amp;"b)'!d28")</f>
        <v>0</v>
      </c>
      <c r="D32" s="13">
        <f ca="1">INDIRECT("'("&amp;$A$4&amp;"b)'!e28")</f>
        <v>10.45</v>
      </c>
      <c r="E32" s="13">
        <f ca="1">INDIRECT("'("&amp;$A$4&amp;"b)'!f28")</f>
        <v>21.35</v>
      </c>
      <c r="F32" s="13">
        <f ca="1">INDIRECT("'("&amp;$A$4&amp;"b)'!g28")</f>
        <v>95.8</v>
      </c>
      <c r="G32" s="13">
        <f ca="1">INDIRECT("'("&amp;$A$4&amp;"b)'!h28")</f>
        <v>127.6</v>
      </c>
      <c r="H32" s="4"/>
      <c r="J32" s="10"/>
      <c r="K32" s="10"/>
      <c r="M32" s="10"/>
      <c r="N32" s="10"/>
      <c r="P32" s="12"/>
      <c r="Q32" s="12"/>
      <c r="R32" s="12"/>
      <c r="S32" s="12"/>
      <c r="T32" s="12"/>
      <c r="V32" s="11"/>
      <c r="W32" s="11"/>
      <c r="X32" s="11"/>
      <c r="Y32" s="11"/>
      <c r="Z32" s="11"/>
      <c r="AA32" s="11"/>
      <c r="AB32" s="11"/>
      <c r="AC32" s="11"/>
      <c r="AD32" s="11"/>
      <c r="AE32" s="11"/>
      <c r="AF32" s="11"/>
    </row>
    <row r="33" spans="1:32" s="5" customFormat="1" ht="15" customHeight="1" x14ac:dyDescent="0.35">
      <c r="A33" s="5" t="s">
        <v>34</v>
      </c>
      <c r="B33" s="13">
        <f ca="1">INDIRECT("'("&amp;$A$4&amp;"b)'!C29")</f>
        <v>0</v>
      </c>
      <c r="C33" s="13">
        <f ca="1">INDIRECT("'("&amp;$A$4&amp;"b)'!d29")</f>
        <v>0</v>
      </c>
      <c r="D33" s="13">
        <f ca="1">INDIRECT("'("&amp;$A$4&amp;"b)'!e29")</f>
        <v>34</v>
      </c>
      <c r="E33" s="13">
        <f ca="1">INDIRECT("'("&amp;$A$4&amp;"b)'!f29")</f>
        <v>62.5</v>
      </c>
      <c r="F33" s="13">
        <f ca="1">INDIRECT("'("&amp;$A$4&amp;"b)'!g29")</f>
        <v>258.25</v>
      </c>
      <c r="G33" s="13">
        <f ca="1">INDIRECT("'("&amp;$A$4&amp;"b)'!h29")</f>
        <v>354.75</v>
      </c>
      <c r="H33" s="4"/>
      <c r="J33" s="10"/>
      <c r="K33" s="10"/>
      <c r="M33" s="10"/>
      <c r="N33" s="10"/>
      <c r="P33" s="12"/>
      <c r="Q33" s="12"/>
      <c r="R33" s="12"/>
      <c r="S33" s="12"/>
      <c r="T33" s="12"/>
      <c r="V33" s="11"/>
      <c r="W33" s="11"/>
      <c r="X33" s="11"/>
      <c r="Y33" s="11"/>
      <c r="Z33" s="11"/>
      <c r="AA33" s="11"/>
      <c r="AB33" s="11"/>
      <c r="AC33" s="11"/>
      <c r="AD33" s="11"/>
      <c r="AE33" s="11"/>
      <c r="AF33" s="11"/>
    </row>
    <row r="34" spans="1:32" s="5" customFormat="1" ht="15" customHeight="1" x14ac:dyDescent="0.35">
      <c r="A34" s="5" t="s">
        <v>36</v>
      </c>
      <c r="B34" s="13">
        <f ca="1">INDIRECT("'("&amp;$A$4&amp;"b)'!C30")</f>
        <v>0</v>
      </c>
      <c r="C34" s="13">
        <f ca="1">INDIRECT("'("&amp;$A$4&amp;"b)'!d30")</f>
        <v>0</v>
      </c>
      <c r="D34" s="13">
        <f ca="1">INDIRECT("'("&amp;$A$4&amp;"b)'!e30")</f>
        <v>41.5</v>
      </c>
      <c r="E34" s="13">
        <f ca="1">INDIRECT("'("&amp;$A$4&amp;"b)'!f30")</f>
        <v>72</v>
      </c>
      <c r="F34" s="13">
        <f ca="1">INDIRECT("'("&amp;$A$4&amp;"b)'!g30")</f>
        <v>307.25</v>
      </c>
      <c r="G34" s="13">
        <f ca="1">INDIRECT("'("&amp;$A$4&amp;"b)'!h30")</f>
        <v>420.75</v>
      </c>
      <c r="H34" s="4"/>
      <c r="J34" s="10"/>
      <c r="K34" s="10"/>
      <c r="M34" s="10"/>
      <c r="N34" s="10"/>
      <c r="P34" s="12"/>
      <c r="Q34" s="12"/>
      <c r="R34" s="12"/>
      <c r="S34" s="12"/>
      <c r="T34" s="12"/>
      <c r="V34" s="11"/>
      <c r="W34" s="11"/>
      <c r="X34" s="11"/>
      <c r="Y34" s="11"/>
      <c r="Z34" s="11"/>
      <c r="AA34" s="11"/>
      <c r="AB34" s="11"/>
      <c r="AC34" s="11"/>
      <c r="AD34" s="11"/>
      <c r="AE34" s="11"/>
      <c r="AF34" s="11"/>
    </row>
    <row r="35" spans="1:32" s="5" customFormat="1" ht="15" customHeight="1" x14ac:dyDescent="0.35">
      <c r="A35" s="4" t="s">
        <v>37</v>
      </c>
      <c r="B35" s="13">
        <f ca="1">INDIRECT("'("&amp;$A$4&amp;"b)'!C31")</f>
        <v>0</v>
      </c>
      <c r="C35" s="13">
        <f ca="1">INDIRECT("'("&amp;$A$4&amp;"b)'!d31")</f>
        <v>0</v>
      </c>
      <c r="D35" s="13">
        <f ca="1">INDIRECT("'("&amp;$A$4&amp;"b)'!e31")</f>
        <v>0</v>
      </c>
      <c r="E35" s="13">
        <f ca="1">INDIRECT("'("&amp;$A$4&amp;"b)'!f31")</f>
        <v>0</v>
      </c>
      <c r="F35" s="13">
        <f ca="1">INDIRECT("'("&amp;$A$4&amp;"b)'!g31")</f>
        <v>0</v>
      </c>
      <c r="G35" s="13">
        <f ca="1">INDIRECT("'("&amp;$A$4&amp;"b)'!h31")</f>
        <v>0</v>
      </c>
      <c r="H35" s="4"/>
      <c r="J35" s="10"/>
      <c r="K35" s="10"/>
      <c r="M35" s="10"/>
      <c r="N35" s="10"/>
      <c r="P35" s="12"/>
      <c r="Q35" s="12"/>
      <c r="R35" s="12"/>
      <c r="S35" s="12"/>
      <c r="T35" s="12"/>
      <c r="V35" s="11"/>
      <c r="W35" s="11"/>
      <c r="X35" s="11"/>
      <c r="Y35" s="11"/>
      <c r="Z35" s="11"/>
      <c r="AA35" s="11"/>
      <c r="AB35" s="11"/>
      <c r="AC35" s="11"/>
      <c r="AD35" s="11"/>
      <c r="AE35" s="11"/>
      <c r="AF35" s="11"/>
    </row>
    <row r="36" spans="1:32" s="5" customFormat="1" ht="15" customHeight="1" x14ac:dyDescent="0.35">
      <c r="A36" s="5" t="s">
        <v>38</v>
      </c>
      <c r="B36" s="13">
        <f ca="1">INDIRECT("'("&amp;$A$4&amp;"b)'!C32")</f>
        <v>0</v>
      </c>
      <c r="C36" s="13">
        <f ca="1">INDIRECT("'("&amp;$A$4&amp;"b)'!d32")</f>
        <v>0</v>
      </c>
      <c r="D36" s="13">
        <f ca="1">INDIRECT("'("&amp;$A$4&amp;"b)'!e32")</f>
        <v>24</v>
      </c>
      <c r="E36" s="13">
        <f ca="1">INDIRECT("'("&amp;$A$4&amp;"b)'!f32")</f>
        <v>58</v>
      </c>
      <c r="F36" s="13">
        <f ca="1">INDIRECT("'("&amp;$A$4&amp;"b)'!g32")</f>
        <v>207</v>
      </c>
      <c r="G36" s="13">
        <f ca="1">INDIRECT("'("&amp;$A$4&amp;"b)'!h32")</f>
        <v>289</v>
      </c>
      <c r="H36" s="4"/>
      <c r="J36" s="10"/>
      <c r="K36" s="10"/>
      <c r="M36" s="10"/>
      <c r="N36" s="10"/>
      <c r="P36" s="12"/>
      <c r="Q36" s="12"/>
      <c r="R36" s="12"/>
      <c r="S36" s="12"/>
      <c r="T36" s="12"/>
      <c r="V36" s="11"/>
      <c r="W36" s="11"/>
      <c r="X36" s="11"/>
      <c r="Y36" s="11"/>
      <c r="Z36" s="11"/>
      <c r="AA36" s="11"/>
      <c r="AB36" s="11"/>
      <c r="AC36" s="11"/>
      <c r="AD36" s="11"/>
      <c r="AE36" s="11"/>
      <c r="AF36" s="11"/>
    </row>
    <row r="37" spans="1:32" s="5" customFormat="1" ht="15" customHeight="1" x14ac:dyDescent="0.35">
      <c r="A37" s="5" t="s">
        <v>39</v>
      </c>
      <c r="B37" s="13">
        <f ca="1">INDIRECT("'("&amp;$A$4&amp;"b)'!C33")</f>
        <v>0</v>
      </c>
      <c r="C37" s="13">
        <f ca="1">INDIRECT("'("&amp;$A$4&amp;"b)'!d33")</f>
        <v>0</v>
      </c>
      <c r="D37" s="13">
        <f ca="1">INDIRECT("'("&amp;$A$4&amp;"b)'!e33")</f>
        <v>9.75</v>
      </c>
      <c r="E37" s="13">
        <f ca="1">INDIRECT("'("&amp;$A$4&amp;"b)'!f33")</f>
        <v>23.76</v>
      </c>
      <c r="F37" s="13">
        <f ca="1">INDIRECT("'("&amp;$A$4&amp;"b)'!g33")</f>
        <v>122.5</v>
      </c>
      <c r="G37" s="13">
        <f ca="1">INDIRECT("'("&amp;$A$4&amp;"b)'!h33")</f>
        <v>156.01</v>
      </c>
      <c r="H37" s="4"/>
      <c r="J37" s="10"/>
      <c r="K37" s="10"/>
      <c r="M37" s="10"/>
      <c r="N37" s="10"/>
      <c r="P37" s="12"/>
      <c r="Q37" s="12"/>
      <c r="R37" s="12"/>
      <c r="S37" s="12"/>
      <c r="T37" s="12"/>
      <c r="V37" s="11"/>
      <c r="W37" s="11"/>
      <c r="X37" s="11"/>
      <c r="Y37" s="11"/>
      <c r="Z37" s="11"/>
      <c r="AA37" s="11"/>
      <c r="AB37" s="11"/>
      <c r="AC37" s="11"/>
      <c r="AD37" s="11"/>
      <c r="AE37" s="11"/>
      <c r="AF37" s="11"/>
    </row>
    <row r="38" spans="1:32" s="5" customFormat="1" ht="15" customHeight="1" x14ac:dyDescent="0.35">
      <c r="A38" s="5" t="s">
        <v>40</v>
      </c>
      <c r="B38" s="13">
        <f ca="1">INDIRECT("'("&amp;$A$4&amp;"b)'!C34")</f>
        <v>0</v>
      </c>
      <c r="C38" s="13">
        <f ca="1">INDIRECT("'("&amp;$A$4&amp;"b)'!d34")</f>
        <v>0</v>
      </c>
      <c r="D38" s="13">
        <f ca="1">INDIRECT("'("&amp;$A$4&amp;"b)'!e34")</f>
        <v>11.75</v>
      </c>
      <c r="E38" s="13">
        <f ca="1">INDIRECT("'("&amp;$A$4&amp;"b)'!f34")</f>
        <v>27.61</v>
      </c>
      <c r="F38" s="13">
        <f ca="1">INDIRECT("'("&amp;$A$4&amp;"b)'!g34")</f>
        <v>83.85</v>
      </c>
      <c r="G38" s="13">
        <f ca="1">INDIRECT("'("&amp;$A$4&amp;"b)'!h34")</f>
        <v>123.21</v>
      </c>
      <c r="H38" s="4"/>
      <c r="J38" s="10"/>
      <c r="K38" s="10"/>
      <c r="M38" s="10"/>
      <c r="N38" s="10"/>
      <c r="P38" s="12"/>
      <c r="Q38" s="12"/>
      <c r="R38" s="12"/>
      <c r="S38" s="12"/>
      <c r="T38" s="12"/>
      <c r="V38" s="11"/>
      <c r="W38" s="11"/>
      <c r="X38" s="11"/>
      <c r="Y38" s="11"/>
      <c r="Z38" s="11"/>
      <c r="AA38" s="11"/>
      <c r="AB38" s="11"/>
      <c r="AC38" s="11"/>
      <c r="AD38" s="11"/>
      <c r="AE38" s="11"/>
      <c r="AF38" s="11"/>
    </row>
    <row r="39" spans="1:32" s="5" customFormat="1" ht="15" customHeight="1" x14ac:dyDescent="0.35">
      <c r="A39" s="4" t="s">
        <v>41</v>
      </c>
      <c r="B39" s="13">
        <f ca="1">INDIRECT("'("&amp;$A$4&amp;"b)'!C35")</f>
        <v>0</v>
      </c>
      <c r="C39" s="13">
        <f ca="1">INDIRECT("'("&amp;$A$4&amp;"b)'!d35")</f>
        <v>0</v>
      </c>
      <c r="D39" s="13">
        <f ca="1">INDIRECT("'("&amp;$A$4&amp;"b)'!e35")</f>
        <v>17</v>
      </c>
      <c r="E39" s="13">
        <f ca="1">INDIRECT("'("&amp;$A$4&amp;"b)'!f35")</f>
        <v>24.5</v>
      </c>
      <c r="F39" s="13">
        <f ca="1">INDIRECT("'("&amp;$A$4&amp;"b)'!g35")</f>
        <v>97.5</v>
      </c>
      <c r="G39" s="13">
        <f ca="1">INDIRECT("'("&amp;$A$4&amp;"b)'!h35")</f>
        <v>139</v>
      </c>
      <c r="H39" s="4"/>
      <c r="J39" s="10"/>
      <c r="K39" s="10"/>
      <c r="M39" s="10"/>
      <c r="N39" s="10"/>
      <c r="P39" s="12"/>
      <c r="Q39" s="12"/>
      <c r="R39" s="12"/>
      <c r="S39" s="12"/>
      <c r="T39" s="12"/>
      <c r="V39" s="11"/>
      <c r="W39" s="11"/>
      <c r="X39" s="11"/>
      <c r="Y39" s="11"/>
      <c r="Z39" s="11"/>
      <c r="AA39" s="11"/>
      <c r="AB39" s="11"/>
      <c r="AC39" s="11"/>
      <c r="AD39" s="11"/>
      <c r="AE39" s="11"/>
      <c r="AF39" s="11"/>
    </row>
    <row r="40" spans="1:32" s="5" customFormat="1" ht="15" customHeight="1" x14ac:dyDescent="0.35">
      <c r="A40" s="4" t="s">
        <v>42</v>
      </c>
      <c r="B40" s="13">
        <f ca="1">INDIRECT("'("&amp;$A$4&amp;"b)'!C36")</f>
        <v>0</v>
      </c>
      <c r="C40" s="13">
        <f ca="1">INDIRECT("'("&amp;$A$4&amp;"b)'!d36")</f>
        <v>0</v>
      </c>
      <c r="D40" s="13">
        <f ca="1">INDIRECT("'("&amp;$A$4&amp;"b)'!e36")</f>
        <v>24</v>
      </c>
      <c r="E40" s="13">
        <f ca="1">INDIRECT("'("&amp;$A$4&amp;"b)'!f36")</f>
        <v>39</v>
      </c>
      <c r="F40" s="13">
        <f ca="1">INDIRECT("'("&amp;$A$4&amp;"b)'!g36")</f>
        <v>141</v>
      </c>
      <c r="G40" s="13">
        <f ca="1">INDIRECT("'("&amp;$A$4&amp;"b)'!h36")</f>
        <v>204</v>
      </c>
      <c r="H40" s="4"/>
      <c r="J40" s="10"/>
      <c r="K40" s="10"/>
      <c r="M40" s="10"/>
      <c r="N40" s="10"/>
      <c r="P40" s="12"/>
      <c r="Q40" s="12"/>
      <c r="R40" s="12"/>
      <c r="S40" s="12"/>
      <c r="T40" s="12"/>
      <c r="V40" s="11"/>
      <c r="W40" s="11"/>
      <c r="X40" s="11"/>
      <c r="Y40" s="11"/>
      <c r="Z40" s="11"/>
      <c r="AA40" s="11"/>
      <c r="AB40" s="11"/>
      <c r="AC40" s="11"/>
      <c r="AD40" s="11"/>
      <c r="AE40" s="11"/>
      <c r="AF40" s="11"/>
    </row>
    <row r="41" spans="1:32" s="5" customFormat="1" ht="15" customHeight="1" x14ac:dyDescent="0.35">
      <c r="A41" s="4" t="s">
        <v>43</v>
      </c>
      <c r="B41" s="13">
        <f ca="1">INDIRECT("'("&amp;$A$4&amp;"b)'!C37")</f>
        <v>0</v>
      </c>
      <c r="C41" s="13">
        <f ca="1">INDIRECT("'("&amp;$A$4&amp;"b)'!d37")</f>
        <v>0</v>
      </c>
      <c r="D41" s="13">
        <f ca="1">INDIRECT("'("&amp;$A$4&amp;"b)'!e37")</f>
        <v>23</v>
      </c>
      <c r="E41" s="13">
        <f ca="1">INDIRECT("'("&amp;$A$4&amp;"b)'!f37")</f>
        <v>65</v>
      </c>
      <c r="F41" s="13">
        <f ca="1">INDIRECT("'("&amp;$A$4&amp;"b)'!g37")</f>
        <v>235</v>
      </c>
      <c r="G41" s="13">
        <f ca="1">INDIRECT("'("&amp;$A$4&amp;"b)'!h37")</f>
        <v>323</v>
      </c>
      <c r="H41" s="4"/>
      <c r="J41" s="10"/>
      <c r="K41" s="10"/>
      <c r="M41" s="10"/>
      <c r="N41" s="10"/>
      <c r="P41" s="12"/>
      <c r="Q41" s="12"/>
      <c r="R41" s="12"/>
      <c r="S41" s="12"/>
      <c r="T41" s="12"/>
      <c r="V41" s="11"/>
      <c r="W41" s="11"/>
      <c r="X41" s="11"/>
      <c r="Y41" s="11"/>
      <c r="Z41" s="11"/>
      <c r="AA41" s="11"/>
      <c r="AB41" s="11"/>
      <c r="AC41" s="11"/>
      <c r="AD41" s="11"/>
      <c r="AE41" s="11"/>
      <c r="AF41" s="11"/>
    </row>
    <row r="42" spans="1:32" s="5" customFormat="1" ht="15" customHeight="1" x14ac:dyDescent="0.35">
      <c r="A42" s="4" t="s">
        <v>45</v>
      </c>
      <c r="B42" s="13">
        <f ca="1">INDIRECT("'("&amp;$A$4&amp;"b)'!C38")</f>
        <v>0</v>
      </c>
      <c r="C42" s="13">
        <f ca="1">INDIRECT("'("&amp;$A$4&amp;"b)'!d38")</f>
        <v>0</v>
      </c>
      <c r="D42" s="13">
        <f ca="1">INDIRECT("'("&amp;$A$4&amp;"b)'!e38")</f>
        <v>28</v>
      </c>
      <c r="E42" s="13">
        <f ca="1">INDIRECT("'("&amp;$A$4&amp;"b)'!f38")</f>
        <v>65</v>
      </c>
      <c r="F42" s="13">
        <f ca="1">INDIRECT("'("&amp;$A$4&amp;"b)'!g38")</f>
        <v>278</v>
      </c>
      <c r="G42" s="13">
        <f ca="1">INDIRECT("'("&amp;$A$4&amp;"b)'!h38")</f>
        <v>371</v>
      </c>
      <c r="H42" s="4"/>
      <c r="J42" s="10"/>
      <c r="K42" s="10"/>
      <c r="M42" s="10"/>
      <c r="N42" s="10"/>
      <c r="P42" s="12"/>
      <c r="Q42" s="12"/>
      <c r="R42" s="12"/>
      <c r="S42" s="12"/>
      <c r="T42" s="12"/>
      <c r="V42" s="11"/>
      <c r="W42" s="11"/>
      <c r="X42" s="11"/>
      <c r="Y42" s="11"/>
      <c r="Z42" s="11"/>
      <c r="AA42" s="11"/>
      <c r="AB42" s="11"/>
      <c r="AC42" s="11"/>
      <c r="AD42" s="11"/>
      <c r="AE42" s="11"/>
      <c r="AF42" s="11"/>
    </row>
    <row r="43" spans="1:32" s="5" customFormat="1" ht="15" customHeight="1" x14ac:dyDescent="0.35">
      <c r="A43" s="4" t="s">
        <v>46</v>
      </c>
      <c r="B43" s="13">
        <f ca="1">INDIRECT("'("&amp;$A$4&amp;"b)'!C39")</f>
        <v>0</v>
      </c>
      <c r="C43" s="13">
        <f ca="1">INDIRECT("'("&amp;$A$4&amp;"b)'!d39")</f>
        <v>0</v>
      </c>
      <c r="D43" s="13">
        <f ca="1">INDIRECT("'("&amp;$A$4&amp;"b)'!e39")</f>
        <v>33</v>
      </c>
      <c r="E43" s="13">
        <f ca="1">INDIRECT("'("&amp;$A$4&amp;"b)'!f39")</f>
        <v>68</v>
      </c>
      <c r="F43" s="13">
        <f ca="1">INDIRECT("'("&amp;$A$4&amp;"b)'!g39")</f>
        <v>238.5</v>
      </c>
      <c r="G43" s="13">
        <f ca="1">INDIRECT("'("&amp;$A$4&amp;"b)'!h39")</f>
        <v>339.5</v>
      </c>
      <c r="H43" s="4"/>
      <c r="J43" s="10"/>
      <c r="K43" s="10"/>
      <c r="M43" s="10"/>
      <c r="N43" s="10"/>
      <c r="P43" s="12"/>
      <c r="Q43" s="12"/>
      <c r="R43" s="12"/>
      <c r="S43" s="12"/>
      <c r="T43" s="12"/>
      <c r="V43" s="11"/>
      <c r="W43" s="11"/>
      <c r="X43" s="11"/>
      <c r="Y43" s="11"/>
      <c r="Z43" s="11"/>
      <c r="AA43" s="11"/>
      <c r="AB43" s="11"/>
      <c r="AC43" s="11"/>
      <c r="AD43" s="11"/>
      <c r="AE43" s="11"/>
      <c r="AF43" s="11"/>
    </row>
    <row r="44" spans="1:32" s="5" customFormat="1" ht="15" customHeight="1" x14ac:dyDescent="0.35">
      <c r="A44" s="4" t="s">
        <v>47</v>
      </c>
      <c r="B44" s="13">
        <f ca="1">INDIRECT("'("&amp;$A$4&amp;"b)'!C40")</f>
        <v>0</v>
      </c>
      <c r="C44" s="13">
        <f ca="1">INDIRECT("'("&amp;$A$4&amp;"b)'!d40")</f>
        <v>0</v>
      </c>
      <c r="D44" s="13">
        <f ca="1">INDIRECT("'("&amp;$A$4&amp;"b)'!e40")</f>
        <v>12</v>
      </c>
      <c r="E44" s="13">
        <f ca="1">INDIRECT("'("&amp;$A$4&amp;"b)'!f40")</f>
        <v>17</v>
      </c>
      <c r="F44" s="13">
        <f ca="1">INDIRECT("'("&amp;$A$4&amp;"b)'!g40")</f>
        <v>59</v>
      </c>
      <c r="G44" s="13">
        <f ca="1">INDIRECT("'("&amp;$A$4&amp;"b)'!h40")</f>
        <v>88</v>
      </c>
      <c r="H44" s="4"/>
      <c r="J44" s="10"/>
      <c r="K44" s="10"/>
      <c r="M44" s="10"/>
      <c r="N44" s="10"/>
      <c r="P44" s="12"/>
      <c r="Q44" s="12"/>
      <c r="R44" s="12"/>
      <c r="S44" s="12"/>
      <c r="T44" s="12"/>
      <c r="V44" s="11"/>
      <c r="W44" s="11"/>
      <c r="X44" s="11"/>
      <c r="Y44" s="11"/>
      <c r="Z44" s="11"/>
      <c r="AA44" s="11"/>
      <c r="AB44" s="11"/>
      <c r="AC44" s="11"/>
      <c r="AD44" s="11"/>
      <c r="AE44" s="11"/>
      <c r="AF44" s="11"/>
    </row>
    <row r="45" spans="1:32" s="5" customFormat="1" ht="15" customHeight="1" x14ac:dyDescent="0.35">
      <c r="A45" s="4" t="s">
        <v>49</v>
      </c>
      <c r="B45" s="13">
        <f ca="1">INDIRECT("'("&amp;$A$4&amp;"b)'!C41")</f>
        <v>0</v>
      </c>
      <c r="C45" s="13">
        <f ca="1">INDIRECT("'("&amp;$A$4&amp;"b)'!d41")</f>
        <v>0</v>
      </c>
      <c r="D45" s="13">
        <f ca="1">INDIRECT("'("&amp;$A$4&amp;"b)'!e41")</f>
        <v>12</v>
      </c>
      <c r="E45" s="13">
        <f ca="1">INDIRECT("'("&amp;$A$4&amp;"b)'!f41")</f>
        <v>18.000000000000004</v>
      </c>
      <c r="F45" s="13">
        <f ca="1">INDIRECT("'("&amp;$A$4&amp;"b)'!g41")</f>
        <v>49.083333333333357</v>
      </c>
      <c r="G45" s="13">
        <f ca="1">INDIRECT("'("&amp;$A$4&amp;"b)'!h41")</f>
        <v>79.083333333333357</v>
      </c>
      <c r="H45" s="4"/>
      <c r="J45" s="10"/>
      <c r="K45" s="10"/>
      <c r="M45" s="10"/>
      <c r="N45" s="10"/>
      <c r="P45" s="12"/>
      <c r="Q45" s="12"/>
      <c r="R45" s="12"/>
      <c r="S45" s="12"/>
      <c r="T45" s="12"/>
      <c r="V45" s="11"/>
      <c r="W45" s="11"/>
      <c r="X45" s="11"/>
      <c r="Y45" s="11"/>
      <c r="Z45" s="11"/>
      <c r="AA45" s="11"/>
      <c r="AB45" s="11"/>
      <c r="AC45" s="11"/>
      <c r="AD45" s="11"/>
      <c r="AE45" s="11"/>
      <c r="AF45" s="11"/>
    </row>
    <row r="46" spans="1:32" s="5" customFormat="1" ht="15" customHeight="1" x14ac:dyDescent="0.35">
      <c r="A46" s="4" t="s">
        <v>51</v>
      </c>
      <c r="B46" s="13">
        <f ca="1">INDIRECT("'("&amp;$A$4&amp;"b)'!C42")</f>
        <v>0</v>
      </c>
      <c r="C46" s="13">
        <f ca="1">INDIRECT("'("&amp;$A$4&amp;"b)'!d42")</f>
        <v>0</v>
      </c>
      <c r="D46" s="13">
        <f ca="1">INDIRECT("'("&amp;$A$4&amp;"b)'!e42")</f>
        <v>12.5</v>
      </c>
      <c r="E46" s="13">
        <f ca="1">INDIRECT("'("&amp;$A$4&amp;"b)'!f42")</f>
        <v>31.7</v>
      </c>
      <c r="F46" s="13">
        <f ca="1">INDIRECT("'("&amp;$A$4&amp;"b)'!g42")</f>
        <v>105.8</v>
      </c>
      <c r="G46" s="13">
        <f ca="1">INDIRECT("'("&amp;$A$4&amp;"b)'!h42")</f>
        <v>150</v>
      </c>
      <c r="H46" s="4"/>
      <c r="J46" s="10"/>
      <c r="K46" s="10"/>
      <c r="M46" s="10"/>
      <c r="N46" s="10"/>
      <c r="P46" s="12"/>
      <c r="Q46" s="12"/>
      <c r="R46" s="12"/>
      <c r="S46" s="12"/>
      <c r="T46" s="12"/>
      <c r="V46" s="11"/>
      <c r="W46" s="11"/>
      <c r="X46" s="11"/>
      <c r="Y46" s="11"/>
      <c r="Z46" s="11"/>
      <c r="AA46" s="11"/>
      <c r="AB46" s="11"/>
      <c r="AC46" s="11"/>
      <c r="AD46" s="11"/>
      <c r="AE46" s="11"/>
      <c r="AF46" s="11"/>
    </row>
    <row r="47" spans="1:32" s="5" customFormat="1" ht="15" customHeight="1" x14ac:dyDescent="0.35">
      <c r="A47" s="4" t="s">
        <v>30</v>
      </c>
      <c r="B47" s="13">
        <f ca="1">INDIRECT("'("&amp;$A$4&amp;"b)'!C43")</f>
        <v>0</v>
      </c>
      <c r="C47" s="13">
        <f ca="1">INDIRECT("'("&amp;$A$4&amp;"b)'!d43")</f>
        <v>1</v>
      </c>
      <c r="D47" s="13">
        <f ca="1">INDIRECT("'("&amp;$A$4&amp;"b)'!e43")</f>
        <v>5</v>
      </c>
      <c r="E47" s="13">
        <f ca="1">INDIRECT("'("&amp;$A$4&amp;"b)'!f43")</f>
        <v>6</v>
      </c>
      <c r="F47" s="13">
        <f ca="1">INDIRECT("'("&amp;$A$4&amp;"b)'!g43")</f>
        <v>30</v>
      </c>
      <c r="G47" s="13">
        <f ca="1">INDIRECT("'("&amp;$A$4&amp;"b)'!h43")</f>
        <v>42</v>
      </c>
      <c r="H47" s="4"/>
      <c r="J47" s="10"/>
      <c r="K47" s="10"/>
      <c r="M47" s="10"/>
      <c r="N47" s="10"/>
      <c r="P47" s="12"/>
      <c r="Q47" s="12"/>
      <c r="R47" s="12"/>
      <c r="S47" s="12"/>
      <c r="T47" s="12"/>
      <c r="V47" s="11"/>
      <c r="W47" s="11"/>
      <c r="X47" s="11"/>
      <c r="Y47" s="11"/>
      <c r="Z47" s="11"/>
      <c r="AA47" s="11"/>
      <c r="AB47" s="11"/>
      <c r="AC47" s="11"/>
      <c r="AD47" s="11"/>
      <c r="AE47" s="11"/>
      <c r="AF47" s="11"/>
    </row>
    <row r="48" spans="1:32" s="5" customFormat="1" ht="15" customHeight="1" x14ac:dyDescent="0.35">
      <c r="A48" s="33" t="s">
        <v>5</v>
      </c>
      <c r="B48" s="14">
        <f ca="1">INDIRECT("'("&amp;$A$4&amp;"b)'!C44")</f>
        <v>0</v>
      </c>
      <c r="C48" s="14">
        <f ca="1">INDIRECT("'("&amp;$A$4&amp;"b)'!d44")</f>
        <v>1</v>
      </c>
      <c r="D48" s="14">
        <f ca="1">INDIRECT("'("&amp;$A$4&amp;"b)'!e44")</f>
        <v>36.32</v>
      </c>
      <c r="E48" s="14">
        <f ca="1">INDIRECT("'("&amp;$A$4&amp;"b)'!f44")</f>
        <v>32.6</v>
      </c>
      <c r="F48" s="14">
        <f ca="1">INDIRECT("'("&amp;$A$4&amp;"b)'!g44")</f>
        <v>174.82</v>
      </c>
      <c r="G48" s="14">
        <f ca="1">INDIRECT("'("&amp;$A$4&amp;"b)'!h44")</f>
        <v>244.74</v>
      </c>
      <c r="H48" s="4"/>
      <c r="J48" s="10"/>
      <c r="K48" s="10"/>
      <c r="M48" s="10"/>
      <c r="N48" s="10"/>
      <c r="P48" s="12"/>
      <c r="Q48" s="12"/>
      <c r="R48" s="12"/>
      <c r="S48" s="12"/>
      <c r="T48" s="12"/>
      <c r="V48" s="11"/>
      <c r="W48" s="11"/>
      <c r="X48" s="11"/>
      <c r="Y48" s="11"/>
      <c r="Z48" s="11"/>
      <c r="AA48" s="11"/>
      <c r="AB48" s="11"/>
      <c r="AC48" s="11"/>
      <c r="AD48" s="11"/>
      <c r="AE48" s="11"/>
      <c r="AF48" s="11"/>
    </row>
    <row r="49" spans="1:32" s="5" customFormat="1" ht="15" customHeight="1" x14ac:dyDescent="0.35">
      <c r="A49" s="4" t="s">
        <v>24</v>
      </c>
      <c r="B49" s="49">
        <f ca="1">INDIRECT("'("&amp;$A$4&amp;"b)'!C45")</f>
        <v>0</v>
      </c>
      <c r="C49" s="49">
        <f ca="1">INDIRECT("'("&amp;$A$4&amp;"b)'!d45")</f>
        <v>0</v>
      </c>
      <c r="D49" s="49">
        <f ca="1">INDIRECT("'("&amp;$A$4&amp;"b)'!e45")</f>
        <v>0</v>
      </c>
      <c r="E49" s="49">
        <f ca="1">INDIRECT("'("&amp;$A$4&amp;"b)'!f45")</f>
        <v>0</v>
      </c>
      <c r="F49" s="49">
        <f ca="1">INDIRECT("'("&amp;$A$4&amp;"b)'!g45")</f>
        <v>3.86</v>
      </c>
      <c r="G49" s="49">
        <f ca="1">INDIRECT("'("&amp;$A$4&amp;"b)'!h45")</f>
        <v>3.86</v>
      </c>
      <c r="H49" s="4"/>
      <c r="J49" s="10"/>
      <c r="K49" s="10"/>
      <c r="M49" s="10"/>
      <c r="N49" s="10"/>
      <c r="P49" s="12"/>
      <c r="Q49" s="12"/>
      <c r="R49" s="12"/>
      <c r="S49" s="12"/>
      <c r="T49" s="12"/>
      <c r="V49" s="11"/>
      <c r="W49" s="11"/>
      <c r="X49" s="11"/>
      <c r="Y49" s="11"/>
      <c r="Z49" s="11"/>
      <c r="AA49" s="11"/>
      <c r="AB49" s="11"/>
      <c r="AC49" s="11"/>
      <c r="AD49" s="11"/>
      <c r="AE49" s="11"/>
      <c r="AF49" s="11"/>
    </row>
    <row r="50" spans="1:32" s="5" customFormat="1" ht="15" customHeight="1" x14ac:dyDescent="0.35">
      <c r="A50" s="4" t="s">
        <v>35</v>
      </c>
      <c r="B50" s="13">
        <f ca="1">INDIRECT("'("&amp;$A$4&amp;"b)'!C46")</f>
        <v>0</v>
      </c>
      <c r="C50" s="13">
        <f ca="1">INDIRECT("'("&amp;$A$4&amp;"b)'!d46")</f>
        <v>0</v>
      </c>
      <c r="D50" s="13">
        <f ca="1">INDIRECT("'("&amp;$A$4&amp;"b)'!e46")</f>
        <v>15.4</v>
      </c>
      <c r="E50" s="13">
        <f ca="1">INDIRECT("'("&amp;$A$4&amp;"b)'!f46")</f>
        <v>5.6</v>
      </c>
      <c r="F50" s="13">
        <f ca="1">INDIRECT("'("&amp;$A$4&amp;"b)'!g46")</f>
        <v>46.2</v>
      </c>
      <c r="G50" s="13">
        <f ca="1">INDIRECT("'("&amp;$A$4&amp;"b)'!h46")</f>
        <v>67.2</v>
      </c>
      <c r="H50" s="4"/>
      <c r="J50" s="10"/>
      <c r="K50" s="10"/>
      <c r="M50" s="10"/>
      <c r="N50" s="10"/>
      <c r="P50" s="12"/>
      <c r="Q50" s="12"/>
      <c r="R50" s="12"/>
      <c r="S50" s="12"/>
      <c r="T50" s="12"/>
      <c r="V50" s="11"/>
      <c r="W50" s="11"/>
      <c r="X50" s="11"/>
      <c r="Y50" s="11"/>
      <c r="Z50" s="11"/>
      <c r="AA50" s="11"/>
      <c r="AB50" s="11"/>
      <c r="AC50" s="11"/>
      <c r="AD50" s="11"/>
      <c r="AE50" s="11"/>
      <c r="AF50" s="11"/>
    </row>
    <row r="51" spans="1:32" s="5" customFormat="1" ht="15" customHeight="1" x14ac:dyDescent="0.35">
      <c r="A51" s="4" t="s">
        <v>44</v>
      </c>
      <c r="B51" s="13">
        <f ca="1">INDIRECT("'("&amp;$A$4&amp;"b)'!C47")</f>
        <v>0</v>
      </c>
      <c r="C51" s="13">
        <f ca="1">INDIRECT("'("&amp;$A$4&amp;"b)'!d47")</f>
        <v>0</v>
      </c>
      <c r="D51" s="13">
        <f ca="1">INDIRECT("'("&amp;$A$4&amp;"b)'!e47")</f>
        <v>7</v>
      </c>
      <c r="E51" s="13">
        <f ca="1">INDIRECT("'("&amp;$A$4&amp;"b)'!f47")</f>
        <v>17</v>
      </c>
      <c r="F51" s="13">
        <f ca="1">INDIRECT("'("&amp;$A$4&amp;"b)'!g47")</f>
        <v>56</v>
      </c>
      <c r="G51" s="13">
        <f ca="1">INDIRECT("'("&amp;$A$4&amp;"b)'!h47")</f>
        <v>80</v>
      </c>
      <c r="H51" s="4"/>
      <c r="J51" s="10"/>
      <c r="K51" s="10"/>
      <c r="M51" s="10"/>
      <c r="N51" s="10"/>
      <c r="P51" s="12"/>
      <c r="Q51" s="12"/>
      <c r="R51" s="12"/>
      <c r="S51" s="12"/>
      <c r="T51" s="12"/>
      <c r="V51" s="11"/>
      <c r="W51" s="11"/>
      <c r="X51" s="11"/>
      <c r="Y51" s="11"/>
      <c r="Z51" s="11"/>
      <c r="AA51" s="11"/>
      <c r="AB51" s="11"/>
      <c r="AC51" s="11"/>
      <c r="AD51" s="11"/>
      <c r="AE51" s="11"/>
      <c r="AF51" s="11"/>
    </row>
    <row r="52" spans="1:32" s="5" customFormat="1" ht="15" customHeight="1" x14ac:dyDescent="0.35">
      <c r="A52" s="4" t="s">
        <v>48</v>
      </c>
      <c r="B52" s="13">
        <f ca="1">INDIRECT("'("&amp;$A$4&amp;"b)'!C48")</f>
        <v>0</v>
      </c>
      <c r="C52" s="13">
        <f ca="1">INDIRECT("'("&amp;$A$4&amp;"b)'!d48")</f>
        <v>0</v>
      </c>
      <c r="D52" s="13">
        <f ca="1">INDIRECT("'("&amp;$A$4&amp;"b)'!e48")</f>
        <v>1</v>
      </c>
      <c r="E52" s="13">
        <f ca="1">INDIRECT("'("&amp;$A$4&amp;"b)'!f48")</f>
        <v>1</v>
      </c>
      <c r="F52" s="13">
        <f ca="1">INDIRECT("'("&amp;$A$4&amp;"b)'!g48")</f>
        <v>7.5</v>
      </c>
      <c r="G52" s="13">
        <f ca="1">INDIRECT("'("&amp;$A$4&amp;"b)'!h48")</f>
        <v>9.5</v>
      </c>
      <c r="H52" s="4"/>
      <c r="J52" s="10"/>
      <c r="K52" s="10"/>
      <c r="M52" s="10"/>
      <c r="N52" s="10"/>
      <c r="P52" s="12"/>
      <c r="Q52" s="12"/>
      <c r="R52" s="12"/>
      <c r="S52" s="12"/>
      <c r="T52" s="12"/>
      <c r="V52" s="11"/>
      <c r="W52" s="11"/>
      <c r="X52" s="11"/>
      <c r="Y52" s="11"/>
      <c r="Z52" s="11"/>
      <c r="AA52" s="11"/>
      <c r="AB52" s="11"/>
      <c r="AC52" s="11"/>
      <c r="AD52" s="11"/>
      <c r="AE52" s="11"/>
      <c r="AF52" s="11"/>
    </row>
    <row r="53" spans="1:32" s="5" customFormat="1" ht="15" customHeight="1" x14ac:dyDescent="0.35">
      <c r="A53" s="4" t="s">
        <v>50</v>
      </c>
      <c r="B53" s="13">
        <f ca="1">INDIRECT("'("&amp;$A$4&amp;"b)'!C49")</f>
        <v>0</v>
      </c>
      <c r="C53" s="13">
        <f ca="1">INDIRECT("'("&amp;$A$4&amp;"b)'!d49")</f>
        <v>1</v>
      </c>
      <c r="D53" s="13">
        <f ca="1">INDIRECT("'("&amp;$A$4&amp;"b)'!e49")</f>
        <v>6</v>
      </c>
      <c r="E53" s="13">
        <f ca="1">INDIRECT("'("&amp;$A$4&amp;"b)'!f49")</f>
        <v>0</v>
      </c>
      <c r="F53" s="13">
        <f ca="1">INDIRECT("'("&amp;$A$4&amp;"b)'!g49")</f>
        <v>0</v>
      </c>
      <c r="G53" s="13">
        <f ca="1">INDIRECT("'("&amp;$A$4&amp;"b)'!h49")</f>
        <v>7</v>
      </c>
      <c r="H53" s="4"/>
      <c r="J53" s="10"/>
      <c r="K53" s="10"/>
      <c r="M53" s="10"/>
      <c r="N53" s="10"/>
      <c r="P53" s="12"/>
      <c r="Q53" s="12"/>
      <c r="R53" s="12"/>
      <c r="S53" s="12"/>
      <c r="T53" s="12"/>
      <c r="V53" s="11"/>
      <c r="W53" s="11"/>
      <c r="X53" s="11"/>
      <c r="Y53" s="11"/>
      <c r="Z53" s="11"/>
      <c r="AA53" s="11"/>
      <c r="AB53" s="11"/>
      <c r="AC53" s="11"/>
      <c r="AD53" s="11"/>
      <c r="AE53" s="11"/>
      <c r="AF53" s="11"/>
    </row>
    <row r="54" spans="1:32" s="5" customFormat="1" ht="15" customHeight="1" x14ac:dyDescent="0.35">
      <c r="A54" s="4" t="s">
        <v>52</v>
      </c>
      <c r="B54" s="13">
        <f ca="1">INDIRECT("'("&amp;$A$4&amp;"b)'!C50")</f>
        <v>0</v>
      </c>
      <c r="C54" s="13">
        <f ca="1">INDIRECT("'("&amp;$A$4&amp;"b)'!d50")</f>
        <v>0</v>
      </c>
      <c r="D54" s="13">
        <f ca="1">INDIRECT("'("&amp;$A$4&amp;"b)'!e50")</f>
        <v>6.92</v>
      </c>
      <c r="E54" s="13">
        <f ca="1">INDIRECT("'("&amp;$A$4&amp;"b)'!f50")</f>
        <v>9</v>
      </c>
      <c r="F54" s="13">
        <f ca="1">INDIRECT("'("&amp;$A$4&amp;"b)'!g50")</f>
        <v>61.26</v>
      </c>
      <c r="G54" s="13">
        <f ca="1">INDIRECT("'("&amp;$A$4&amp;"b)'!h50")</f>
        <v>77.179999999999993</v>
      </c>
      <c r="H54" s="4"/>
      <c r="J54" s="10"/>
      <c r="K54" s="10"/>
      <c r="L54" s="4"/>
      <c r="M54" s="10"/>
      <c r="N54" s="10"/>
      <c r="P54" s="12"/>
      <c r="Q54" s="12"/>
      <c r="R54" s="12"/>
      <c r="S54" s="12"/>
      <c r="T54" s="12"/>
      <c r="V54" s="11"/>
      <c r="W54" s="11"/>
      <c r="X54" s="11"/>
      <c r="Y54" s="11"/>
      <c r="Z54" s="11"/>
      <c r="AA54" s="11"/>
      <c r="AB54" s="11"/>
      <c r="AC54" s="11"/>
      <c r="AD54" s="11"/>
      <c r="AE54" s="11"/>
      <c r="AF54" s="11"/>
    </row>
    <row r="55" spans="1:32" s="5" customFormat="1" ht="15" customHeight="1" thickBot="1" x14ac:dyDescent="0.4">
      <c r="A55" s="15" t="s">
        <v>23</v>
      </c>
      <c r="B55" s="13">
        <f ca="1">INDIRECT("'("&amp;$A$4&amp;"b)'!C51")</f>
        <v>0</v>
      </c>
      <c r="C55" s="13">
        <f ca="1">INDIRECT("'("&amp;$A$4&amp;"b)'!d51")</f>
        <v>0</v>
      </c>
      <c r="D55" s="13">
        <f ca="1">INDIRECT("'("&amp;$A$4&amp;"b)'!e51")</f>
        <v>0</v>
      </c>
      <c r="E55" s="13">
        <f ca="1">INDIRECT("'("&amp;$A$4&amp;"b)'!f51")</f>
        <v>0</v>
      </c>
      <c r="F55" s="13">
        <f ca="1">INDIRECT("'("&amp;$A$4&amp;"b)'!g51")</f>
        <v>0</v>
      </c>
      <c r="G55" s="13">
        <f ca="1">INDIRECT("'("&amp;$A$4&amp;"b)'!h51")</f>
        <v>0</v>
      </c>
      <c r="H55" s="4"/>
      <c r="J55" s="10"/>
      <c r="K55" s="10"/>
      <c r="L55" s="4"/>
      <c r="M55" s="10"/>
      <c r="N55" s="10"/>
      <c r="P55" s="12"/>
      <c r="Q55" s="12"/>
      <c r="R55" s="12"/>
      <c r="S55" s="12"/>
      <c r="T55" s="12"/>
      <c r="V55" s="11"/>
      <c r="W55" s="11"/>
      <c r="X55" s="11"/>
      <c r="Y55" s="11"/>
      <c r="Z55" s="11"/>
      <c r="AA55" s="11"/>
      <c r="AB55" s="11"/>
      <c r="AC55" s="11"/>
      <c r="AD55" s="11"/>
      <c r="AE55" s="11"/>
      <c r="AF55" s="11"/>
    </row>
    <row r="56" spans="1:32" s="5" customFormat="1" ht="15" customHeight="1" x14ac:dyDescent="0.35">
      <c r="A56" s="4"/>
      <c r="B56" s="112"/>
      <c r="C56" s="112"/>
      <c r="D56" s="112"/>
      <c r="E56" s="112"/>
      <c r="F56" s="112"/>
      <c r="G56" s="112"/>
      <c r="H56" s="4"/>
      <c r="J56" s="10"/>
      <c r="K56" s="10"/>
      <c r="L56" s="4"/>
      <c r="M56" s="10"/>
      <c r="N56" s="10"/>
      <c r="P56" s="12"/>
      <c r="Q56" s="12"/>
      <c r="R56" s="12"/>
      <c r="S56" s="12"/>
      <c r="T56" s="12"/>
      <c r="V56" s="11"/>
      <c r="W56" s="11"/>
      <c r="X56" s="11"/>
      <c r="Y56" s="11"/>
      <c r="Z56" s="11"/>
      <c r="AA56" s="11"/>
      <c r="AB56" s="11"/>
      <c r="AC56" s="11"/>
      <c r="AD56" s="11"/>
      <c r="AE56" s="11"/>
      <c r="AF56" s="11"/>
    </row>
    <row r="57" spans="1:32" x14ac:dyDescent="0.35">
      <c r="A57" s="2"/>
      <c r="J57" s="10"/>
      <c r="K57" s="10"/>
      <c r="M57" s="10"/>
      <c r="N57" s="10"/>
      <c r="O57" s="10"/>
      <c r="P57" s="10"/>
      <c r="Q57" s="10"/>
      <c r="R57" s="10"/>
      <c r="S57" s="10"/>
      <c r="T57" s="10"/>
    </row>
    <row r="58" spans="1:32" s="5" customFormat="1" ht="15" customHeight="1" x14ac:dyDescent="0.35">
      <c r="A58" s="108"/>
      <c r="B58" s="2"/>
      <c r="C58" s="2"/>
      <c r="D58" s="2"/>
      <c r="E58" s="2"/>
      <c r="F58" s="2"/>
      <c r="G58" s="2"/>
      <c r="H58" s="4"/>
      <c r="I58" s="4"/>
      <c r="J58" s="10"/>
      <c r="K58" s="10"/>
      <c r="L58" s="4"/>
      <c r="M58" s="10"/>
      <c r="N58" s="10"/>
      <c r="O58" s="10"/>
      <c r="P58" s="10"/>
      <c r="Q58" s="10"/>
      <c r="R58" s="10"/>
      <c r="S58" s="10"/>
      <c r="T58" s="10"/>
    </row>
    <row r="59" spans="1:32" s="5" customFormat="1" ht="15" customHeight="1" x14ac:dyDescent="0.35">
      <c r="A59" s="16"/>
      <c r="B59" s="108"/>
      <c r="C59" s="108"/>
      <c r="D59" s="108"/>
      <c r="E59" s="108"/>
      <c r="F59" s="108"/>
      <c r="G59" s="108"/>
      <c r="H59" s="4"/>
      <c r="I59" s="4"/>
      <c r="J59" s="10"/>
      <c r="K59" s="10"/>
      <c r="L59" s="4"/>
      <c r="M59" s="10"/>
      <c r="N59" s="10"/>
      <c r="O59" s="10"/>
      <c r="P59" s="10"/>
      <c r="Q59" s="10"/>
      <c r="R59" s="10"/>
      <c r="S59" s="10"/>
      <c r="T59" s="10"/>
    </row>
    <row r="60" spans="1:32" s="5" customFormat="1" ht="15" customHeight="1" x14ac:dyDescent="0.35">
      <c r="A60" s="2"/>
      <c r="B60" s="4"/>
      <c r="C60" s="4"/>
      <c r="D60" s="4"/>
      <c r="E60" s="4"/>
      <c r="F60" s="4"/>
      <c r="G60" s="4"/>
      <c r="H60" s="4"/>
      <c r="I60" s="4"/>
      <c r="J60" s="10"/>
      <c r="K60" s="10"/>
      <c r="L60" s="4"/>
      <c r="M60" s="10"/>
      <c r="N60" s="10"/>
      <c r="O60" s="10"/>
      <c r="P60" s="10"/>
      <c r="Q60" s="10"/>
      <c r="R60" s="10"/>
      <c r="S60" s="10"/>
      <c r="T60" s="10"/>
    </row>
    <row r="61" spans="1:32" s="5" customFormat="1" x14ac:dyDescent="0.35">
      <c r="A61" s="106"/>
      <c r="B61" s="2"/>
      <c r="C61" s="2"/>
      <c r="D61" s="2"/>
      <c r="E61" s="2"/>
      <c r="F61" s="2"/>
      <c r="G61" s="2"/>
      <c r="H61" s="4"/>
      <c r="I61" s="4"/>
      <c r="J61" s="10"/>
      <c r="K61" s="10"/>
      <c r="L61" s="4"/>
      <c r="M61" s="10"/>
      <c r="N61" s="10"/>
      <c r="O61" s="10"/>
      <c r="P61" s="10"/>
      <c r="Q61" s="10"/>
      <c r="R61" s="10"/>
      <c r="S61" s="10"/>
      <c r="T61" s="10"/>
    </row>
    <row r="62" spans="1:32" s="5" customFormat="1" ht="15" customHeight="1" x14ac:dyDescent="0.35">
      <c r="A62" s="4"/>
      <c r="B62" s="106"/>
      <c r="C62" s="106"/>
      <c r="D62" s="106"/>
      <c r="E62" s="106"/>
      <c r="F62" s="106"/>
      <c r="G62" s="106"/>
      <c r="H62" s="4"/>
      <c r="I62" s="4"/>
      <c r="J62" s="10"/>
      <c r="K62" s="10"/>
      <c r="L62" s="4"/>
      <c r="M62" s="10"/>
      <c r="N62" s="10"/>
      <c r="O62" s="10"/>
      <c r="P62" s="10"/>
      <c r="Q62" s="10"/>
      <c r="R62" s="10"/>
      <c r="S62" s="10"/>
      <c r="T62" s="10"/>
    </row>
    <row r="63" spans="1:32" s="5" customFormat="1" ht="15" customHeight="1" x14ac:dyDescent="0.35">
      <c r="A63" s="17"/>
      <c r="B63" s="2"/>
      <c r="C63" s="2"/>
      <c r="D63" s="2"/>
      <c r="E63" s="2"/>
      <c r="F63" s="2"/>
      <c r="G63" s="2"/>
      <c r="L63" s="4"/>
    </row>
    <row r="64" spans="1:32" s="5" customFormat="1" ht="15" customHeight="1" x14ac:dyDescent="0.35">
      <c r="A64" s="17"/>
      <c r="B64" s="2"/>
      <c r="C64" s="2"/>
      <c r="D64" s="2"/>
      <c r="E64" s="2"/>
      <c r="F64" s="2"/>
      <c r="G64" s="2"/>
      <c r="L64" s="4"/>
    </row>
    <row r="65" spans="1:12" s="5" customFormat="1" ht="15" customHeight="1" x14ac:dyDescent="0.35">
      <c r="A65" s="2"/>
      <c r="B65" s="2"/>
      <c r="C65" s="2"/>
      <c r="D65" s="2"/>
      <c r="E65" s="2"/>
      <c r="F65" s="2"/>
      <c r="G65" s="2"/>
      <c r="L65" s="4"/>
    </row>
    <row r="66" spans="1:12" s="5" customFormat="1" x14ac:dyDescent="0.35">
      <c r="A66" s="4"/>
      <c r="B66" s="2"/>
      <c r="C66" s="2"/>
      <c r="D66" s="2"/>
      <c r="E66" s="2"/>
      <c r="F66" s="2"/>
      <c r="G66" s="2"/>
      <c r="L66" s="4"/>
    </row>
    <row r="68" spans="1:12" s="5" customFormat="1" x14ac:dyDescent="0.35">
      <c r="A68" s="17"/>
      <c r="B68" s="4"/>
      <c r="C68" s="4"/>
      <c r="D68" s="4"/>
      <c r="E68" s="4"/>
      <c r="F68" s="4"/>
      <c r="G68" s="4"/>
      <c r="L68" s="4"/>
    </row>
    <row r="69" spans="1:12" s="5" customFormat="1" x14ac:dyDescent="0.35">
      <c r="A69" s="4"/>
      <c r="B69" s="4"/>
      <c r="C69" s="4"/>
      <c r="D69" s="4"/>
      <c r="E69" s="4"/>
      <c r="F69" s="4"/>
      <c r="G69" s="4"/>
      <c r="L69" s="4"/>
    </row>
    <row r="76" spans="1:12" x14ac:dyDescent="0.35">
      <c r="J76" s="4" t="s">
        <v>69</v>
      </c>
      <c r="K76" s="5"/>
    </row>
    <row r="77" spans="1:12" x14ac:dyDescent="0.35">
      <c r="J77" s="4" t="s">
        <v>65</v>
      </c>
    </row>
    <row r="78" spans="1:12" x14ac:dyDescent="0.35">
      <c r="J78" s="4" t="s">
        <v>66</v>
      </c>
    </row>
    <row r="79" spans="1:12" x14ac:dyDescent="0.35">
      <c r="J79" s="4" t="s">
        <v>67</v>
      </c>
    </row>
    <row r="80" spans="1:12" x14ac:dyDescent="0.35">
      <c r="J80" s="4" t="s">
        <v>68</v>
      </c>
    </row>
    <row r="81" spans="10:10" x14ac:dyDescent="0.35">
      <c r="J81" s="4" t="s">
        <v>63</v>
      </c>
    </row>
    <row r="82" spans="10:10" x14ac:dyDescent="0.35">
      <c r="J82" s="4" t="s">
        <v>54</v>
      </c>
    </row>
  </sheetData>
  <mergeCells count="3">
    <mergeCell ref="A1:G1"/>
    <mergeCell ref="A4:G4"/>
    <mergeCell ref="B5:G5"/>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8"/>
  <dimension ref="A1:AG82"/>
  <sheetViews>
    <sheetView zoomScaleNormal="100" workbookViewId="0">
      <selection activeCell="A4" sqref="A4:H4"/>
    </sheetView>
  </sheetViews>
  <sheetFormatPr defaultColWidth="9.1796875" defaultRowHeight="14.5" x14ac:dyDescent="0.35"/>
  <cols>
    <col min="1" max="1" width="50.7265625" style="4" customWidth="1"/>
    <col min="2" max="7" width="10.7265625" style="4" customWidth="1"/>
    <col min="8" max="8" width="9.1796875" style="4" customWidth="1"/>
    <col min="9" max="10" width="0" style="4" hidden="1" customWidth="1"/>
    <col min="11" max="11" width="9.1796875" style="4" customWidth="1"/>
    <col min="12" max="12" width="10" style="4" bestFit="1" customWidth="1"/>
    <col min="13" max="13" width="11.81640625" style="4" customWidth="1"/>
    <col min="14" max="18" width="9.1796875" style="4"/>
    <col min="19" max="19" width="11" style="4" customWidth="1"/>
    <col min="20" max="16384" width="9.1796875" style="4"/>
  </cols>
  <sheetData>
    <row r="1" spans="1:33" s="3" customFormat="1" ht="37.5" customHeight="1" x14ac:dyDescent="0.5">
      <c r="A1" s="156"/>
      <c r="B1" s="156"/>
      <c r="C1" s="156"/>
      <c r="D1" s="156"/>
      <c r="E1" s="156"/>
      <c r="F1" s="156"/>
      <c r="G1" s="156"/>
      <c r="H1" s="1"/>
      <c r="I1" s="1"/>
      <c r="J1" s="2"/>
      <c r="K1" s="2"/>
    </row>
    <row r="2" spans="1:33" s="5" customFormat="1" ht="15" customHeight="1" x14ac:dyDescent="0.35">
      <c r="A2" s="4"/>
      <c r="B2" s="4"/>
      <c r="C2" s="4"/>
      <c r="D2" s="4"/>
      <c r="E2" s="4"/>
      <c r="F2" s="4"/>
      <c r="G2" s="4"/>
      <c r="H2" s="4"/>
      <c r="I2" s="4"/>
      <c r="J2" s="4"/>
      <c r="K2" s="4"/>
    </row>
    <row r="3" spans="1:33" s="5" customFormat="1" ht="15" customHeight="1" x14ac:dyDescent="0.35">
      <c r="A3" s="31"/>
      <c r="B3" s="32"/>
      <c r="C3" s="32"/>
      <c r="D3" s="32"/>
      <c r="E3" s="32"/>
      <c r="F3" s="32"/>
      <c r="G3" s="32"/>
      <c r="H3" s="4"/>
      <c r="I3" s="4"/>
      <c r="J3" s="4"/>
      <c r="K3" s="4"/>
    </row>
    <row r="4" spans="1:33" s="5" customFormat="1" ht="15" customHeight="1" x14ac:dyDescent="0.35">
      <c r="A4" s="158">
        <f>FIRE1102c!A4</f>
        <v>2019</v>
      </c>
      <c r="B4" s="158"/>
      <c r="C4" s="158"/>
      <c r="D4" s="158"/>
      <c r="E4" s="158"/>
      <c r="F4" s="158"/>
      <c r="G4" s="158"/>
      <c r="H4" s="4"/>
      <c r="I4" s="4"/>
      <c r="J4" s="4"/>
      <c r="K4" s="4"/>
      <c r="L4" s="4"/>
    </row>
    <row r="5" spans="1:33" s="5" customFormat="1" ht="15" thickBot="1" x14ac:dyDescent="0.4">
      <c r="A5" s="4"/>
      <c r="B5" s="157"/>
      <c r="C5" s="157"/>
      <c r="D5" s="157"/>
      <c r="E5" s="157"/>
      <c r="F5" s="157"/>
      <c r="G5" s="157"/>
      <c r="H5" s="4"/>
      <c r="I5" s="4"/>
      <c r="J5" s="6"/>
      <c r="K5" s="6"/>
      <c r="M5" s="6"/>
      <c r="N5" s="6"/>
      <c r="P5" s="6"/>
      <c r="Q5" s="6"/>
      <c r="R5" s="6"/>
      <c r="S5" s="6"/>
      <c r="T5" s="6"/>
      <c r="W5" s="7"/>
    </row>
    <row r="6" spans="1:33" s="9" customFormat="1" ht="44" thickBot="1" x14ac:dyDescent="0.4">
      <c r="A6" s="8" t="s">
        <v>61</v>
      </c>
      <c r="B6" s="64" t="s">
        <v>74</v>
      </c>
      <c r="C6" s="64" t="s">
        <v>75</v>
      </c>
      <c r="D6" s="64" t="s">
        <v>76</v>
      </c>
      <c r="E6" s="64" t="s">
        <v>77</v>
      </c>
      <c r="F6" s="64" t="s">
        <v>117</v>
      </c>
      <c r="G6" s="64" t="s">
        <v>1</v>
      </c>
      <c r="L6" s="4"/>
    </row>
    <row r="7" spans="1:33" s="5" customFormat="1" ht="15" customHeight="1" x14ac:dyDescent="0.35">
      <c r="A7" s="34" t="s">
        <v>0</v>
      </c>
      <c r="B7" s="14">
        <f ca="1">INDIRECT("'("&amp;$A$4&amp;"c)'!C3")</f>
        <v>12</v>
      </c>
      <c r="C7" s="14">
        <f ca="1">INDIRECT("'("&amp;$A$4&amp;"c)'!d3")</f>
        <v>47.64</v>
      </c>
      <c r="D7" s="14">
        <f ca="1">INDIRECT("'("&amp;$A$4&amp;"c)'!e3")</f>
        <v>215.41</v>
      </c>
      <c r="E7" s="14">
        <f ca="1">INDIRECT("'("&amp;$A$4&amp;"c)'!f3")</f>
        <v>244.126</v>
      </c>
      <c r="F7" s="14">
        <f ca="1">INDIRECT("'("&amp;$A$4&amp;"c)'!g3")</f>
        <v>544.77300000000002</v>
      </c>
      <c r="G7" s="14">
        <f ca="1">INDIRECT("'("&amp;$A$4&amp;"c)'!h3")</f>
        <v>1063.9490000000001</v>
      </c>
      <c r="H7" s="4"/>
      <c r="I7" s="4"/>
      <c r="J7" s="10"/>
      <c r="K7" s="10"/>
      <c r="M7" s="10"/>
      <c r="N7" s="10"/>
      <c r="P7" s="10"/>
      <c r="Q7" s="10"/>
      <c r="R7" s="10"/>
      <c r="S7" s="10"/>
      <c r="T7" s="10"/>
      <c r="V7" s="11"/>
      <c r="W7" s="11"/>
      <c r="X7" s="11"/>
      <c r="Y7" s="11"/>
      <c r="Z7" s="11"/>
      <c r="AA7" s="11"/>
      <c r="AB7" s="11"/>
      <c r="AC7" s="11"/>
      <c r="AD7" s="11"/>
      <c r="AE7" s="11"/>
      <c r="AF7" s="11"/>
      <c r="AG7" s="12"/>
    </row>
    <row r="8" spans="1:33" s="5" customFormat="1" ht="15" customHeight="1" x14ac:dyDescent="0.35">
      <c r="A8" s="35" t="s">
        <v>6</v>
      </c>
      <c r="B8" s="14">
        <f ca="1">INDIRECT("'("&amp;$A$4&amp;"c)'!C4")</f>
        <v>9</v>
      </c>
      <c r="C8" s="14">
        <f ca="1">INDIRECT("'("&amp;$A$4&amp;"c)'!d4")</f>
        <v>38.64</v>
      </c>
      <c r="D8" s="14">
        <f ca="1">INDIRECT("'("&amp;$A$4&amp;"c)'!e4")</f>
        <v>163.43</v>
      </c>
      <c r="E8" s="14">
        <f ca="1">INDIRECT("'("&amp;$A$4&amp;"c)'!f4")</f>
        <v>179.416</v>
      </c>
      <c r="F8" s="14">
        <f ca="1">INDIRECT("'("&amp;$A$4&amp;"c)'!g4")</f>
        <v>383.14300000000003</v>
      </c>
      <c r="G8" s="14">
        <f ca="1">INDIRECT("'("&amp;$A$4&amp;"c)'!h4")</f>
        <v>773.62900000000002</v>
      </c>
      <c r="H8" s="4"/>
      <c r="J8" s="10"/>
      <c r="K8" s="10"/>
      <c r="M8" s="10"/>
      <c r="N8" s="10"/>
      <c r="P8" s="12"/>
      <c r="Q8" s="12"/>
      <c r="R8" s="12"/>
      <c r="S8" s="12"/>
      <c r="T8" s="12"/>
      <c r="V8" s="11"/>
      <c r="W8" s="11"/>
      <c r="X8" s="11"/>
      <c r="Y8" s="11"/>
      <c r="Z8" s="11"/>
      <c r="AA8" s="11"/>
      <c r="AB8" s="11"/>
      <c r="AC8" s="11"/>
      <c r="AD8" s="11"/>
      <c r="AE8" s="11"/>
      <c r="AF8" s="11"/>
    </row>
    <row r="9" spans="1:33" s="5" customFormat="1" ht="15" customHeight="1" x14ac:dyDescent="0.35">
      <c r="A9" s="4" t="s">
        <v>7</v>
      </c>
      <c r="B9" s="13">
        <f ca="1">INDIRECT("'("&amp;$A$4&amp;"c)'!C5")</f>
        <v>1</v>
      </c>
      <c r="C9" s="13">
        <f ca="1">INDIRECT("'("&amp;$A$4&amp;"c)'!d5")</f>
        <v>2</v>
      </c>
      <c r="D9" s="13">
        <f ca="1">INDIRECT("'("&amp;$A$4&amp;"c)'!e5")</f>
        <v>10</v>
      </c>
      <c r="E9" s="13">
        <f ca="1">INDIRECT("'("&amp;$A$4&amp;"c)'!f5")</f>
        <v>8.5</v>
      </c>
      <c r="F9" s="13">
        <f ca="1">INDIRECT("'("&amp;$A$4&amp;"c)'!g5")</f>
        <v>15.31</v>
      </c>
      <c r="G9" s="13">
        <f ca="1">INDIRECT("'("&amp;$A$4&amp;"c)'!h5")</f>
        <v>36.81</v>
      </c>
      <c r="H9" s="4"/>
      <c r="J9" s="10"/>
      <c r="K9" s="10"/>
      <c r="M9" s="10"/>
      <c r="N9" s="10"/>
      <c r="P9" s="12"/>
      <c r="Q9" s="12"/>
      <c r="R9" s="12"/>
      <c r="S9" s="12"/>
      <c r="T9" s="12"/>
      <c r="V9" s="11"/>
      <c r="W9" s="11"/>
      <c r="X9" s="11"/>
      <c r="Y9" s="11"/>
      <c r="Z9" s="11"/>
      <c r="AA9" s="11"/>
      <c r="AB9" s="11"/>
      <c r="AC9" s="11"/>
      <c r="AD9" s="11"/>
      <c r="AE9" s="11"/>
      <c r="AF9" s="11"/>
    </row>
    <row r="10" spans="1:33" s="5" customFormat="1" ht="15" customHeight="1" x14ac:dyDescent="0.35">
      <c r="A10" s="4" t="s">
        <v>8</v>
      </c>
      <c r="B10" s="13">
        <f ca="1">INDIRECT("'("&amp;$A$4&amp;"c)'!C6")</f>
        <v>0</v>
      </c>
      <c r="C10" s="13">
        <f ca="1">INDIRECT("'("&amp;$A$4&amp;"c)'!d6")</f>
        <v>1</v>
      </c>
      <c r="D10" s="13">
        <f ca="1">INDIRECT("'("&amp;$A$4&amp;"c)'!e6")</f>
        <v>7</v>
      </c>
      <c r="E10" s="13">
        <f ca="1">INDIRECT("'("&amp;$A$4&amp;"c)'!f6")</f>
        <v>4</v>
      </c>
      <c r="F10" s="13">
        <f ca="1">INDIRECT("'("&amp;$A$4&amp;"c)'!g6")</f>
        <v>12</v>
      </c>
      <c r="G10" s="13">
        <f ca="1">INDIRECT("'("&amp;$A$4&amp;"c)'!h6")</f>
        <v>24</v>
      </c>
      <c r="H10" s="4"/>
      <c r="J10" s="10"/>
      <c r="K10" s="10"/>
      <c r="M10" s="10"/>
      <c r="N10" s="10"/>
      <c r="P10" s="12"/>
      <c r="Q10" s="12"/>
      <c r="R10" s="12"/>
      <c r="S10" s="12"/>
      <c r="T10" s="12"/>
      <c r="V10" s="11"/>
      <c r="W10" s="11"/>
      <c r="X10" s="11"/>
      <c r="Y10" s="11"/>
      <c r="Z10" s="11"/>
      <c r="AA10" s="11"/>
      <c r="AB10" s="11"/>
      <c r="AC10" s="11"/>
      <c r="AD10" s="11"/>
      <c r="AE10" s="11"/>
      <c r="AF10" s="11"/>
    </row>
    <row r="11" spans="1:33" s="5" customFormat="1" ht="15" customHeight="1" x14ac:dyDescent="0.35">
      <c r="A11" s="4" t="s">
        <v>9</v>
      </c>
      <c r="B11" s="13">
        <f ca="1">INDIRECT("'("&amp;$A$4&amp;"c)'!C7")</f>
        <v>1</v>
      </c>
      <c r="C11" s="13">
        <f ca="1">INDIRECT("'("&amp;$A$4&amp;"c)'!d7")</f>
        <v>2</v>
      </c>
      <c r="D11" s="13">
        <f ca="1">INDIRECT("'("&amp;$A$4&amp;"c)'!e7")</f>
        <v>5</v>
      </c>
      <c r="E11" s="13">
        <f ca="1">INDIRECT("'("&amp;$A$4&amp;"c)'!f7")</f>
        <v>11.875999999999999</v>
      </c>
      <c r="F11" s="13">
        <f ca="1">INDIRECT("'("&amp;$A$4&amp;"c)'!g7")</f>
        <v>18.812999999999999</v>
      </c>
      <c r="G11" s="13">
        <f ca="1">INDIRECT("'("&amp;$A$4&amp;"c)'!h7")</f>
        <v>38.688999999999993</v>
      </c>
      <c r="H11" s="4"/>
      <c r="J11" s="10"/>
      <c r="K11" s="10"/>
      <c r="M11" s="10"/>
      <c r="N11" s="10"/>
      <c r="P11" s="12"/>
      <c r="Q11" s="12"/>
      <c r="R11" s="12"/>
      <c r="S11" s="12"/>
      <c r="T11" s="12"/>
      <c r="V11" s="11"/>
      <c r="W11" s="11"/>
      <c r="X11" s="11"/>
      <c r="Y11" s="11"/>
      <c r="Z11" s="11"/>
      <c r="AA11" s="11"/>
      <c r="AB11" s="11"/>
      <c r="AC11" s="11"/>
      <c r="AD11" s="11"/>
      <c r="AE11" s="11"/>
      <c r="AF11" s="11"/>
    </row>
    <row r="12" spans="1:33" s="5" customFormat="1" ht="15" customHeight="1" x14ac:dyDescent="0.35">
      <c r="A12" s="4" t="s">
        <v>10</v>
      </c>
      <c r="B12" s="13">
        <f ca="1">INDIRECT("'("&amp;$A$4&amp;"c)'!C8")</f>
        <v>0</v>
      </c>
      <c r="C12" s="13">
        <f ca="1">INDIRECT("'("&amp;$A$4&amp;"c)'!d8")</f>
        <v>0</v>
      </c>
      <c r="D12" s="13">
        <f ca="1">INDIRECT("'("&amp;$A$4&amp;"c)'!e8")</f>
        <v>0</v>
      </c>
      <c r="E12" s="13">
        <f ca="1">INDIRECT("'("&amp;$A$4&amp;"c)'!f8")</f>
        <v>0</v>
      </c>
      <c r="F12" s="13">
        <f ca="1">INDIRECT("'("&amp;$A$4&amp;"c)'!g8")</f>
        <v>0</v>
      </c>
      <c r="G12" s="13">
        <f ca="1">INDIRECT("'("&amp;$A$4&amp;"c)'!h8")</f>
        <v>0</v>
      </c>
      <c r="H12" s="4"/>
      <c r="J12" s="10"/>
      <c r="K12" s="10"/>
      <c r="M12" s="10"/>
      <c r="N12" s="10"/>
      <c r="P12" s="12"/>
      <c r="Q12" s="12"/>
      <c r="R12" s="12"/>
      <c r="S12" s="12"/>
      <c r="T12" s="12"/>
      <c r="V12" s="11"/>
      <c r="W12" s="11"/>
      <c r="X12" s="11"/>
      <c r="Y12" s="11"/>
      <c r="Z12" s="11"/>
      <c r="AA12" s="11"/>
      <c r="AB12" s="11"/>
      <c r="AC12" s="11"/>
      <c r="AD12" s="11"/>
      <c r="AE12" s="11"/>
      <c r="AF12" s="11"/>
    </row>
    <row r="13" spans="1:33" s="5" customFormat="1" ht="15" customHeight="1" x14ac:dyDescent="0.35">
      <c r="A13" s="4" t="s">
        <v>11</v>
      </c>
      <c r="B13" s="13">
        <f ca="1">INDIRECT("'("&amp;$A$4&amp;"c)'!C9")</f>
        <v>0</v>
      </c>
      <c r="C13" s="13">
        <f ca="1">INDIRECT("'("&amp;$A$4&amp;"c)'!d9")</f>
        <v>2</v>
      </c>
      <c r="D13" s="13">
        <f ca="1">INDIRECT("'("&amp;$A$4&amp;"c)'!e9")</f>
        <v>6.18</v>
      </c>
      <c r="E13" s="13">
        <f ca="1">INDIRECT("'("&amp;$A$4&amp;"c)'!f9")</f>
        <v>9.5</v>
      </c>
      <c r="F13" s="13">
        <f ca="1">INDIRECT("'("&amp;$A$4&amp;"c)'!g9")</f>
        <v>23</v>
      </c>
      <c r="G13" s="13">
        <f ca="1">INDIRECT("'("&amp;$A$4&amp;"c)'!h9")</f>
        <v>40.68</v>
      </c>
      <c r="H13" s="4"/>
      <c r="J13" s="10"/>
      <c r="K13" s="10"/>
      <c r="M13" s="10"/>
      <c r="N13" s="10"/>
      <c r="P13" s="12"/>
      <c r="Q13" s="12"/>
      <c r="R13" s="12"/>
      <c r="S13" s="12"/>
      <c r="T13" s="12"/>
      <c r="V13" s="11"/>
      <c r="W13" s="11"/>
      <c r="X13" s="11"/>
      <c r="Y13" s="11"/>
      <c r="Z13" s="11"/>
      <c r="AA13" s="11"/>
      <c r="AB13" s="11"/>
      <c r="AC13" s="11"/>
      <c r="AD13" s="11"/>
      <c r="AE13" s="11"/>
      <c r="AF13" s="11"/>
    </row>
    <row r="14" spans="1:33" s="5" customFormat="1" ht="15" customHeight="1" x14ac:dyDescent="0.35">
      <c r="A14" s="4" t="s">
        <v>12</v>
      </c>
      <c r="B14" s="13">
        <f ca="1">INDIRECT("'("&amp;$A$4&amp;"c)'!C10")</f>
        <v>0</v>
      </c>
      <c r="C14" s="13">
        <f ca="1">INDIRECT("'("&amp;$A$4&amp;"c)'!d10")</f>
        <v>0</v>
      </c>
      <c r="D14" s="13">
        <f ca="1">INDIRECT("'("&amp;$A$4&amp;"c)'!e10")</f>
        <v>0</v>
      </c>
      <c r="E14" s="13">
        <f ca="1">INDIRECT("'("&amp;$A$4&amp;"c)'!f10")</f>
        <v>0</v>
      </c>
      <c r="F14" s="13">
        <f ca="1">INDIRECT("'("&amp;$A$4&amp;"c)'!g10")</f>
        <v>0</v>
      </c>
      <c r="G14" s="13">
        <f ca="1">INDIRECT("'("&amp;$A$4&amp;"c)'!h10")</f>
        <v>0</v>
      </c>
      <c r="H14" s="4"/>
      <c r="J14" s="10"/>
      <c r="K14" s="10"/>
      <c r="M14" s="10"/>
      <c r="N14" s="10"/>
      <c r="P14" s="12"/>
      <c r="Q14" s="12"/>
      <c r="R14" s="12"/>
      <c r="S14" s="12"/>
      <c r="T14" s="12"/>
      <c r="V14" s="11"/>
      <c r="W14" s="11"/>
      <c r="X14" s="11"/>
      <c r="Y14" s="11"/>
      <c r="Z14" s="11"/>
      <c r="AA14" s="11"/>
      <c r="AB14" s="11"/>
      <c r="AC14" s="11"/>
      <c r="AD14" s="11"/>
      <c r="AE14" s="11"/>
      <c r="AF14" s="11"/>
    </row>
    <row r="15" spans="1:33" s="5" customFormat="1" ht="15" customHeight="1" x14ac:dyDescent="0.35">
      <c r="A15" s="4" t="s">
        <v>13</v>
      </c>
      <c r="B15" s="13">
        <f ca="1">INDIRECT("'("&amp;$A$4&amp;"c)'!C11")</f>
        <v>0</v>
      </c>
      <c r="C15" s="13">
        <f ca="1">INDIRECT("'("&amp;$A$4&amp;"c)'!d11")</f>
        <v>0</v>
      </c>
      <c r="D15" s="13">
        <f ca="1">INDIRECT("'("&amp;$A$4&amp;"c)'!e11")</f>
        <v>4.5</v>
      </c>
      <c r="E15" s="13">
        <f ca="1">INDIRECT("'("&amp;$A$4&amp;"c)'!f11")</f>
        <v>7</v>
      </c>
      <c r="F15" s="13">
        <f ca="1">INDIRECT("'("&amp;$A$4&amp;"c)'!g11")</f>
        <v>8</v>
      </c>
      <c r="G15" s="13">
        <f ca="1">INDIRECT("'("&amp;$A$4&amp;"c)'!h11")</f>
        <v>19.5</v>
      </c>
      <c r="H15" s="4"/>
      <c r="J15" s="10"/>
      <c r="K15" s="10"/>
      <c r="M15" s="10"/>
      <c r="N15" s="10"/>
      <c r="P15" s="12"/>
      <c r="Q15" s="12"/>
      <c r="R15" s="12"/>
      <c r="S15" s="12"/>
      <c r="T15" s="12"/>
      <c r="V15" s="11"/>
      <c r="W15" s="11"/>
      <c r="X15" s="11"/>
      <c r="Y15" s="11"/>
      <c r="Z15" s="11"/>
      <c r="AA15" s="11"/>
      <c r="AB15" s="11"/>
      <c r="AC15" s="11"/>
      <c r="AD15" s="11"/>
      <c r="AE15" s="11"/>
      <c r="AF15" s="11"/>
    </row>
    <row r="16" spans="1:33" s="5" customFormat="1" ht="15" customHeight="1" x14ac:dyDescent="0.35">
      <c r="A16" s="4" t="s">
        <v>14</v>
      </c>
      <c r="B16" s="13">
        <f ca="1">INDIRECT("'("&amp;$A$4&amp;"c)'!C12")</f>
        <v>0</v>
      </c>
      <c r="C16" s="13">
        <f ca="1">INDIRECT("'("&amp;$A$4&amp;"c)'!d12")</f>
        <v>0</v>
      </c>
      <c r="D16" s="13">
        <f ca="1">INDIRECT("'("&amp;$A$4&amp;"c)'!e12")</f>
        <v>2</v>
      </c>
      <c r="E16" s="13">
        <f ca="1">INDIRECT("'("&amp;$A$4&amp;"c)'!f12")</f>
        <v>6</v>
      </c>
      <c r="F16" s="13">
        <f ca="1">INDIRECT("'("&amp;$A$4&amp;"c)'!g12")</f>
        <v>7.88</v>
      </c>
      <c r="G16" s="13">
        <f ca="1">INDIRECT("'("&amp;$A$4&amp;"c)'!h12")</f>
        <v>15.879999999999999</v>
      </c>
      <c r="H16" s="4"/>
      <c r="J16" s="10"/>
      <c r="K16" s="10"/>
      <c r="M16" s="10"/>
      <c r="N16" s="10"/>
      <c r="P16" s="12"/>
      <c r="Q16" s="12"/>
      <c r="R16" s="12"/>
      <c r="S16" s="12"/>
      <c r="T16" s="12"/>
      <c r="V16" s="11"/>
      <c r="W16" s="11"/>
      <c r="X16" s="11"/>
      <c r="Y16" s="11"/>
      <c r="Z16" s="11"/>
      <c r="AA16" s="11"/>
      <c r="AB16" s="11"/>
      <c r="AC16" s="11"/>
      <c r="AD16" s="11"/>
      <c r="AE16" s="11"/>
      <c r="AF16" s="11"/>
    </row>
    <row r="17" spans="1:32" s="5" customFormat="1" ht="15" customHeight="1" x14ac:dyDescent="0.35">
      <c r="A17" s="4" t="s">
        <v>15</v>
      </c>
      <c r="B17" s="13">
        <f ca="1">INDIRECT("'("&amp;$A$4&amp;"c)'!C13")</f>
        <v>0</v>
      </c>
      <c r="C17" s="13">
        <f ca="1">INDIRECT("'("&amp;$A$4&amp;"c)'!d13")</f>
        <v>0</v>
      </c>
      <c r="D17" s="13">
        <f ca="1">INDIRECT("'("&amp;$A$4&amp;"c)'!e13")</f>
        <v>0</v>
      </c>
      <c r="E17" s="13">
        <f ca="1">INDIRECT("'("&amp;$A$4&amp;"c)'!f13")</f>
        <v>0</v>
      </c>
      <c r="F17" s="13">
        <f ca="1">INDIRECT("'("&amp;$A$4&amp;"c)'!g13")</f>
        <v>0</v>
      </c>
      <c r="G17" s="13">
        <f ca="1">INDIRECT("'("&amp;$A$4&amp;"c)'!h13")</f>
        <v>0</v>
      </c>
      <c r="H17" s="4"/>
      <c r="J17" s="10"/>
      <c r="K17" s="10"/>
      <c r="M17" s="10"/>
      <c r="N17" s="10"/>
      <c r="P17" s="12"/>
      <c r="Q17" s="12"/>
      <c r="R17" s="12"/>
      <c r="S17" s="12"/>
      <c r="T17" s="12"/>
      <c r="V17" s="11"/>
      <c r="W17" s="11"/>
      <c r="X17" s="11"/>
      <c r="Y17" s="11"/>
      <c r="Z17" s="11"/>
      <c r="AA17" s="11"/>
      <c r="AB17" s="11"/>
      <c r="AC17" s="11"/>
      <c r="AD17" s="11"/>
      <c r="AE17" s="11"/>
      <c r="AF17" s="11"/>
    </row>
    <row r="18" spans="1:32" s="5" customFormat="1" ht="15" customHeight="1" x14ac:dyDescent="0.35">
      <c r="A18" s="19" t="s">
        <v>16</v>
      </c>
      <c r="B18" s="13">
        <f ca="1">INDIRECT("'("&amp;$A$4&amp;"c)'!C14")</f>
        <v>0</v>
      </c>
      <c r="C18" s="13">
        <f ca="1">INDIRECT("'("&amp;$A$4&amp;"c)'!d14")</f>
        <v>1</v>
      </c>
      <c r="D18" s="13">
        <f ca="1">INDIRECT("'("&amp;$A$4&amp;"c)'!e14")</f>
        <v>6</v>
      </c>
      <c r="E18" s="13">
        <f ca="1">INDIRECT("'("&amp;$A$4&amp;"c)'!f14")</f>
        <v>4</v>
      </c>
      <c r="F18" s="13">
        <f ca="1">INDIRECT("'("&amp;$A$4&amp;"c)'!g14")</f>
        <v>17</v>
      </c>
      <c r="G18" s="13">
        <f ca="1">INDIRECT("'("&amp;$A$4&amp;"c)'!h14")</f>
        <v>28</v>
      </c>
      <c r="H18" s="4"/>
      <c r="J18" s="10"/>
      <c r="K18" s="10"/>
      <c r="M18" s="10"/>
      <c r="N18" s="10"/>
      <c r="P18" s="12"/>
      <c r="Q18" s="12"/>
      <c r="R18" s="12"/>
      <c r="S18" s="12"/>
      <c r="T18" s="12"/>
      <c r="V18" s="11"/>
      <c r="W18" s="11"/>
      <c r="X18" s="11"/>
      <c r="Y18" s="11"/>
      <c r="Z18" s="11"/>
      <c r="AA18" s="11"/>
      <c r="AB18" s="11"/>
      <c r="AC18" s="11"/>
      <c r="AD18" s="11"/>
      <c r="AE18" s="11"/>
      <c r="AF18" s="11"/>
    </row>
    <row r="19" spans="1:32" s="5" customFormat="1" ht="15" customHeight="1" x14ac:dyDescent="0.35">
      <c r="A19" s="19" t="s">
        <v>17</v>
      </c>
      <c r="B19" s="13">
        <f ca="1">INDIRECT("'("&amp;$A$4&amp;"c)'!C15")</f>
        <v>0</v>
      </c>
      <c r="C19" s="13">
        <f ca="1">INDIRECT("'("&amp;$A$4&amp;"c)'!d15")</f>
        <v>1.6400000000000001</v>
      </c>
      <c r="D19" s="13">
        <f ca="1">INDIRECT("'("&amp;$A$4&amp;"c)'!e15")</f>
        <v>7</v>
      </c>
      <c r="E19" s="13">
        <f ca="1">INDIRECT("'("&amp;$A$4&amp;"c)'!f15")</f>
        <v>11</v>
      </c>
      <c r="F19" s="13">
        <f ca="1">INDIRECT("'("&amp;$A$4&amp;"c)'!g15")</f>
        <v>13</v>
      </c>
      <c r="G19" s="13">
        <f ca="1">INDIRECT("'("&amp;$A$4&amp;"c)'!h15")</f>
        <v>32.64</v>
      </c>
      <c r="H19" s="4"/>
      <c r="J19" s="10"/>
      <c r="K19" s="10"/>
      <c r="M19" s="10"/>
      <c r="N19" s="10"/>
      <c r="P19" s="12"/>
      <c r="Q19" s="12"/>
      <c r="R19" s="12"/>
      <c r="S19" s="12"/>
      <c r="T19" s="12"/>
      <c r="V19" s="11"/>
      <c r="W19" s="11"/>
      <c r="X19" s="11"/>
      <c r="Y19" s="11"/>
      <c r="Z19" s="11"/>
      <c r="AA19" s="11"/>
      <c r="AB19" s="11"/>
      <c r="AC19" s="11"/>
      <c r="AD19" s="11"/>
      <c r="AE19" s="11"/>
      <c r="AF19" s="11"/>
    </row>
    <row r="20" spans="1:32" s="5" customFormat="1" ht="15" customHeight="1" x14ac:dyDescent="0.35">
      <c r="A20" s="4" t="s">
        <v>18</v>
      </c>
      <c r="B20" s="13">
        <f ca="1">INDIRECT("'("&amp;$A$4&amp;"c)'!C16")</f>
        <v>1</v>
      </c>
      <c r="C20" s="13">
        <f ca="1">INDIRECT("'("&amp;$A$4&amp;"c)'!d16")</f>
        <v>3</v>
      </c>
      <c r="D20" s="13">
        <f ca="1">INDIRECT("'("&amp;$A$4&amp;"c)'!e16")</f>
        <v>7</v>
      </c>
      <c r="E20" s="13">
        <f ca="1">INDIRECT("'("&amp;$A$4&amp;"c)'!f16")</f>
        <v>7</v>
      </c>
      <c r="F20" s="13">
        <f ca="1">INDIRECT("'("&amp;$A$4&amp;"c)'!g16")</f>
        <v>15.5</v>
      </c>
      <c r="G20" s="13">
        <f ca="1">INDIRECT("'("&amp;$A$4&amp;"c)'!h16")</f>
        <v>33.5</v>
      </c>
      <c r="H20" s="4"/>
      <c r="J20" s="10"/>
      <c r="K20" s="10"/>
      <c r="M20" s="10"/>
      <c r="N20" s="10"/>
      <c r="P20" s="12"/>
      <c r="Q20" s="12"/>
      <c r="R20" s="12"/>
      <c r="S20" s="12"/>
      <c r="T20" s="12"/>
      <c r="V20" s="11"/>
      <c r="W20" s="11"/>
      <c r="X20" s="11"/>
      <c r="Y20" s="11"/>
      <c r="Z20" s="11"/>
      <c r="AA20" s="11"/>
      <c r="AB20" s="11"/>
      <c r="AC20" s="11"/>
      <c r="AD20" s="11"/>
      <c r="AE20" s="11"/>
      <c r="AF20" s="11"/>
    </row>
    <row r="21" spans="1:32" s="5" customFormat="1" ht="15" customHeight="1" x14ac:dyDescent="0.35">
      <c r="A21" s="4" t="s">
        <v>19</v>
      </c>
      <c r="B21" s="13">
        <f ca="1">INDIRECT("'("&amp;$A$4&amp;"c)'!C17")</f>
        <v>0</v>
      </c>
      <c r="C21" s="13">
        <f ca="1">INDIRECT("'("&amp;$A$4&amp;"c)'!d17")</f>
        <v>1</v>
      </c>
      <c r="D21" s="13">
        <f ca="1">INDIRECT("'("&amp;$A$4&amp;"c)'!e17")</f>
        <v>8</v>
      </c>
      <c r="E21" s="13">
        <f ca="1">INDIRECT("'("&amp;$A$4&amp;"c)'!f17")</f>
        <v>4</v>
      </c>
      <c r="F21" s="13">
        <f ca="1">INDIRECT("'("&amp;$A$4&amp;"c)'!g17")</f>
        <v>8</v>
      </c>
      <c r="G21" s="13">
        <f ca="1">INDIRECT("'("&amp;$A$4&amp;"c)'!h17")</f>
        <v>21</v>
      </c>
      <c r="H21" s="4"/>
      <c r="J21" s="10"/>
      <c r="K21" s="10"/>
      <c r="M21" s="10"/>
      <c r="N21" s="10"/>
      <c r="P21" s="12"/>
      <c r="Q21" s="12"/>
      <c r="R21" s="12"/>
      <c r="S21" s="12"/>
      <c r="T21" s="12"/>
      <c r="V21" s="11"/>
      <c r="W21" s="11"/>
      <c r="X21" s="11"/>
      <c r="Y21" s="11"/>
      <c r="Z21" s="11"/>
      <c r="AA21" s="11"/>
      <c r="AB21" s="11"/>
      <c r="AC21" s="11"/>
      <c r="AD21" s="11"/>
      <c r="AE21" s="11"/>
      <c r="AF21" s="11"/>
    </row>
    <row r="22" spans="1:32" s="5" customFormat="1" ht="15" customHeight="1" x14ac:dyDescent="0.35">
      <c r="A22" s="4" t="s">
        <v>20</v>
      </c>
      <c r="B22" s="13">
        <f ca="1">INDIRECT("'("&amp;$A$4&amp;"c)'!C18")</f>
        <v>1</v>
      </c>
      <c r="C22" s="13">
        <f ca="1">INDIRECT("'("&amp;$A$4&amp;"c)'!d18")</f>
        <v>1</v>
      </c>
      <c r="D22" s="13">
        <f ca="1">INDIRECT("'("&amp;$A$4&amp;"c)'!e18")</f>
        <v>6.75</v>
      </c>
      <c r="E22" s="13">
        <f ca="1">INDIRECT("'("&amp;$A$4&amp;"c)'!f18")</f>
        <v>14</v>
      </c>
      <c r="F22" s="13">
        <f ca="1">INDIRECT("'("&amp;$A$4&amp;"c)'!g18")</f>
        <v>22.21</v>
      </c>
      <c r="G22" s="13">
        <f ca="1">INDIRECT("'("&amp;$A$4&amp;"c)'!h18")</f>
        <v>44.96</v>
      </c>
      <c r="H22" s="4"/>
      <c r="J22" s="10"/>
      <c r="K22" s="10"/>
      <c r="M22" s="10"/>
      <c r="N22" s="10"/>
      <c r="P22" s="12"/>
      <c r="Q22" s="12"/>
      <c r="R22" s="12"/>
      <c r="S22" s="12"/>
      <c r="T22" s="12"/>
      <c r="V22" s="11"/>
      <c r="W22" s="11"/>
      <c r="X22" s="11"/>
      <c r="Y22" s="11"/>
      <c r="Z22" s="11"/>
      <c r="AA22" s="11"/>
      <c r="AB22" s="11"/>
      <c r="AC22" s="11"/>
      <c r="AD22" s="11"/>
      <c r="AE22" s="11"/>
      <c r="AF22" s="11"/>
    </row>
    <row r="23" spans="1:32" s="5" customFormat="1" ht="15" customHeight="1" x14ac:dyDescent="0.35">
      <c r="A23" s="4" t="s">
        <v>21</v>
      </c>
      <c r="B23" s="13">
        <f ca="1">INDIRECT("'("&amp;$A$4&amp;"c)'!C19")</f>
        <v>1</v>
      </c>
      <c r="C23" s="13">
        <f ca="1">INDIRECT("'("&amp;$A$4&amp;"c)'!d19")</f>
        <v>0</v>
      </c>
      <c r="D23" s="13">
        <f ca="1">INDIRECT("'("&amp;$A$4&amp;"c)'!e19")</f>
        <v>10</v>
      </c>
      <c r="E23" s="13">
        <f ca="1">INDIRECT("'("&amp;$A$4&amp;"c)'!f19")</f>
        <v>3</v>
      </c>
      <c r="F23" s="13">
        <f ca="1">INDIRECT("'("&amp;$A$4&amp;"c)'!g19")</f>
        <v>16.8</v>
      </c>
      <c r="G23" s="13">
        <f ca="1">INDIRECT("'("&amp;$A$4&amp;"c)'!h19")</f>
        <v>30.8</v>
      </c>
      <c r="H23" s="4"/>
      <c r="J23" s="10"/>
      <c r="K23" s="10"/>
      <c r="M23" s="10"/>
      <c r="N23" s="10"/>
      <c r="P23" s="12"/>
      <c r="Q23" s="12"/>
      <c r="R23" s="12"/>
      <c r="S23" s="12"/>
      <c r="T23" s="12"/>
      <c r="V23" s="11"/>
      <c r="W23" s="11"/>
      <c r="X23" s="11"/>
      <c r="Y23" s="11"/>
      <c r="Z23" s="11"/>
      <c r="AA23" s="11"/>
      <c r="AB23" s="11"/>
      <c r="AC23" s="11"/>
      <c r="AD23" s="11"/>
      <c r="AE23" s="11"/>
      <c r="AF23" s="11"/>
    </row>
    <row r="24" spans="1:32" s="5" customFormat="1" ht="15" customHeight="1" x14ac:dyDescent="0.35">
      <c r="A24" s="4" t="s">
        <v>22</v>
      </c>
      <c r="B24" s="13">
        <f ca="1">INDIRECT("'("&amp;$A$4&amp;"c)'!C20")</f>
        <v>0</v>
      </c>
      <c r="C24" s="13">
        <f ca="1">INDIRECT("'("&amp;$A$4&amp;"c)'!d20")</f>
        <v>2</v>
      </c>
      <c r="D24" s="13">
        <f ca="1">INDIRECT("'("&amp;$A$4&amp;"c)'!e20")</f>
        <v>4</v>
      </c>
      <c r="E24" s="13">
        <f ca="1">INDIRECT("'("&amp;$A$4&amp;"c)'!f20")</f>
        <v>3.5</v>
      </c>
      <c r="F24" s="13">
        <f ca="1">INDIRECT("'("&amp;$A$4&amp;"c)'!g20")</f>
        <v>8.06</v>
      </c>
      <c r="G24" s="13">
        <f ca="1">INDIRECT("'("&amp;$A$4&amp;"c)'!h20")</f>
        <v>17.560000000000002</v>
      </c>
      <c r="H24" s="4"/>
      <c r="J24" s="10"/>
      <c r="K24" s="10"/>
      <c r="M24" s="10"/>
      <c r="N24" s="10"/>
      <c r="P24" s="12"/>
      <c r="Q24" s="12"/>
      <c r="R24" s="12"/>
      <c r="S24" s="12"/>
      <c r="T24" s="12"/>
      <c r="V24" s="11"/>
      <c r="W24" s="11"/>
      <c r="X24" s="11"/>
      <c r="Y24" s="11"/>
      <c r="Z24" s="11"/>
      <c r="AA24" s="11"/>
      <c r="AB24" s="11"/>
      <c r="AC24" s="11"/>
      <c r="AD24" s="11"/>
      <c r="AE24" s="11"/>
      <c r="AF24" s="11"/>
    </row>
    <row r="25" spans="1:32" s="5" customFormat="1" ht="15" customHeight="1" x14ac:dyDescent="0.35">
      <c r="A25" s="4" t="s">
        <v>25</v>
      </c>
      <c r="B25" s="13">
        <f ca="1">INDIRECT("'("&amp;$A$4&amp;"c)'!C21")</f>
        <v>1</v>
      </c>
      <c r="C25" s="13">
        <f ca="1">INDIRECT("'("&amp;$A$4&amp;"c)'!d21")</f>
        <v>3</v>
      </c>
      <c r="D25" s="13">
        <f ca="1">INDIRECT("'("&amp;$A$4&amp;"c)'!e21")</f>
        <v>4</v>
      </c>
      <c r="E25" s="13">
        <f ca="1">INDIRECT("'("&amp;$A$4&amp;"c)'!f21")</f>
        <v>8.5</v>
      </c>
      <c r="F25" s="13">
        <f ca="1">INDIRECT("'("&amp;$A$4&amp;"c)'!g21")</f>
        <v>16.2</v>
      </c>
      <c r="G25" s="13">
        <f ca="1">INDIRECT("'("&amp;$A$4&amp;"c)'!h21")</f>
        <v>32.700000000000003</v>
      </c>
      <c r="H25" s="4"/>
      <c r="J25" s="10"/>
      <c r="K25" s="10"/>
      <c r="M25" s="10"/>
      <c r="N25" s="10"/>
      <c r="P25" s="12"/>
      <c r="Q25" s="12"/>
      <c r="R25" s="12"/>
      <c r="S25" s="12"/>
      <c r="T25" s="12"/>
      <c r="V25" s="11"/>
      <c r="W25" s="11"/>
      <c r="X25" s="11"/>
      <c r="Y25" s="11"/>
      <c r="Z25" s="11"/>
      <c r="AA25" s="11"/>
      <c r="AB25" s="11"/>
      <c r="AC25" s="11"/>
      <c r="AD25" s="11"/>
      <c r="AE25" s="11"/>
      <c r="AF25" s="11"/>
    </row>
    <row r="26" spans="1:32" s="5" customFormat="1" ht="15" customHeight="1" x14ac:dyDescent="0.35">
      <c r="A26" s="4" t="s">
        <v>26</v>
      </c>
      <c r="B26" s="13">
        <f ca="1">INDIRECT("'("&amp;$A$4&amp;"c)'!C22")</f>
        <v>0</v>
      </c>
      <c r="C26" s="13">
        <f ca="1">INDIRECT("'("&amp;$A$4&amp;"c)'!d22")</f>
        <v>1</v>
      </c>
      <c r="D26" s="13">
        <f ca="1">INDIRECT("'("&amp;$A$4&amp;"c)'!e22")</f>
        <v>2</v>
      </c>
      <c r="E26" s="13">
        <f ca="1">INDIRECT("'("&amp;$A$4&amp;"c)'!f22")</f>
        <v>5.25</v>
      </c>
      <c r="F26" s="13">
        <f ca="1">INDIRECT("'("&amp;$A$4&amp;"c)'!g22")</f>
        <v>8</v>
      </c>
      <c r="G26" s="13">
        <f ca="1">INDIRECT("'("&amp;$A$4&amp;"c)'!h22")</f>
        <v>16.25</v>
      </c>
      <c r="H26" s="4"/>
      <c r="J26" s="10"/>
      <c r="K26" s="10"/>
      <c r="M26" s="10"/>
      <c r="N26" s="10"/>
      <c r="P26" s="12"/>
      <c r="Q26" s="12"/>
      <c r="R26" s="12"/>
      <c r="S26" s="12"/>
      <c r="T26" s="12"/>
      <c r="V26" s="11"/>
      <c r="W26" s="11"/>
      <c r="X26" s="11"/>
      <c r="Y26" s="11"/>
      <c r="Z26" s="11"/>
      <c r="AA26" s="11"/>
      <c r="AB26" s="11"/>
      <c r="AC26" s="11"/>
      <c r="AD26" s="11"/>
      <c r="AE26" s="11"/>
      <c r="AF26" s="11"/>
    </row>
    <row r="27" spans="1:32" s="5" customFormat="1" ht="15" customHeight="1" x14ac:dyDescent="0.35">
      <c r="A27" s="4" t="s">
        <v>27</v>
      </c>
      <c r="B27" s="13">
        <f ca="1">INDIRECT("'("&amp;$A$4&amp;"c)'!C23")</f>
        <v>1</v>
      </c>
      <c r="C27" s="13">
        <f ca="1">INDIRECT("'("&amp;$A$4&amp;"c)'!d23")</f>
        <v>1</v>
      </c>
      <c r="D27" s="13">
        <f ca="1">INDIRECT("'("&amp;$A$4&amp;"c)'!e23")</f>
        <v>8</v>
      </c>
      <c r="E27" s="13">
        <f ca="1">INDIRECT("'("&amp;$A$4&amp;"c)'!f23")</f>
        <v>1</v>
      </c>
      <c r="F27" s="13">
        <f ca="1">INDIRECT("'("&amp;$A$4&amp;"c)'!g23")</f>
        <v>15</v>
      </c>
      <c r="G27" s="13">
        <f ca="1">INDIRECT("'("&amp;$A$4&amp;"c)'!h23")</f>
        <v>26</v>
      </c>
      <c r="H27" s="4"/>
      <c r="J27" s="10"/>
      <c r="K27" s="10"/>
      <c r="M27" s="10"/>
      <c r="N27" s="10"/>
      <c r="P27" s="12"/>
      <c r="Q27" s="12"/>
      <c r="R27" s="12"/>
      <c r="S27" s="12"/>
      <c r="T27" s="12"/>
      <c r="V27" s="11"/>
      <c r="W27" s="11"/>
      <c r="X27" s="11"/>
      <c r="Y27" s="11"/>
      <c r="Z27" s="11"/>
      <c r="AA27" s="11"/>
      <c r="AB27" s="11"/>
      <c r="AC27" s="11"/>
      <c r="AD27" s="11"/>
      <c r="AE27" s="11"/>
      <c r="AF27" s="11"/>
    </row>
    <row r="28" spans="1:32" s="5" customFormat="1" ht="15" customHeight="1" x14ac:dyDescent="0.35">
      <c r="A28" s="4" t="s">
        <v>28</v>
      </c>
      <c r="B28" s="13">
        <f ca="1">INDIRECT("'("&amp;$A$4&amp;"c)'!C24")</f>
        <v>0</v>
      </c>
      <c r="C28" s="13">
        <f ca="1">INDIRECT("'("&amp;$A$4&amp;"c)'!d24")</f>
        <v>0</v>
      </c>
      <c r="D28" s="13">
        <f ca="1">INDIRECT("'("&amp;$A$4&amp;"c)'!e24")</f>
        <v>7</v>
      </c>
      <c r="E28" s="13">
        <f ca="1">INDIRECT("'("&amp;$A$4&amp;"c)'!f24")</f>
        <v>9.2899999999999991</v>
      </c>
      <c r="F28" s="13">
        <f ca="1">INDIRECT("'("&amp;$A$4&amp;"c)'!g24")</f>
        <v>11</v>
      </c>
      <c r="G28" s="13">
        <f ca="1">INDIRECT("'("&amp;$A$4&amp;"c)'!h24")</f>
        <v>27.29</v>
      </c>
      <c r="H28" s="4"/>
      <c r="J28" s="10"/>
      <c r="K28" s="10"/>
      <c r="M28" s="10"/>
      <c r="N28" s="10"/>
      <c r="P28" s="12"/>
      <c r="Q28" s="12"/>
      <c r="R28" s="12"/>
      <c r="S28" s="12"/>
      <c r="T28" s="12"/>
      <c r="V28" s="11"/>
      <c r="W28" s="11"/>
      <c r="X28" s="11"/>
      <c r="Y28" s="11"/>
      <c r="Z28" s="11"/>
      <c r="AA28" s="11"/>
      <c r="AB28" s="11"/>
      <c r="AC28" s="11"/>
      <c r="AD28" s="11"/>
      <c r="AE28" s="11"/>
      <c r="AF28" s="11"/>
    </row>
    <row r="29" spans="1:32" s="5" customFormat="1" ht="15" customHeight="1" x14ac:dyDescent="0.35">
      <c r="A29" s="4" t="s">
        <v>29</v>
      </c>
      <c r="B29" s="13">
        <f ca="1">INDIRECT("'("&amp;$A$4&amp;"c)'!C25")</f>
        <v>0</v>
      </c>
      <c r="C29" s="13">
        <f ca="1">INDIRECT("'("&amp;$A$4&amp;"c)'!d25")</f>
        <v>0</v>
      </c>
      <c r="D29" s="13">
        <f ca="1">INDIRECT("'("&amp;$A$4&amp;"c)'!e25")</f>
        <v>0</v>
      </c>
      <c r="E29" s="13">
        <f ca="1">INDIRECT("'("&amp;$A$4&amp;"c)'!f25")</f>
        <v>0</v>
      </c>
      <c r="F29" s="13">
        <f ca="1">INDIRECT("'("&amp;$A$4&amp;"c)'!g25")</f>
        <v>0</v>
      </c>
      <c r="G29" s="13">
        <f ca="1">INDIRECT("'("&amp;$A$4&amp;"c)'!h25")</f>
        <v>0</v>
      </c>
      <c r="H29" s="4"/>
      <c r="J29" s="10"/>
      <c r="K29" s="10"/>
      <c r="M29" s="10"/>
      <c r="N29" s="10"/>
      <c r="P29" s="12"/>
      <c r="Q29" s="12"/>
      <c r="R29" s="12"/>
      <c r="S29" s="12"/>
      <c r="T29" s="12"/>
      <c r="V29" s="11"/>
      <c r="W29" s="11"/>
      <c r="X29" s="11"/>
      <c r="Y29" s="11"/>
      <c r="Z29" s="11"/>
      <c r="AA29" s="11"/>
      <c r="AB29" s="11"/>
      <c r="AC29" s="11"/>
      <c r="AD29" s="11"/>
      <c r="AE29" s="11"/>
      <c r="AF29" s="11"/>
    </row>
    <row r="30" spans="1:32" s="5" customFormat="1" ht="15" customHeight="1" x14ac:dyDescent="0.35">
      <c r="A30" s="5" t="s">
        <v>31</v>
      </c>
      <c r="B30" s="13">
        <f ca="1">INDIRECT("'("&amp;$A$4&amp;"c)'!C26")</f>
        <v>0</v>
      </c>
      <c r="C30" s="13">
        <f ca="1">INDIRECT("'("&amp;$A$4&amp;"c)'!d26")</f>
        <v>2</v>
      </c>
      <c r="D30" s="13">
        <f ca="1">INDIRECT("'("&amp;$A$4&amp;"c)'!e26")</f>
        <v>4</v>
      </c>
      <c r="E30" s="13">
        <f ca="1">INDIRECT("'("&amp;$A$4&amp;"c)'!f26")</f>
        <v>15</v>
      </c>
      <c r="F30" s="13">
        <f ca="1">INDIRECT("'("&amp;$A$4&amp;"c)'!g26")</f>
        <v>19</v>
      </c>
      <c r="G30" s="13">
        <f ca="1">INDIRECT("'("&amp;$A$4&amp;"c)'!h26")</f>
        <v>40</v>
      </c>
      <c r="H30" s="4"/>
      <c r="J30" s="10"/>
      <c r="K30" s="10"/>
      <c r="M30" s="10"/>
      <c r="N30" s="10"/>
      <c r="P30" s="12"/>
      <c r="Q30" s="12"/>
      <c r="R30" s="12"/>
      <c r="S30" s="12"/>
      <c r="T30" s="12"/>
      <c r="V30" s="11"/>
      <c r="W30" s="11"/>
      <c r="X30" s="11"/>
      <c r="Y30" s="11"/>
      <c r="Z30" s="11"/>
      <c r="AA30" s="11"/>
      <c r="AB30" s="11"/>
      <c r="AC30" s="11"/>
      <c r="AD30" s="11"/>
      <c r="AE30" s="11"/>
      <c r="AF30" s="11"/>
    </row>
    <row r="31" spans="1:32" s="5" customFormat="1" ht="15" customHeight="1" x14ac:dyDescent="0.35">
      <c r="A31" s="5" t="s">
        <v>32</v>
      </c>
      <c r="B31" s="13">
        <f ca="1">INDIRECT("'("&amp;$A$4&amp;"c)'!C27")</f>
        <v>0</v>
      </c>
      <c r="C31" s="13">
        <f ca="1">INDIRECT("'("&amp;$A$4&amp;"c)'!d27")</f>
        <v>0</v>
      </c>
      <c r="D31" s="13">
        <f ca="1">INDIRECT("'("&amp;$A$4&amp;"c)'!e27")</f>
        <v>0</v>
      </c>
      <c r="E31" s="13">
        <f ca="1">INDIRECT("'("&amp;$A$4&amp;"c)'!f27")</f>
        <v>1</v>
      </c>
      <c r="F31" s="13">
        <f ca="1">INDIRECT("'("&amp;$A$4&amp;"c)'!g27")</f>
        <v>0</v>
      </c>
      <c r="G31" s="13">
        <f ca="1">INDIRECT("'("&amp;$A$4&amp;"c)'!h27")</f>
        <v>1</v>
      </c>
      <c r="H31" s="4"/>
      <c r="J31" s="10"/>
      <c r="K31" s="10"/>
      <c r="M31" s="10"/>
      <c r="N31" s="10"/>
      <c r="P31" s="12"/>
      <c r="Q31" s="12"/>
      <c r="R31" s="12"/>
      <c r="S31" s="12"/>
      <c r="T31" s="12"/>
      <c r="V31" s="11"/>
      <c r="W31" s="11"/>
      <c r="X31" s="11"/>
      <c r="Y31" s="11"/>
      <c r="Z31" s="11"/>
      <c r="AA31" s="11"/>
      <c r="AB31" s="11"/>
      <c r="AC31" s="11"/>
      <c r="AD31" s="11"/>
      <c r="AE31" s="11"/>
      <c r="AF31" s="11"/>
    </row>
    <row r="32" spans="1:32" s="5" customFormat="1" ht="15" customHeight="1" x14ac:dyDescent="0.35">
      <c r="A32" s="4" t="s">
        <v>33</v>
      </c>
      <c r="B32" s="13">
        <f ca="1">INDIRECT("'("&amp;$A$4&amp;"c)'!C28")</f>
        <v>0</v>
      </c>
      <c r="C32" s="13">
        <f ca="1">INDIRECT("'("&amp;$A$4&amp;"c)'!d28")</f>
        <v>1</v>
      </c>
      <c r="D32" s="13">
        <f ca="1">INDIRECT("'("&amp;$A$4&amp;"c)'!e28")</f>
        <v>5</v>
      </c>
      <c r="E32" s="13">
        <f ca="1">INDIRECT("'("&amp;$A$4&amp;"c)'!f28")</f>
        <v>8</v>
      </c>
      <c r="F32" s="13">
        <f ca="1">INDIRECT("'("&amp;$A$4&amp;"c)'!g28")</f>
        <v>12</v>
      </c>
      <c r="G32" s="13">
        <f ca="1">INDIRECT("'("&amp;$A$4&amp;"c)'!h28")</f>
        <v>26</v>
      </c>
      <c r="H32" s="4"/>
      <c r="J32" s="10"/>
      <c r="K32" s="10"/>
      <c r="M32" s="10"/>
      <c r="N32" s="10"/>
      <c r="P32" s="12"/>
      <c r="Q32" s="12"/>
      <c r="R32" s="12"/>
      <c r="S32" s="12"/>
      <c r="T32" s="12"/>
      <c r="V32" s="11"/>
      <c r="W32" s="11"/>
      <c r="X32" s="11"/>
      <c r="Y32" s="11"/>
      <c r="Z32" s="11"/>
      <c r="AA32" s="11"/>
      <c r="AB32" s="11"/>
      <c r="AC32" s="11"/>
      <c r="AD32" s="11"/>
      <c r="AE32" s="11"/>
      <c r="AF32" s="11"/>
    </row>
    <row r="33" spans="1:32" s="5" customFormat="1" ht="15" customHeight="1" x14ac:dyDescent="0.35">
      <c r="A33" s="5" t="s">
        <v>34</v>
      </c>
      <c r="B33" s="13">
        <f ca="1">INDIRECT("'("&amp;$A$4&amp;"c)'!C29")</f>
        <v>0</v>
      </c>
      <c r="C33" s="13">
        <f ca="1">INDIRECT("'("&amp;$A$4&amp;"c)'!d29")</f>
        <v>1</v>
      </c>
      <c r="D33" s="13">
        <f ca="1">INDIRECT("'("&amp;$A$4&amp;"c)'!e29")</f>
        <v>4</v>
      </c>
      <c r="E33" s="13">
        <f ca="1">INDIRECT("'("&amp;$A$4&amp;"c)'!f29")</f>
        <v>3</v>
      </c>
      <c r="F33" s="13">
        <f ca="1">INDIRECT("'("&amp;$A$4&amp;"c)'!g29")</f>
        <v>9</v>
      </c>
      <c r="G33" s="13">
        <f ca="1">INDIRECT("'("&amp;$A$4&amp;"c)'!h29")</f>
        <v>17</v>
      </c>
      <c r="H33" s="4"/>
      <c r="J33" s="10"/>
      <c r="K33" s="10"/>
      <c r="M33" s="10"/>
      <c r="N33" s="10"/>
      <c r="P33" s="12"/>
      <c r="Q33" s="12"/>
      <c r="R33" s="12"/>
      <c r="S33" s="12"/>
      <c r="T33" s="12"/>
      <c r="V33" s="11"/>
      <c r="W33" s="11"/>
      <c r="X33" s="11"/>
      <c r="Y33" s="11"/>
      <c r="Z33" s="11"/>
      <c r="AA33" s="11"/>
      <c r="AB33" s="11"/>
      <c r="AC33" s="11"/>
      <c r="AD33" s="11"/>
      <c r="AE33" s="11"/>
      <c r="AF33" s="11"/>
    </row>
    <row r="34" spans="1:32" s="5" customFormat="1" ht="15" customHeight="1" x14ac:dyDescent="0.35">
      <c r="A34" s="5" t="s">
        <v>36</v>
      </c>
      <c r="B34" s="13">
        <f ca="1">INDIRECT("'("&amp;$A$4&amp;"c)'!C30")</f>
        <v>0</v>
      </c>
      <c r="C34" s="13">
        <f ca="1">INDIRECT("'("&amp;$A$4&amp;"c)'!d30")</f>
        <v>1</v>
      </c>
      <c r="D34" s="13">
        <f ca="1">INDIRECT("'("&amp;$A$4&amp;"c)'!e30")</f>
        <v>4</v>
      </c>
      <c r="E34" s="13">
        <f ca="1">INDIRECT("'("&amp;$A$4&amp;"c)'!f30")</f>
        <v>4</v>
      </c>
      <c r="F34" s="13">
        <f ca="1">INDIRECT("'("&amp;$A$4&amp;"c)'!g30")</f>
        <v>14.62</v>
      </c>
      <c r="G34" s="13">
        <f ca="1">INDIRECT("'("&amp;$A$4&amp;"c)'!h30")</f>
        <v>23.619999999999997</v>
      </c>
      <c r="H34" s="4"/>
      <c r="J34" s="10"/>
      <c r="K34" s="10"/>
      <c r="M34" s="10"/>
      <c r="N34" s="10"/>
      <c r="P34" s="12"/>
      <c r="Q34" s="12"/>
      <c r="R34" s="12"/>
      <c r="S34" s="12"/>
      <c r="T34" s="12"/>
      <c r="V34" s="11"/>
      <c r="W34" s="11"/>
      <c r="X34" s="11"/>
      <c r="Y34" s="11"/>
      <c r="Z34" s="11"/>
      <c r="AA34" s="11"/>
      <c r="AB34" s="11"/>
      <c r="AC34" s="11"/>
      <c r="AD34" s="11"/>
      <c r="AE34" s="11"/>
      <c r="AF34" s="11"/>
    </row>
    <row r="35" spans="1:32" s="5" customFormat="1" ht="15" customHeight="1" x14ac:dyDescent="0.35">
      <c r="A35" s="4" t="s">
        <v>37</v>
      </c>
      <c r="B35" s="13">
        <f ca="1">INDIRECT("'("&amp;$A$4&amp;"c)'!C31")</f>
        <v>1</v>
      </c>
      <c r="C35" s="13">
        <f ca="1">INDIRECT("'("&amp;$A$4&amp;"c)'!d31")</f>
        <v>5</v>
      </c>
      <c r="D35" s="13">
        <f ca="1">INDIRECT("'("&amp;$A$4&amp;"c)'!e31")</f>
        <v>15</v>
      </c>
      <c r="E35" s="13">
        <f ca="1">INDIRECT("'("&amp;$A$4&amp;"c)'!f31")</f>
        <v>0</v>
      </c>
      <c r="F35" s="13">
        <f ca="1">INDIRECT("'("&amp;$A$4&amp;"c)'!g31")</f>
        <v>36</v>
      </c>
      <c r="G35" s="13">
        <f ca="1">INDIRECT("'("&amp;$A$4&amp;"c)'!h31")</f>
        <v>57</v>
      </c>
      <c r="H35" s="4"/>
      <c r="J35" s="10"/>
      <c r="K35" s="10"/>
      <c r="M35" s="10"/>
      <c r="N35" s="10"/>
      <c r="P35" s="12"/>
      <c r="Q35" s="12"/>
      <c r="R35" s="12"/>
      <c r="S35" s="12"/>
      <c r="T35" s="12"/>
      <c r="V35" s="11"/>
      <c r="W35" s="11"/>
      <c r="X35" s="11"/>
      <c r="Y35" s="11"/>
      <c r="Z35" s="11"/>
      <c r="AA35" s="11"/>
      <c r="AB35" s="11"/>
      <c r="AC35" s="11"/>
      <c r="AD35" s="11"/>
      <c r="AE35" s="11"/>
      <c r="AF35" s="11"/>
    </row>
    <row r="36" spans="1:32" s="5" customFormat="1" ht="15" customHeight="1" x14ac:dyDescent="0.35">
      <c r="A36" s="5" t="s">
        <v>38</v>
      </c>
      <c r="B36" s="13">
        <f ca="1">INDIRECT("'("&amp;$A$4&amp;"c)'!C32")</f>
        <v>0</v>
      </c>
      <c r="C36" s="13">
        <f ca="1">INDIRECT("'("&amp;$A$4&amp;"c)'!d32")</f>
        <v>1</v>
      </c>
      <c r="D36" s="13">
        <f ca="1">INDIRECT("'("&amp;$A$4&amp;"c)'!e32")</f>
        <v>2</v>
      </c>
      <c r="E36" s="13">
        <f ca="1">INDIRECT("'("&amp;$A$4&amp;"c)'!f32")</f>
        <v>6</v>
      </c>
      <c r="F36" s="13">
        <f ca="1">INDIRECT("'("&amp;$A$4&amp;"c)'!g32")</f>
        <v>6</v>
      </c>
      <c r="G36" s="13">
        <f ca="1">INDIRECT("'("&amp;$A$4&amp;"c)'!h32")</f>
        <v>15</v>
      </c>
      <c r="H36" s="4"/>
      <c r="J36" s="10"/>
      <c r="K36" s="10"/>
      <c r="M36" s="10"/>
      <c r="N36" s="10"/>
      <c r="P36" s="12"/>
      <c r="Q36" s="12"/>
      <c r="R36" s="12"/>
      <c r="S36" s="12"/>
      <c r="T36" s="12"/>
      <c r="V36" s="11"/>
      <c r="W36" s="11"/>
      <c r="X36" s="11"/>
      <c r="Y36" s="11"/>
      <c r="Z36" s="11"/>
      <c r="AA36" s="11"/>
      <c r="AB36" s="11"/>
      <c r="AC36" s="11"/>
      <c r="AD36" s="11"/>
      <c r="AE36" s="11"/>
      <c r="AF36" s="11"/>
    </row>
    <row r="37" spans="1:32" s="5" customFormat="1" ht="15" customHeight="1" x14ac:dyDescent="0.35">
      <c r="A37" s="5" t="s">
        <v>39</v>
      </c>
      <c r="B37" s="13">
        <f ca="1">INDIRECT("'("&amp;$A$4&amp;"c)'!C33")</f>
        <v>0</v>
      </c>
      <c r="C37" s="13">
        <f ca="1">INDIRECT("'("&amp;$A$4&amp;"c)'!d33")</f>
        <v>0</v>
      </c>
      <c r="D37" s="13">
        <f ca="1">INDIRECT("'("&amp;$A$4&amp;"c)'!e33")</f>
        <v>4</v>
      </c>
      <c r="E37" s="13">
        <f ca="1">INDIRECT("'("&amp;$A$4&amp;"c)'!f33")</f>
        <v>3</v>
      </c>
      <c r="F37" s="13">
        <f ca="1">INDIRECT("'("&amp;$A$4&amp;"c)'!g33")</f>
        <v>9.5</v>
      </c>
      <c r="G37" s="13">
        <f ca="1">INDIRECT("'("&amp;$A$4&amp;"c)'!h33")</f>
        <v>16.5</v>
      </c>
      <c r="H37" s="4"/>
      <c r="J37" s="10"/>
      <c r="K37" s="10"/>
      <c r="M37" s="10"/>
      <c r="N37" s="10"/>
      <c r="P37" s="12"/>
      <c r="Q37" s="12"/>
      <c r="R37" s="12"/>
      <c r="S37" s="12"/>
      <c r="T37" s="12"/>
      <c r="V37" s="11"/>
      <c r="W37" s="11"/>
      <c r="X37" s="11"/>
      <c r="Y37" s="11"/>
      <c r="Z37" s="11"/>
      <c r="AA37" s="11"/>
      <c r="AB37" s="11"/>
      <c r="AC37" s="11"/>
      <c r="AD37" s="11"/>
      <c r="AE37" s="11"/>
      <c r="AF37" s="11"/>
    </row>
    <row r="38" spans="1:32" s="5" customFormat="1" ht="15" customHeight="1" x14ac:dyDescent="0.35">
      <c r="A38" s="5" t="s">
        <v>40</v>
      </c>
      <c r="B38" s="13">
        <f ca="1">INDIRECT("'("&amp;$A$4&amp;"c)'!C34")</f>
        <v>0</v>
      </c>
      <c r="C38" s="13">
        <f ca="1">INDIRECT("'("&amp;$A$4&amp;"c)'!d34")</f>
        <v>0</v>
      </c>
      <c r="D38" s="13">
        <f ca="1">INDIRECT("'("&amp;$A$4&amp;"c)'!e34")</f>
        <v>1</v>
      </c>
      <c r="E38" s="13">
        <f ca="1">INDIRECT("'("&amp;$A$4&amp;"c)'!f34")</f>
        <v>4</v>
      </c>
      <c r="F38" s="13">
        <f ca="1">INDIRECT("'("&amp;$A$4&amp;"c)'!g34")</f>
        <v>4</v>
      </c>
      <c r="G38" s="13">
        <f ca="1">INDIRECT("'("&amp;$A$4&amp;"c)'!h34")</f>
        <v>9</v>
      </c>
      <c r="H38" s="4"/>
      <c r="J38" s="10"/>
      <c r="K38" s="10"/>
      <c r="M38" s="10"/>
      <c r="N38" s="10"/>
      <c r="P38" s="12"/>
      <c r="Q38" s="12"/>
      <c r="R38" s="12"/>
      <c r="S38" s="12"/>
      <c r="T38" s="12"/>
      <c r="V38" s="11"/>
      <c r="W38" s="11"/>
      <c r="X38" s="11"/>
      <c r="Y38" s="11"/>
      <c r="Z38" s="11"/>
      <c r="AA38" s="11"/>
      <c r="AB38" s="11"/>
      <c r="AC38" s="11"/>
      <c r="AD38" s="11"/>
      <c r="AE38" s="11"/>
      <c r="AF38" s="11"/>
    </row>
    <row r="39" spans="1:32" s="5" customFormat="1" ht="15" customHeight="1" x14ac:dyDescent="0.35">
      <c r="A39" s="4" t="s">
        <v>41</v>
      </c>
      <c r="B39" s="13">
        <f ca="1">INDIRECT("'("&amp;$A$4&amp;"c)'!C35")</f>
        <v>1</v>
      </c>
      <c r="C39" s="13">
        <f ca="1">INDIRECT("'("&amp;$A$4&amp;"c)'!d35")</f>
        <v>2</v>
      </c>
      <c r="D39" s="13">
        <f ca="1">INDIRECT("'("&amp;$A$4&amp;"c)'!e35")</f>
        <v>7</v>
      </c>
      <c r="E39" s="13">
        <f ca="1">INDIRECT("'("&amp;$A$4&amp;"c)'!f35")</f>
        <v>5</v>
      </c>
      <c r="F39" s="13">
        <f ca="1">INDIRECT("'("&amp;$A$4&amp;"c)'!g35")</f>
        <v>10.75</v>
      </c>
      <c r="G39" s="13">
        <f ca="1">INDIRECT("'("&amp;$A$4&amp;"c)'!h35")</f>
        <v>25.75</v>
      </c>
      <c r="H39" s="4"/>
      <c r="J39" s="10"/>
      <c r="K39" s="10"/>
      <c r="M39" s="10"/>
      <c r="N39" s="10"/>
      <c r="P39" s="12"/>
      <c r="Q39" s="12"/>
      <c r="R39" s="12"/>
      <c r="S39" s="12"/>
      <c r="T39" s="12"/>
      <c r="V39" s="11"/>
      <c r="W39" s="11"/>
      <c r="X39" s="11"/>
      <c r="Y39" s="11"/>
      <c r="Z39" s="11"/>
      <c r="AA39" s="11"/>
      <c r="AB39" s="11"/>
      <c r="AC39" s="11"/>
      <c r="AD39" s="11"/>
      <c r="AE39" s="11"/>
      <c r="AF39" s="11"/>
    </row>
    <row r="40" spans="1:32" s="5" customFormat="1" ht="15" customHeight="1" x14ac:dyDescent="0.35">
      <c r="A40" s="4" t="s">
        <v>42</v>
      </c>
      <c r="B40" s="13">
        <f ca="1">INDIRECT("'("&amp;$A$4&amp;"c)'!C36")</f>
        <v>0</v>
      </c>
      <c r="C40" s="13">
        <f ca="1">INDIRECT("'("&amp;$A$4&amp;"c)'!d36")</f>
        <v>0</v>
      </c>
      <c r="D40" s="13">
        <f ca="1">INDIRECT("'("&amp;$A$4&amp;"c)'!e36")</f>
        <v>0</v>
      </c>
      <c r="E40" s="13">
        <f ca="1">INDIRECT("'("&amp;$A$4&amp;"c)'!f36")</f>
        <v>0</v>
      </c>
      <c r="F40" s="13">
        <f ca="1">INDIRECT("'("&amp;$A$4&amp;"c)'!g36")</f>
        <v>0</v>
      </c>
      <c r="G40" s="13">
        <f ca="1">INDIRECT("'("&amp;$A$4&amp;"c)'!h36")</f>
        <v>0</v>
      </c>
      <c r="H40" s="4"/>
      <c r="J40" s="10"/>
      <c r="K40" s="10"/>
      <c r="M40" s="10"/>
      <c r="N40" s="10"/>
      <c r="P40" s="12"/>
      <c r="Q40" s="12"/>
      <c r="R40" s="12"/>
      <c r="S40" s="12"/>
      <c r="T40" s="12"/>
      <c r="V40" s="11"/>
      <c r="W40" s="11"/>
      <c r="X40" s="11"/>
      <c r="Y40" s="11"/>
      <c r="Z40" s="11"/>
      <c r="AA40" s="11"/>
      <c r="AB40" s="11"/>
      <c r="AC40" s="11"/>
      <c r="AD40" s="11"/>
      <c r="AE40" s="11"/>
      <c r="AF40" s="11"/>
    </row>
    <row r="41" spans="1:32" s="5" customFormat="1" ht="15" customHeight="1" x14ac:dyDescent="0.35">
      <c r="A41" s="4" t="s">
        <v>43</v>
      </c>
      <c r="B41" s="13">
        <f ca="1">INDIRECT("'("&amp;$A$4&amp;"c)'!C37")</f>
        <v>0</v>
      </c>
      <c r="C41" s="13">
        <f ca="1">INDIRECT("'("&amp;$A$4&amp;"c)'!d37")</f>
        <v>1</v>
      </c>
      <c r="D41" s="13">
        <f ca="1">INDIRECT("'("&amp;$A$4&amp;"c)'!e37")</f>
        <v>5</v>
      </c>
      <c r="E41" s="13">
        <f ca="1">INDIRECT("'("&amp;$A$4&amp;"c)'!f37")</f>
        <v>4</v>
      </c>
      <c r="F41" s="13">
        <f ca="1">INDIRECT("'("&amp;$A$4&amp;"c)'!g37")</f>
        <v>8.5</v>
      </c>
      <c r="G41" s="13">
        <f ca="1">INDIRECT("'("&amp;$A$4&amp;"c)'!h37")</f>
        <v>18.5</v>
      </c>
      <c r="H41" s="4"/>
      <c r="J41" s="10"/>
      <c r="K41" s="10"/>
      <c r="M41" s="10"/>
      <c r="N41" s="10"/>
      <c r="P41" s="12"/>
      <c r="Q41" s="12"/>
      <c r="R41" s="12"/>
      <c r="S41" s="12"/>
      <c r="T41" s="12"/>
      <c r="V41" s="11"/>
      <c r="W41" s="11"/>
      <c r="X41" s="11"/>
      <c r="Y41" s="11"/>
      <c r="Z41" s="11"/>
      <c r="AA41" s="11"/>
      <c r="AB41" s="11"/>
      <c r="AC41" s="11"/>
      <c r="AD41" s="11"/>
      <c r="AE41" s="11"/>
      <c r="AF41" s="11"/>
    </row>
    <row r="42" spans="1:32" s="5" customFormat="1" ht="15" customHeight="1" x14ac:dyDescent="0.35">
      <c r="A42" s="4" t="s">
        <v>45</v>
      </c>
      <c r="B42" s="13">
        <f ca="1">INDIRECT("'("&amp;$A$4&amp;"c)'!C38")</f>
        <v>0</v>
      </c>
      <c r="C42" s="13">
        <f ca="1">INDIRECT("'("&amp;$A$4&amp;"c)'!d38")</f>
        <v>0</v>
      </c>
      <c r="D42" s="13">
        <f ca="1">INDIRECT("'("&amp;$A$4&amp;"c)'!e38")</f>
        <v>0</v>
      </c>
      <c r="E42" s="13">
        <f ca="1">INDIRECT("'("&amp;$A$4&amp;"c)'!f38")</f>
        <v>0</v>
      </c>
      <c r="F42" s="13">
        <f ca="1">INDIRECT("'("&amp;$A$4&amp;"c)'!g38")</f>
        <v>0</v>
      </c>
      <c r="G42" s="13">
        <f ca="1">INDIRECT("'("&amp;$A$4&amp;"c)'!h38")</f>
        <v>0</v>
      </c>
      <c r="H42" s="4"/>
      <c r="J42" s="10"/>
      <c r="K42" s="10"/>
      <c r="M42" s="10"/>
      <c r="N42" s="10"/>
      <c r="P42" s="12"/>
      <c r="Q42" s="12"/>
      <c r="R42" s="12"/>
      <c r="S42" s="12"/>
      <c r="T42" s="12"/>
      <c r="V42" s="11"/>
      <c r="W42" s="11"/>
      <c r="X42" s="11"/>
      <c r="Y42" s="11"/>
      <c r="Z42" s="11"/>
      <c r="AA42" s="11"/>
      <c r="AB42" s="11"/>
      <c r="AC42" s="11"/>
      <c r="AD42" s="11"/>
      <c r="AE42" s="11"/>
      <c r="AF42" s="11"/>
    </row>
    <row r="43" spans="1:32" s="5" customFormat="1" ht="15" customHeight="1" x14ac:dyDescent="0.35">
      <c r="A43" s="4" t="s">
        <v>46</v>
      </c>
      <c r="B43" s="13">
        <f ca="1">INDIRECT("'("&amp;$A$4&amp;"c)'!C39")</f>
        <v>0</v>
      </c>
      <c r="C43" s="13">
        <f ca="1">INDIRECT("'("&amp;$A$4&amp;"c)'!d39")</f>
        <v>0</v>
      </c>
      <c r="D43" s="13">
        <f ca="1">INDIRECT("'("&amp;$A$4&amp;"c)'!e39")</f>
        <v>0</v>
      </c>
      <c r="E43" s="13">
        <f ca="1">INDIRECT("'("&amp;$A$4&amp;"c)'!f39")</f>
        <v>0</v>
      </c>
      <c r="F43" s="13">
        <f ca="1">INDIRECT("'("&amp;$A$4&amp;"c)'!g39")</f>
        <v>0</v>
      </c>
      <c r="G43" s="13">
        <f ca="1">INDIRECT("'("&amp;$A$4&amp;"c)'!h39")</f>
        <v>0</v>
      </c>
      <c r="H43" s="4"/>
      <c r="J43" s="10"/>
      <c r="K43" s="10"/>
      <c r="M43" s="10"/>
      <c r="N43" s="10"/>
      <c r="P43" s="12"/>
      <c r="Q43" s="12"/>
      <c r="R43" s="12"/>
      <c r="S43" s="12"/>
      <c r="T43" s="12"/>
      <c r="V43" s="11"/>
      <c r="W43" s="11"/>
      <c r="X43" s="11"/>
      <c r="Y43" s="11"/>
      <c r="Z43" s="11"/>
      <c r="AA43" s="11"/>
      <c r="AB43" s="11"/>
      <c r="AC43" s="11"/>
      <c r="AD43" s="11"/>
      <c r="AE43" s="11"/>
      <c r="AF43" s="11"/>
    </row>
    <row r="44" spans="1:32" s="5" customFormat="1" ht="15" customHeight="1" x14ac:dyDescent="0.35">
      <c r="A44" s="4" t="s">
        <v>47</v>
      </c>
      <c r="B44" s="13">
        <f ca="1">INDIRECT("'("&amp;$A$4&amp;"c)'!C40")</f>
        <v>0</v>
      </c>
      <c r="C44" s="13">
        <f ca="1">INDIRECT("'("&amp;$A$4&amp;"c)'!d40")</f>
        <v>2</v>
      </c>
      <c r="D44" s="13">
        <f ca="1">INDIRECT("'("&amp;$A$4&amp;"c)'!e40")</f>
        <v>4</v>
      </c>
      <c r="E44" s="13">
        <f ca="1">INDIRECT("'("&amp;$A$4&amp;"c)'!f40")</f>
        <v>5</v>
      </c>
      <c r="F44" s="13">
        <f ca="1">INDIRECT("'("&amp;$A$4&amp;"c)'!g40")</f>
        <v>10</v>
      </c>
      <c r="G44" s="13">
        <f ca="1">INDIRECT("'("&amp;$A$4&amp;"c)'!h40")</f>
        <v>21</v>
      </c>
      <c r="H44" s="4"/>
      <c r="J44" s="10"/>
      <c r="K44" s="10"/>
      <c r="M44" s="10"/>
      <c r="N44" s="10"/>
      <c r="P44" s="12"/>
      <c r="Q44" s="12"/>
      <c r="R44" s="12"/>
      <c r="S44" s="12"/>
      <c r="T44" s="12"/>
      <c r="V44" s="11"/>
      <c r="W44" s="11"/>
      <c r="X44" s="11"/>
      <c r="Y44" s="11"/>
      <c r="Z44" s="11"/>
      <c r="AA44" s="11"/>
      <c r="AB44" s="11"/>
      <c r="AC44" s="11"/>
      <c r="AD44" s="11"/>
      <c r="AE44" s="11"/>
      <c r="AF44" s="11"/>
    </row>
    <row r="45" spans="1:32" s="5" customFormat="1" ht="15" customHeight="1" x14ac:dyDescent="0.35">
      <c r="A45" s="4" t="s">
        <v>49</v>
      </c>
      <c r="B45" s="13">
        <f ca="1">INDIRECT("'("&amp;$A$4&amp;"c)'!C41")</f>
        <v>0</v>
      </c>
      <c r="C45" s="13">
        <f ca="1">INDIRECT("'("&amp;$A$4&amp;"c)'!d41")</f>
        <v>1</v>
      </c>
      <c r="D45" s="13">
        <f ca="1">INDIRECT("'("&amp;$A$4&amp;"c)'!e41")</f>
        <v>4</v>
      </c>
      <c r="E45" s="13">
        <f ca="1">INDIRECT("'("&amp;$A$4&amp;"c)'!f41")</f>
        <v>4</v>
      </c>
      <c r="F45" s="13">
        <f ca="1">INDIRECT("'("&amp;$A$4&amp;"c)'!g41")</f>
        <v>8</v>
      </c>
      <c r="G45" s="13">
        <f ca="1">INDIRECT("'("&amp;$A$4&amp;"c)'!h41")</f>
        <v>17</v>
      </c>
      <c r="H45" s="4"/>
      <c r="J45" s="10"/>
      <c r="K45" s="10"/>
      <c r="M45" s="10"/>
      <c r="N45" s="10"/>
      <c r="P45" s="12"/>
      <c r="Q45" s="12"/>
      <c r="R45" s="12"/>
      <c r="S45" s="12"/>
      <c r="T45" s="12"/>
      <c r="V45" s="11"/>
      <c r="W45" s="11"/>
      <c r="X45" s="11"/>
      <c r="Y45" s="11"/>
      <c r="Z45" s="11"/>
      <c r="AA45" s="11"/>
      <c r="AB45" s="11"/>
      <c r="AC45" s="11"/>
      <c r="AD45" s="11"/>
      <c r="AE45" s="11"/>
      <c r="AF45" s="11"/>
    </row>
    <row r="46" spans="1:32" s="5" customFormat="1" ht="15" customHeight="1" x14ac:dyDescent="0.35">
      <c r="A46" s="4" t="s">
        <v>51</v>
      </c>
      <c r="B46" s="13">
        <f ca="1">INDIRECT("'("&amp;$A$4&amp;"c)'!C42")</f>
        <v>0</v>
      </c>
      <c r="C46" s="13">
        <f ca="1">INDIRECT("'("&amp;$A$4&amp;"c)'!d42")</f>
        <v>0</v>
      </c>
      <c r="D46" s="13">
        <f ca="1">INDIRECT("'("&amp;$A$4&amp;"c)'!e42")</f>
        <v>0</v>
      </c>
      <c r="E46" s="13">
        <f ca="1">INDIRECT("'("&amp;$A$4&amp;"c)'!f42")</f>
        <v>0</v>
      </c>
      <c r="F46" s="13">
        <f ca="1">INDIRECT("'("&amp;$A$4&amp;"c)'!g42")</f>
        <v>0</v>
      </c>
      <c r="G46" s="13">
        <f ca="1">INDIRECT("'("&amp;$A$4&amp;"c)'!h42")</f>
        <v>0</v>
      </c>
      <c r="H46" s="4"/>
      <c r="J46" s="10"/>
      <c r="K46" s="10"/>
      <c r="M46" s="10"/>
      <c r="N46" s="10"/>
      <c r="P46" s="12"/>
      <c r="Q46" s="12"/>
      <c r="R46" s="12"/>
      <c r="S46" s="12"/>
      <c r="T46" s="12"/>
      <c r="V46" s="11"/>
      <c r="W46" s="11"/>
      <c r="X46" s="11"/>
      <c r="Y46" s="11"/>
      <c r="Z46" s="11"/>
      <c r="AA46" s="11"/>
      <c r="AB46" s="11"/>
      <c r="AC46" s="11"/>
      <c r="AD46" s="11"/>
      <c r="AE46" s="11"/>
      <c r="AF46" s="11"/>
    </row>
    <row r="47" spans="1:32" s="5" customFormat="1" ht="15" customHeight="1" x14ac:dyDescent="0.35">
      <c r="A47" s="4" t="s">
        <v>30</v>
      </c>
      <c r="B47" s="13">
        <f ca="1">INDIRECT("'("&amp;$A$4&amp;"c)'!C43")</f>
        <v>0</v>
      </c>
      <c r="C47" s="13">
        <f ca="1">INDIRECT("'("&amp;$A$4&amp;"c)'!d43")</f>
        <v>0</v>
      </c>
      <c r="D47" s="13">
        <f ca="1">INDIRECT("'("&amp;$A$4&amp;"c)'!e43")</f>
        <v>0</v>
      </c>
      <c r="E47" s="13">
        <f ca="1">INDIRECT("'("&amp;$A$4&amp;"c)'!f43")</f>
        <v>0</v>
      </c>
      <c r="F47" s="13">
        <f ca="1">INDIRECT("'("&amp;$A$4&amp;"c)'!g43")</f>
        <v>0</v>
      </c>
      <c r="G47" s="13">
        <f ca="1">INDIRECT("'("&amp;$A$4&amp;"c)'!h43")</f>
        <v>0</v>
      </c>
      <c r="H47" s="4"/>
      <c r="J47" s="10"/>
      <c r="K47" s="10"/>
      <c r="M47" s="10"/>
      <c r="N47" s="10"/>
      <c r="P47" s="12"/>
      <c r="Q47" s="12"/>
      <c r="R47" s="12"/>
      <c r="S47" s="12"/>
      <c r="T47" s="12"/>
      <c r="V47" s="11"/>
      <c r="W47" s="11"/>
      <c r="X47" s="11"/>
      <c r="Y47" s="11"/>
      <c r="Z47" s="11"/>
      <c r="AA47" s="11"/>
      <c r="AB47" s="11"/>
      <c r="AC47" s="11"/>
      <c r="AD47" s="11"/>
      <c r="AE47" s="11"/>
      <c r="AF47" s="11"/>
    </row>
    <row r="48" spans="1:32" s="5" customFormat="1" ht="15" customHeight="1" x14ac:dyDescent="0.35">
      <c r="A48" s="33" t="s">
        <v>5</v>
      </c>
      <c r="B48" s="14">
        <f ca="1">INDIRECT("'("&amp;$A$4&amp;"c)'!C44")</f>
        <v>3</v>
      </c>
      <c r="C48" s="14">
        <f ca="1">INDIRECT("'("&amp;$A$4&amp;"c)'!d44")</f>
        <v>9</v>
      </c>
      <c r="D48" s="14">
        <f ca="1">INDIRECT("'("&amp;$A$4&amp;"c)'!e44")</f>
        <v>51.980000000000004</v>
      </c>
      <c r="E48" s="14">
        <f ca="1">INDIRECT("'("&amp;$A$4&amp;"c)'!f44")</f>
        <v>64.709999999999994</v>
      </c>
      <c r="F48" s="14">
        <f ca="1">INDIRECT("'("&amp;$A$4&amp;"c)'!g44")</f>
        <v>161.63</v>
      </c>
      <c r="G48" s="14">
        <f ca="1">INDIRECT("'("&amp;$A$4&amp;"c)'!h44")</f>
        <v>290.32000000000005</v>
      </c>
      <c r="H48" s="4"/>
      <c r="J48" s="10"/>
      <c r="K48" s="10"/>
      <c r="M48" s="10"/>
      <c r="N48" s="10"/>
      <c r="P48" s="12"/>
      <c r="Q48" s="12"/>
      <c r="R48" s="12"/>
      <c r="S48" s="12"/>
      <c r="T48" s="12"/>
      <c r="V48" s="11"/>
      <c r="W48" s="11"/>
      <c r="X48" s="11"/>
      <c r="Y48" s="11"/>
      <c r="Z48" s="11"/>
      <c r="AA48" s="11"/>
      <c r="AB48" s="11"/>
      <c r="AC48" s="11"/>
      <c r="AD48" s="11"/>
      <c r="AE48" s="11"/>
      <c r="AF48" s="11"/>
    </row>
    <row r="49" spans="1:32" s="5" customFormat="1" ht="15" customHeight="1" x14ac:dyDescent="0.35">
      <c r="A49" s="4" t="s">
        <v>24</v>
      </c>
      <c r="B49" s="49">
        <f ca="1">INDIRECT("'("&amp;$A$4&amp;"c)'!C45")</f>
        <v>0</v>
      </c>
      <c r="C49" s="49">
        <f ca="1">INDIRECT("'("&amp;$A$4&amp;"c)'!d45")</f>
        <v>0</v>
      </c>
      <c r="D49" s="49">
        <f ca="1">INDIRECT("'("&amp;$A$4&amp;"c)'!e45")</f>
        <v>0</v>
      </c>
      <c r="E49" s="49">
        <f ca="1">INDIRECT("'("&amp;$A$4&amp;"c)'!f45")</f>
        <v>0</v>
      </c>
      <c r="F49" s="49">
        <f ca="1">INDIRECT("'("&amp;$A$4&amp;"c)'!g45")</f>
        <v>0</v>
      </c>
      <c r="G49" s="49">
        <f ca="1">INDIRECT("'("&amp;$A$4&amp;"c)'!h45")</f>
        <v>0</v>
      </c>
      <c r="H49" s="4"/>
      <c r="J49" s="10"/>
      <c r="K49" s="10"/>
      <c r="M49" s="10"/>
      <c r="N49" s="10"/>
      <c r="P49" s="12"/>
      <c r="Q49" s="12"/>
      <c r="R49" s="12"/>
      <c r="S49" s="12"/>
      <c r="T49" s="12"/>
      <c r="V49" s="11"/>
      <c r="W49" s="11"/>
      <c r="X49" s="11"/>
      <c r="Y49" s="11"/>
      <c r="Z49" s="11"/>
      <c r="AA49" s="11"/>
      <c r="AB49" s="11"/>
      <c r="AC49" s="11"/>
      <c r="AD49" s="11"/>
      <c r="AE49" s="11"/>
      <c r="AF49" s="11"/>
    </row>
    <row r="50" spans="1:32" s="5" customFormat="1" ht="15" customHeight="1" x14ac:dyDescent="0.35">
      <c r="A50" s="4" t="s">
        <v>35</v>
      </c>
      <c r="B50" s="13">
        <f ca="1">INDIRECT("'("&amp;$A$4&amp;"c)'!C46")</f>
        <v>0</v>
      </c>
      <c r="C50" s="13">
        <f ca="1">INDIRECT("'("&amp;$A$4&amp;"c)'!d46")</f>
        <v>0</v>
      </c>
      <c r="D50" s="13">
        <f ca="1">INDIRECT("'("&amp;$A$4&amp;"c)'!e46")</f>
        <v>9</v>
      </c>
      <c r="E50" s="13">
        <f ca="1">INDIRECT("'("&amp;$A$4&amp;"c)'!f46")</f>
        <v>4</v>
      </c>
      <c r="F50" s="13">
        <f ca="1">INDIRECT("'("&amp;$A$4&amp;"c)'!g46")</f>
        <v>19.23</v>
      </c>
      <c r="G50" s="13">
        <f ca="1">INDIRECT("'("&amp;$A$4&amp;"c)'!h46")</f>
        <v>32.230000000000004</v>
      </c>
      <c r="H50" s="4"/>
      <c r="J50" s="10"/>
      <c r="K50" s="10"/>
      <c r="M50" s="10"/>
      <c r="N50" s="10"/>
      <c r="P50" s="12"/>
      <c r="Q50" s="12"/>
      <c r="R50" s="12"/>
      <c r="S50" s="12"/>
      <c r="T50" s="12"/>
      <c r="V50" s="11"/>
      <c r="W50" s="11"/>
      <c r="X50" s="11"/>
      <c r="Y50" s="11"/>
      <c r="Z50" s="11"/>
      <c r="AA50" s="11"/>
      <c r="AB50" s="11"/>
      <c r="AC50" s="11"/>
      <c r="AD50" s="11"/>
      <c r="AE50" s="11"/>
      <c r="AF50" s="11"/>
    </row>
    <row r="51" spans="1:32" s="5" customFormat="1" ht="15" customHeight="1" x14ac:dyDescent="0.35">
      <c r="A51" s="4" t="s">
        <v>44</v>
      </c>
      <c r="B51" s="13">
        <f ca="1">INDIRECT("'("&amp;$A$4&amp;"c)'!C47")</f>
        <v>0</v>
      </c>
      <c r="C51" s="13">
        <f ca="1">INDIRECT("'("&amp;$A$4&amp;"c)'!d47")</f>
        <v>3</v>
      </c>
      <c r="D51" s="13">
        <f ca="1">INDIRECT("'("&amp;$A$4&amp;"c)'!e47")</f>
        <v>6</v>
      </c>
      <c r="E51" s="13">
        <f ca="1">INDIRECT("'("&amp;$A$4&amp;"c)'!f47")</f>
        <v>8</v>
      </c>
      <c r="F51" s="13">
        <f ca="1">INDIRECT("'("&amp;$A$4&amp;"c)'!g47")</f>
        <v>11</v>
      </c>
      <c r="G51" s="13">
        <f ca="1">INDIRECT("'("&amp;$A$4&amp;"c)'!h47")</f>
        <v>28</v>
      </c>
      <c r="H51" s="4"/>
      <c r="J51" s="10"/>
      <c r="K51" s="10"/>
      <c r="M51" s="10"/>
      <c r="N51" s="10"/>
      <c r="P51" s="12"/>
      <c r="Q51" s="12"/>
      <c r="R51" s="12"/>
      <c r="S51" s="12"/>
      <c r="T51" s="12"/>
      <c r="V51" s="11"/>
      <c r="W51" s="11"/>
      <c r="X51" s="11"/>
      <c r="Y51" s="11"/>
      <c r="Z51" s="11"/>
      <c r="AA51" s="11"/>
      <c r="AB51" s="11"/>
      <c r="AC51" s="11"/>
      <c r="AD51" s="11"/>
      <c r="AE51" s="11"/>
      <c r="AF51" s="11"/>
    </row>
    <row r="52" spans="1:32" s="5" customFormat="1" ht="15" customHeight="1" x14ac:dyDescent="0.35">
      <c r="A52" s="4" t="s">
        <v>48</v>
      </c>
      <c r="B52" s="13">
        <f ca="1">INDIRECT("'("&amp;$A$4&amp;"c)'!C48")</f>
        <v>0</v>
      </c>
      <c r="C52" s="13">
        <f ca="1">INDIRECT("'("&amp;$A$4&amp;"c)'!d48")</f>
        <v>1</v>
      </c>
      <c r="D52" s="13">
        <f ca="1">INDIRECT("'("&amp;$A$4&amp;"c)'!e48")</f>
        <v>5</v>
      </c>
      <c r="E52" s="13">
        <f ca="1">INDIRECT("'("&amp;$A$4&amp;"c)'!f48")</f>
        <v>5.88</v>
      </c>
      <c r="F52" s="13">
        <f ca="1">INDIRECT("'("&amp;$A$4&amp;"c)'!g48")</f>
        <v>20.5</v>
      </c>
      <c r="G52" s="13">
        <f ca="1">INDIRECT("'("&amp;$A$4&amp;"c)'!h48")</f>
        <v>32.379999999999995</v>
      </c>
      <c r="H52" s="4"/>
      <c r="J52" s="10"/>
      <c r="K52" s="10"/>
      <c r="M52" s="10"/>
      <c r="N52" s="10"/>
      <c r="P52" s="12"/>
      <c r="Q52" s="12"/>
      <c r="R52" s="12"/>
      <c r="S52" s="12"/>
      <c r="T52" s="12"/>
      <c r="V52" s="11"/>
      <c r="W52" s="11"/>
      <c r="X52" s="11"/>
      <c r="Y52" s="11"/>
      <c r="Z52" s="11"/>
      <c r="AA52" s="11"/>
      <c r="AB52" s="11"/>
      <c r="AC52" s="11"/>
      <c r="AD52" s="11"/>
      <c r="AE52" s="11"/>
      <c r="AF52" s="11"/>
    </row>
    <row r="53" spans="1:32" s="5" customFormat="1" ht="15" customHeight="1" x14ac:dyDescent="0.35">
      <c r="A53" s="4" t="s">
        <v>50</v>
      </c>
      <c r="B53" s="13">
        <f ca="1">INDIRECT("'("&amp;$A$4&amp;"c)'!C49")</f>
        <v>2</v>
      </c>
      <c r="C53" s="13">
        <f ca="1">INDIRECT("'("&amp;$A$4&amp;"c)'!d49")</f>
        <v>2</v>
      </c>
      <c r="D53" s="13">
        <f ca="1">INDIRECT("'("&amp;$A$4&amp;"c)'!e49")</f>
        <v>15</v>
      </c>
      <c r="E53" s="13">
        <f ca="1">INDIRECT("'("&amp;$A$4&amp;"c)'!f49")</f>
        <v>5.5</v>
      </c>
      <c r="F53" s="13">
        <f ca="1">INDIRECT("'("&amp;$A$4&amp;"c)'!g49")</f>
        <v>32</v>
      </c>
      <c r="G53" s="13">
        <f ca="1">INDIRECT("'("&amp;$A$4&amp;"c)'!h49")</f>
        <v>56.5</v>
      </c>
      <c r="H53" s="4"/>
      <c r="J53" s="10"/>
      <c r="K53" s="10"/>
      <c r="M53" s="10"/>
      <c r="N53" s="10"/>
      <c r="P53" s="12"/>
      <c r="Q53" s="12"/>
      <c r="R53" s="12"/>
      <c r="S53" s="12"/>
      <c r="T53" s="12"/>
      <c r="V53" s="11"/>
      <c r="W53" s="11"/>
      <c r="X53" s="11"/>
      <c r="Y53" s="11"/>
      <c r="Z53" s="11"/>
      <c r="AA53" s="11"/>
      <c r="AB53" s="11"/>
      <c r="AC53" s="11"/>
      <c r="AD53" s="11"/>
      <c r="AE53" s="11"/>
      <c r="AF53" s="11"/>
    </row>
    <row r="54" spans="1:32" s="5" customFormat="1" ht="15" customHeight="1" x14ac:dyDescent="0.35">
      <c r="A54" s="4" t="s">
        <v>52</v>
      </c>
      <c r="B54" s="13">
        <f ca="1">INDIRECT("'("&amp;$A$4&amp;"c)'!C50")</f>
        <v>0</v>
      </c>
      <c r="C54" s="13">
        <f ca="1">INDIRECT("'("&amp;$A$4&amp;"c)'!d50")</f>
        <v>1</v>
      </c>
      <c r="D54" s="13">
        <f ca="1">INDIRECT("'("&amp;$A$4&amp;"c)'!e50")</f>
        <v>7.98</v>
      </c>
      <c r="E54" s="13">
        <f ca="1">INDIRECT("'("&amp;$A$4&amp;"c)'!f50")</f>
        <v>11</v>
      </c>
      <c r="F54" s="13">
        <f ca="1">INDIRECT("'("&amp;$A$4&amp;"c)'!g50")</f>
        <v>21.5</v>
      </c>
      <c r="G54" s="13">
        <f ca="1">INDIRECT("'("&amp;$A$4&amp;"c)'!h50")</f>
        <v>41.480000000000004</v>
      </c>
      <c r="H54" s="4"/>
      <c r="J54" s="10"/>
      <c r="K54" s="10"/>
      <c r="L54" s="4"/>
      <c r="M54" s="10"/>
      <c r="N54" s="10"/>
      <c r="P54" s="12"/>
      <c r="Q54" s="12"/>
      <c r="R54" s="12"/>
      <c r="S54" s="12"/>
      <c r="T54" s="12"/>
      <c r="V54" s="11"/>
      <c r="W54" s="11"/>
      <c r="X54" s="11"/>
      <c r="Y54" s="11"/>
      <c r="Z54" s="11"/>
      <c r="AA54" s="11"/>
      <c r="AB54" s="11"/>
      <c r="AC54" s="11"/>
      <c r="AD54" s="11"/>
      <c r="AE54" s="11"/>
      <c r="AF54" s="11"/>
    </row>
    <row r="55" spans="1:32" s="5" customFormat="1" ht="15" customHeight="1" thickBot="1" x14ac:dyDescent="0.4">
      <c r="A55" s="15" t="s">
        <v>23</v>
      </c>
      <c r="B55" s="13">
        <f ca="1">INDIRECT("'("&amp;$A$4&amp;"c)'!C51")</f>
        <v>1</v>
      </c>
      <c r="C55" s="13">
        <f ca="1">INDIRECT("'("&amp;$A$4&amp;"c)'!d51")</f>
        <v>2</v>
      </c>
      <c r="D55" s="13">
        <f ca="1">INDIRECT("'("&amp;$A$4&amp;"c)'!e51")</f>
        <v>9</v>
      </c>
      <c r="E55" s="13">
        <f ca="1">INDIRECT("'("&amp;$A$4&amp;"c)'!f51")</f>
        <v>30.33</v>
      </c>
      <c r="F55" s="13">
        <f ca="1">INDIRECT("'("&amp;$A$4&amp;"c)'!g51")</f>
        <v>57.4</v>
      </c>
      <c r="G55" s="13">
        <f ca="1">INDIRECT("'("&amp;$A$4&amp;"c)'!h51")</f>
        <v>99.72999999999999</v>
      </c>
      <c r="H55" s="4"/>
      <c r="J55" s="10"/>
      <c r="K55" s="10"/>
      <c r="L55" s="4"/>
      <c r="M55" s="10"/>
      <c r="N55" s="10"/>
      <c r="P55" s="12"/>
      <c r="Q55" s="12"/>
      <c r="R55" s="12"/>
      <c r="S55" s="12"/>
      <c r="T55" s="12"/>
      <c r="V55" s="11"/>
      <c r="W55" s="11"/>
      <c r="X55" s="11"/>
      <c r="Y55" s="11"/>
      <c r="Z55" s="11"/>
      <c r="AA55" s="11"/>
      <c r="AB55" s="11"/>
      <c r="AC55" s="11"/>
      <c r="AD55" s="11"/>
      <c r="AE55" s="11"/>
      <c r="AF55" s="11"/>
    </row>
    <row r="56" spans="1:32" s="5" customFormat="1" ht="15" customHeight="1" x14ac:dyDescent="0.35">
      <c r="B56" s="112"/>
      <c r="C56" s="112"/>
      <c r="D56" s="112"/>
      <c r="E56" s="112"/>
      <c r="F56" s="112"/>
      <c r="G56" s="112"/>
      <c r="H56" s="4"/>
      <c r="J56" s="10"/>
      <c r="K56" s="10"/>
      <c r="L56" s="4"/>
      <c r="M56" s="10"/>
      <c r="N56" s="10"/>
      <c r="P56" s="12"/>
      <c r="Q56" s="12"/>
      <c r="R56" s="12"/>
      <c r="S56" s="12"/>
      <c r="T56" s="12"/>
      <c r="V56" s="11"/>
      <c r="W56" s="11"/>
      <c r="X56" s="11"/>
      <c r="Y56" s="11"/>
      <c r="Z56" s="11"/>
      <c r="AA56" s="11"/>
      <c r="AB56" s="11"/>
      <c r="AC56" s="11"/>
      <c r="AD56" s="11"/>
      <c r="AE56" s="11"/>
      <c r="AF56" s="11"/>
    </row>
    <row r="57" spans="1:32" x14ac:dyDescent="0.35">
      <c r="J57" s="10"/>
      <c r="K57" s="10"/>
      <c r="M57" s="10"/>
      <c r="N57" s="10"/>
      <c r="O57" s="10"/>
      <c r="P57" s="10"/>
      <c r="Q57" s="10"/>
      <c r="R57" s="10"/>
      <c r="S57" s="10"/>
      <c r="T57" s="10"/>
    </row>
    <row r="58" spans="1:32" s="5" customFormat="1" ht="15" customHeight="1" x14ac:dyDescent="0.35">
      <c r="A58" s="159"/>
      <c r="B58" s="159"/>
      <c r="C58" s="159"/>
      <c r="D58" s="159"/>
      <c r="E58" s="159"/>
      <c r="F58" s="159"/>
      <c r="G58" s="159"/>
      <c r="H58" s="4"/>
      <c r="I58" s="4"/>
      <c r="J58" s="10"/>
      <c r="K58" s="10"/>
      <c r="L58" s="4"/>
      <c r="M58" s="10"/>
      <c r="N58" s="10"/>
      <c r="O58" s="10"/>
      <c r="P58" s="10"/>
      <c r="Q58" s="10"/>
      <c r="R58" s="10"/>
      <c r="S58" s="10"/>
      <c r="T58" s="10"/>
    </row>
    <row r="59" spans="1:32" s="5" customFormat="1" ht="15" customHeight="1" x14ac:dyDescent="0.35">
      <c r="A59" s="160"/>
      <c r="B59" s="160"/>
      <c r="C59" s="160"/>
      <c r="D59" s="160"/>
      <c r="E59" s="160"/>
      <c r="F59" s="160"/>
      <c r="G59" s="160"/>
      <c r="H59" s="4"/>
      <c r="I59" s="4"/>
      <c r="J59" s="10"/>
      <c r="K59" s="10"/>
      <c r="L59" s="4"/>
      <c r="M59" s="10"/>
      <c r="N59" s="10"/>
      <c r="O59" s="10"/>
      <c r="P59" s="10"/>
      <c r="Q59" s="10"/>
      <c r="R59" s="10"/>
      <c r="S59" s="10"/>
      <c r="T59" s="10"/>
    </row>
    <row r="60" spans="1:32" s="5" customFormat="1" ht="15" customHeight="1" x14ac:dyDescent="0.35">
      <c r="A60" s="16"/>
      <c r="B60" s="4"/>
      <c r="C60" s="4"/>
      <c r="D60" s="4"/>
      <c r="E60" s="4"/>
      <c r="F60" s="4"/>
      <c r="G60" s="4"/>
      <c r="H60" s="4"/>
      <c r="I60" s="4"/>
      <c r="J60" s="10"/>
      <c r="K60" s="10"/>
      <c r="L60" s="4"/>
      <c r="M60" s="10"/>
      <c r="N60" s="10"/>
      <c r="O60" s="10"/>
      <c r="P60" s="10"/>
      <c r="Q60" s="10"/>
      <c r="R60" s="10"/>
      <c r="S60" s="10"/>
      <c r="T60" s="10"/>
    </row>
    <row r="61" spans="1:32" s="5" customFormat="1" x14ac:dyDescent="0.35">
      <c r="A61" s="159"/>
      <c r="B61" s="159"/>
      <c r="C61" s="159"/>
      <c r="D61" s="159"/>
      <c r="E61" s="159"/>
      <c r="F61" s="159"/>
      <c r="G61" s="159"/>
      <c r="H61" s="4"/>
      <c r="I61" s="4"/>
      <c r="J61" s="10"/>
      <c r="K61" s="10"/>
      <c r="L61" s="4"/>
      <c r="M61" s="10"/>
      <c r="N61" s="10"/>
      <c r="O61" s="10"/>
      <c r="P61" s="10"/>
      <c r="Q61" s="10"/>
      <c r="R61" s="10"/>
      <c r="S61" s="10"/>
      <c r="T61" s="10"/>
    </row>
    <row r="62" spans="1:32" s="5" customFormat="1" ht="15" customHeight="1" x14ac:dyDescent="0.35">
      <c r="A62" s="46"/>
      <c r="B62" s="46"/>
      <c r="C62" s="46"/>
      <c r="D62" s="46"/>
      <c r="E62" s="46"/>
      <c r="F62" s="46"/>
      <c r="G62" s="46"/>
      <c r="H62" s="4"/>
      <c r="I62" s="4"/>
      <c r="J62" s="10"/>
      <c r="K62" s="10"/>
      <c r="L62" s="4"/>
      <c r="M62" s="10"/>
      <c r="N62" s="10"/>
      <c r="O62" s="10"/>
      <c r="P62" s="10"/>
      <c r="Q62" s="10"/>
      <c r="R62" s="10"/>
      <c r="S62" s="10"/>
      <c r="T62" s="10"/>
    </row>
    <row r="63" spans="1:32" s="5" customFormat="1" ht="15" customHeight="1" x14ac:dyDescent="0.35">
      <c r="A63" s="4"/>
      <c r="B63" s="2"/>
      <c r="C63" s="2"/>
      <c r="D63" s="2"/>
      <c r="E63" s="2"/>
      <c r="F63" s="2"/>
      <c r="G63" s="2"/>
      <c r="L63" s="4"/>
    </row>
    <row r="64" spans="1:32" s="5" customFormat="1" ht="15" customHeight="1" x14ac:dyDescent="0.35">
      <c r="A64" s="17"/>
      <c r="B64" s="2"/>
      <c r="C64" s="2"/>
      <c r="D64" s="2"/>
      <c r="E64" s="2"/>
      <c r="F64" s="2"/>
      <c r="G64" s="2"/>
      <c r="L64" s="4"/>
    </row>
    <row r="65" spans="1:12" s="5" customFormat="1" ht="15" customHeight="1" x14ac:dyDescent="0.35">
      <c r="A65" s="17"/>
      <c r="B65" s="2"/>
      <c r="C65" s="2"/>
      <c r="D65" s="2"/>
      <c r="E65" s="2"/>
      <c r="F65" s="2"/>
      <c r="G65" s="2"/>
      <c r="L65" s="4"/>
    </row>
    <row r="66" spans="1:12" s="5" customFormat="1" x14ac:dyDescent="0.35">
      <c r="A66" s="159"/>
      <c r="B66" s="159"/>
      <c r="C66" s="159"/>
      <c r="D66" s="159"/>
      <c r="E66" s="159"/>
      <c r="F66" s="159"/>
      <c r="G66" s="159"/>
      <c r="L66" s="4"/>
    </row>
    <row r="68" spans="1:12" s="5" customFormat="1" x14ac:dyDescent="0.35">
      <c r="A68" s="4"/>
      <c r="B68" s="4"/>
      <c r="C68" s="4"/>
      <c r="D68" s="4"/>
      <c r="E68" s="4"/>
      <c r="F68" s="4"/>
      <c r="G68" s="4"/>
      <c r="L68" s="4"/>
    </row>
    <row r="69" spans="1:12" s="5" customFormat="1" x14ac:dyDescent="0.35">
      <c r="A69" s="17"/>
      <c r="B69" s="4"/>
      <c r="C69" s="4"/>
      <c r="D69" s="4"/>
      <c r="E69" s="4"/>
      <c r="F69" s="4"/>
      <c r="G69" s="4"/>
      <c r="L69" s="4"/>
    </row>
    <row r="76" spans="1:12" x14ac:dyDescent="0.35">
      <c r="J76" s="4" t="s">
        <v>69</v>
      </c>
      <c r="K76" s="5"/>
    </row>
    <row r="77" spans="1:12" x14ac:dyDescent="0.35">
      <c r="J77" s="4" t="s">
        <v>65</v>
      </c>
    </row>
    <row r="78" spans="1:12" x14ac:dyDescent="0.35">
      <c r="J78" s="4" t="s">
        <v>66</v>
      </c>
    </row>
    <row r="79" spans="1:12" x14ac:dyDescent="0.35">
      <c r="J79" s="4" t="s">
        <v>67</v>
      </c>
    </row>
    <row r="80" spans="1:12" x14ac:dyDescent="0.35">
      <c r="J80" s="4" t="s">
        <v>68</v>
      </c>
    </row>
    <row r="81" spans="10:10" x14ac:dyDescent="0.35">
      <c r="J81" s="4" t="s">
        <v>63</v>
      </c>
    </row>
    <row r="82" spans="10:10" x14ac:dyDescent="0.35">
      <c r="J82" s="4" t="s">
        <v>54</v>
      </c>
    </row>
  </sheetData>
  <mergeCells count="7">
    <mergeCell ref="A66:G66"/>
    <mergeCell ref="A1:G1"/>
    <mergeCell ref="A4:G4"/>
    <mergeCell ref="B5:G5"/>
    <mergeCell ref="A58:G58"/>
    <mergeCell ref="A59:G59"/>
    <mergeCell ref="A61:G6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dimension ref="B1:H22"/>
  <sheetViews>
    <sheetView workbookViewId="0">
      <selection activeCell="A4" sqref="A4:H4"/>
    </sheetView>
  </sheetViews>
  <sheetFormatPr defaultRowHeight="14.5" x14ac:dyDescent="0.35"/>
  <cols>
    <col min="2" max="2" width="65.81640625" bestFit="1" customWidth="1"/>
    <col min="5" max="5" width="1.81640625" hidden="1" customWidth="1"/>
    <col min="6" max="6" width="8.1796875" hidden="1" customWidth="1"/>
    <col min="7" max="7" width="3.54296875" hidden="1" customWidth="1"/>
  </cols>
  <sheetData>
    <row r="1" spans="2:8" x14ac:dyDescent="0.35">
      <c r="B1" t="s">
        <v>196</v>
      </c>
      <c r="F1" t="s">
        <v>125</v>
      </c>
      <c r="G1" t="s">
        <v>126</v>
      </c>
    </row>
    <row r="2" spans="2:8" x14ac:dyDescent="0.35">
      <c r="F2" t="s">
        <v>127</v>
      </c>
      <c r="G2" t="s">
        <v>128</v>
      </c>
    </row>
    <row r="3" spans="2:8" x14ac:dyDescent="0.35">
      <c r="C3" s="104" t="s">
        <v>129</v>
      </c>
      <c r="D3" s="104" t="s">
        <v>130</v>
      </c>
      <c r="E3" s="104"/>
      <c r="F3" t="s">
        <v>132</v>
      </c>
      <c r="G3" s="104"/>
      <c r="H3" s="104" t="s">
        <v>131</v>
      </c>
    </row>
    <row r="4" spans="2:8" x14ac:dyDescent="0.35">
      <c r="B4" t="s">
        <v>124</v>
      </c>
      <c r="C4" t="s">
        <v>197</v>
      </c>
      <c r="E4">
        <f>IF(D4="No",0,1)</f>
        <v>1</v>
      </c>
      <c r="F4" t="s">
        <v>133</v>
      </c>
    </row>
    <row r="5" spans="2:8" x14ac:dyDescent="0.35">
      <c r="B5" t="s">
        <v>120</v>
      </c>
      <c r="C5" t="s">
        <v>197</v>
      </c>
      <c r="E5">
        <f t="shared" ref="E5:E19" si="0">IF(D5="No",0,1)</f>
        <v>1</v>
      </c>
      <c r="F5" t="s">
        <v>134</v>
      </c>
    </row>
    <row r="6" spans="2:8" x14ac:dyDescent="0.35">
      <c r="B6" t="s">
        <v>202</v>
      </c>
      <c r="C6" t="s">
        <v>197</v>
      </c>
      <c r="E6">
        <f t="shared" si="0"/>
        <v>1</v>
      </c>
      <c r="F6" t="s">
        <v>197</v>
      </c>
    </row>
    <row r="7" spans="2:8" x14ac:dyDescent="0.35">
      <c r="B7" t="s">
        <v>192</v>
      </c>
      <c r="C7" t="s">
        <v>197</v>
      </c>
      <c r="E7">
        <f t="shared" si="0"/>
        <v>1</v>
      </c>
      <c r="F7" t="s">
        <v>198</v>
      </c>
    </row>
    <row r="8" spans="2:8" x14ac:dyDescent="0.35">
      <c r="B8" t="s">
        <v>195</v>
      </c>
      <c r="C8" t="s">
        <v>197</v>
      </c>
      <c r="E8">
        <f t="shared" si="0"/>
        <v>1</v>
      </c>
    </row>
    <row r="9" spans="2:8" x14ac:dyDescent="0.35">
      <c r="B9" t="s">
        <v>200</v>
      </c>
      <c r="C9" t="s">
        <v>197</v>
      </c>
      <c r="E9">
        <f t="shared" si="0"/>
        <v>1</v>
      </c>
    </row>
    <row r="10" spans="2:8" x14ac:dyDescent="0.35">
      <c r="B10" t="s">
        <v>201</v>
      </c>
      <c r="C10" t="s">
        <v>197</v>
      </c>
      <c r="E10">
        <f t="shared" si="0"/>
        <v>1</v>
      </c>
    </row>
    <row r="11" spans="2:8" x14ac:dyDescent="0.35">
      <c r="B11" t="s">
        <v>121</v>
      </c>
      <c r="C11" t="s">
        <v>197</v>
      </c>
      <c r="E11">
        <f t="shared" si="0"/>
        <v>1</v>
      </c>
    </row>
    <row r="12" spans="2:8" x14ac:dyDescent="0.35">
      <c r="B12" t="s">
        <v>122</v>
      </c>
      <c r="C12" t="s">
        <v>197</v>
      </c>
      <c r="E12">
        <f t="shared" si="0"/>
        <v>1</v>
      </c>
    </row>
    <row r="13" spans="2:8" x14ac:dyDescent="0.35">
      <c r="B13" t="s">
        <v>123</v>
      </c>
      <c r="C13" t="s">
        <v>197</v>
      </c>
      <c r="E13">
        <f t="shared" si="0"/>
        <v>1</v>
      </c>
    </row>
    <row r="14" spans="2:8" x14ac:dyDescent="0.35">
      <c r="B14" t="s">
        <v>135</v>
      </c>
      <c r="C14" t="s">
        <v>197</v>
      </c>
      <c r="E14">
        <f t="shared" si="0"/>
        <v>1</v>
      </c>
    </row>
    <row r="15" spans="2:8" x14ac:dyDescent="0.35">
      <c r="B15" t="s">
        <v>136</v>
      </c>
      <c r="C15" t="s">
        <v>197</v>
      </c>
      <c r="E15">
        <f t="shared" si="0"/>
        <v>1</v>
      </c>
    </row>
    <row r="16" spans="2:8" x14ac:dyDescent="0.35">
      <c r="B16" t="s">
        <v>137</v>
      </c>
      <c r="C16" t="s">
        <v>197</v>
      </c>
      <c r="E16">
        <f t="shared" si="0"/>
        <v>1</v>
      </c>
    </row>
    <row r="17" spans="2:5" x14ac:dyDescent="0.35">
      <c r="B17" t="s">
        <v>138</v>
      </c>
      <c r="C17" t="s">
        <v>197</v>
      </c>
      <c r="E17">
        <f t="shared" si="0"/>
        <v>1</v>
      </c>
    </row>
    <row r="18" spans="2:5" x14ac:dyDescent="0.35">
      <c r="B18" t="s">
        <v>139</v>
      </c>
      <c r="C18" t="s">
        <v>197</v>
      </c>
      <c r="E18">
        <f t="shared" si="0"/>
        <v>1</v>
      </c>
    </row>
    <row r="19" spans="2:5" x14ac:dyDescent="0.35">
      <c r="B19" t="s">
        <v>140</v>
      </c>
      <c r="C19" t="s">
        <v>197</v>
      </c>
      <c r="E19">
        <f t="shared" si="0"/>
        <v>1</v>
      </c>
    </row>
    <row r="22" spans="2:5" x14ac:dyDescent="0.35">
      <c r="B22" t="s">
        <v>141</v>
      </c>
      <c r="C22" s="105">
        <f>SUM(E4:E19)</f>
        <v>16</v>
      </c>
    </row>
  </sheetData>
  <conditionalFormatting sqref="D4:D5 D10:D16 D7">
    <cfRule type="containsText" dxfId="13" priority="12" operator="containsText" text="Yes">
      <formula>NOT(ISERROR(SEARCH("Yes",D4)))</formula>
    </cfRule>
    <cfRule type="containsText" dxfId="12" priority="13" operator="containsText" text="No">
      <formula>NOT(ISERROR(SEARCH("No",D4)))</formula>
    </cfRule>
  </conditionalFormatting>
  <conditionalFormatting sqref="C11:C20 C4:C5 C7:C8">
    <cfRule type="notContainsBlanks" dxfId="11" priority="14">
      <formula>LEN(TRIM(C4))&gt;0</formula>
    </cfRule>
  </conditionalFormatting>
  <conditionalFormatting sqref="D17:D19">
    <cfRule type="containsText" dxfId="10" priority="9" operator="containsText" text="Yes">
      <formula>NOT(ISERROR(SEARCH("Yes",D17)))</formula>
    </cfRule>
    <cfRule type="containsText" dxfId="9" priority="10" operator="containsText" text="No">
      <formula>NOT(ISERROR(SEARCH("No",D17)))</formula>
    </cfRule>
  </conditionalFormatting>
  <conditionalFormatting sqref="C21">
    <cfRule type="notContainsBlanks" dxfId="8" priority="11">
      <formula>LEN(TRIM(C21))&gt;0</formula>
    </cfRule>
  </conditionalFormatting>
  <conditionalFormatting sqref="C22">
    <cfRule type="cellIs" dxfId="7" priority="7" operator="greaterThan">
      <formula>0</formula>
    </cfRule>
    <cfRule type="cellIs" dxfId="6" priority="8" operator="lessThan">
      <formula>1</formula>
    </cfRule>
  </conditionalFormatting>
  <conditionalFormatting sqref="D8:D9">
    <cfRule type="containsText" dxfId="5" priority="4" operator="containsText" text="Yes">
      <formula>NOT(ISERROR(SEARCH("Yes",D8)))</formula>
    </cfRule>
    <cfRule type="containsText" dxfId="4" priority="5" operator="containsText" text="No">
      <formula>NOT(ISERROR(SEARCH("No",D8)))</formula>
    </cfRule>
  </conditionalFormatting>
  <conditionalFormatting sqref="C9:C10">
    <cfRule type="notContainsBlanks" dxfId="3" priority="6">
      <formula>LEN(TRIM(C9))&gt;0</formula>
    </cfRule>
  </conditionalFormatting>
  <conditionalFormatting sqref="D6">
    <cfRule type="containsText" dxfId="2" priority="1" operator="containsText" text="Yes">
      <formula>NOT(ISERROR(SEARCH("Yes",D6)))</formula>
    </cfRule>
    <cfRule type="containsText" dxfId="1" priority="2" operator="containsText" text="No">
      <formula>NOT(ISERROR(SEARCH("No",D6)))</formula>
    </cfRule>
  </conditionalFormatting>
  <conditionalFormatting sqref="C6">
    <cfRule type="notContainsBlanks" dxfId="0" priority="3">
      <formula>LEN(TRIM(C6))&gt;0</formula>
    </cfRule>
  </conditionalFormatting>
  <dataValidations count="4">
    <dataValidation type="list" allowBlank="1" showInputMessage="1" showErrorMessage="1" sqref="D18:D19" xr:uid="{EC03A767-086D-4CF1-8EB7-DBBE6F400872}">
      <formula1>$A$1:$A$2</formula1>
    </dataValidation>
    <dataValidation type="list" allowBlank="1" showInputMessage="1" showErrorMessage="1" sqref="C20:C21 D17" xr:uid="{D2F360C6-F52E-4A86-9599-95D43BBBF09E}">
      <formula1>#REF!</formula1>
    </dataValidation>
    <dataValidation type="list" allowBlank="1" showInputMessage="1" showErrorMessage="1" sqref="D4:D16" xr:uid="{C05CC35D-23D5-4FFA-9A7A-B2C785857C26}">
      <formula1>G$1:G$2</formula1>
    </dataValidation>
    <dataValidation type="list" allowBlank="1" showInputMessage="1" showErrorMessage="1" sqref="C4:C19" xr:uid="{E3AF3242-B453-4CE1-9726-C6D75CA52D5B}">
      <formula1>$F$1:$F$7</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9"/>
  <dimension ref="A1:AI71"/>
  <sheetViews>
    <sheetView tabSelected="1" zoomScaleNormal="100" workbookViewId="0">
      <pane ySplit="7" topLeftCell="A8" activePane="bottomLeft" state="frozen"/>
      <selection pane="bottomLeft" activeCell="A4" sqref="A4:H4"/>
    </sheetView>
  </sheetViews>
  <sheetFormatPr defaultColWidth="9.1796875" defaultRowHeight="14.5" x14ac:dyDescent="0.35"/>
  <cols>
    <col min="1" max="1" width="50.7265625" style="4" customWidth="1"/>
    <col min="2" max="9" width="10.7265625" style="4" customWidth="1"/>
    <col min="10" max="11" width="9.1796875" style="4" customWidth="1"/>
    <col min="12" max="12" width="9.1796875" style="4" hidden="1" customWidth="1"/>
    <col min="13" max="13" width="9.1796875" style="4" customWidth="1"/>
    <col min="14" max="14" width="10" style="4" bestFit="1" customWidth="1"/>
    <col min="15" max="15" width="11.81640625" style="4" customWidth="1"/>
    <col min="16" max="20" width="9.1796875" style="4"/>
    <col min="21" max="21" width="11" style="4" customWidth="1"/>
    <col min="22" max="16384" width="9.1796875" style="4"/>
  </cols>
  <sheetData>
    <row r="1" spans="1:35" s="3" customFormat="1" ht="33.5" customHeight="1" x14ac:dyDescent="0.5">
      <c r="A1" s="163" t="s">
        <v>113</v>
      </c>
      <c r="B1" s="163"/>
      <c r="C1" s="163"/>
      <c r="D1" s="163"/>
      <c r="E1" s="163"/>
      <c r="F1" s="163"/>
      <c r="G1" s="163"/>
      <c r="H1" s="163"/>
      <c r="I1" s="163"/>
      <c r="J1" s="1"/>
      <c r="K1" s="1"/>
      <c r="L1" s="2"/>
      <c r="M1" s="2"/>
    </row>
    <row r="2" spans="1:35" s="5" customFormat="1" ht="15" customHeight="1" x14ac:dyDescent="0.35">
      <c r="A2" s="4"/>
      <c r="B2" s="4"/>
      <c r="C2" s="4"/>
      <c r="D2" s="4"/>
      <c r="E2" s="4"/>
      <c r="F2" s="4"/>
      <c r="G2" s="4"/>
      <c r="H2" s="4"/>
      <c r="I2" s="4"/>
      <c r="J2" s="4"/>
      <c r="K2" s="4"/>
      <c r="L2" s="4"/>
      <c r="M2" s="4"/>
    </row>
    <row r="3" spans="1:35" s="5" customFormat="1" ht="15" customHeight="1" x14ac:dyDescent="0.35">
      <c r="A3" s="31" t="s">
        <v>62</v>
      </c>
      <c r="B3" s="32"/>
      <c r="C3" s="32"/>
      <c r="D3" s="32"/>
      <c r="E3" s="32"/>
      <c r="F3" s="32"/>
      <c r="G3" s="32"/>
      <c r="H3" s="32"/>
      <c r="I3" s="4"/>
      <c r="J3" s="4"/>
      <c r="K3" s="4"/>
      <c r="L3" s="4"/>
      <c r="M3" s="4"/>
    </row>
    <row r="4" spans="1:35" s="5" customFormat="1" ht="15" customHeight="1" x14ac:dyDescent="0.35">
      <c r="A4" s="158">
        <v>2019</v>
      </c>
      <c r="B4" s="158"/>
      <c r="C4" s="158"/>
      <c r="D4" s="158"/>
      <c r="E4" s="158"/>
      <c r="F4" s="158"/>
      <c r="G4" s="158"/>
      <c r="H4" s="158"/>
      <c r="I4" s="4"/>
      <c r="J4" s="4"/>
      <c r="K4" s="4"/>
      <c r="L4" s="4"/>
      <c r="M4" s="4"/>
      <c r="N4" s="4"/>
    </row>
    <row r="5" spans="1:35" s="5" customFormat="1" ht="15" thickBot="1" x14ac:dyDescent="0.4">
      <c r="A5" s="4"/>
      <c r="B5" s="157"/>
      <c r="C5" s="157"/>
      <c r="D5" s="157"/>
      <c r="E5" s="157"/>
      <c r="F5" s="157"/>
      <c r="G5" s="157"/>
      <c r="H5" s="47"/>
      <c r="I5" s="41"/>
      <c r="J5" s="4"/>
      <c r="K5" s="4"/>
      <c r="L5" s="6"/>
      <c r="M5" s="6"/>
      <c r="O5" s="6"/>
      <c r="P5" s="6"/>
      <c r="R5" s="6"/>
      <c r="S5" s="6"/>
      <c r="T5" s="6"/>
      <c r="U5" s="6"/>
      <c r="V5" s="6"/>
      <c r="Y5" s="7"/>
    </row>
    <row r="6" spans="1:35" s="9" customFormat="1" ht="44" thickBot="1" x14ac:dyDescent="0.4">
      <c r="A6" s="8" t="s">
        <v>142</v>
      </c>
      <c r="B6" s="64" t="s">
        <v>72</v>
      </c>
      <c r="C6" s="64" t="s">
        <v>73</v>
      </c>
      <c r="D6" s="64" t="s">
        <v>74</v>
      </c>
      <c r="E6" s="64" t="s">
        <v>75</v>
      </c>
      <c r="F6" s="64" t="s">
        <v>76</v>
      </c>
      <c r="G6" s="64" t="s">
        <v>77</v>
      </c>
      <c r="H6" s="64" t="s">
        <v>118</v>
      </c>
      <c r="I6" s="65" t="s">
        <v>1</v>
      </c>
      <c r="N6" s="4"/>
    </row>
    <row r="7" spans="1:35" s="5" customFormat="1" ht="15" customHeight="1" x14ac:dyDescent="0.35">
      <c r="A7" s="34" t="s">
        <v>0</v>
      </c>
      <c r="B7" s="14">
        <f ca="1">IF('FIRE1102a raw'!B7="..","..",ROUND('FIRE1102a raw'!B7,0))</f>
        <v>121</v>
      </c>
      <c r="C7" s="14">
        <f ca="1">IF('FIRE1102a raw'!C7="..","..",ROUND('FIRE1102a raw'!C7,0))</f>
        <v>172</v>
      </c>
      <c r="D7" s="14">
        <f ca="1">IF('FIRE1102a raw'!D7="..","..",ROUND('FIRE1102a raw'!D7,0))</f>
        <v>468</v>
      </c>
      <c r="E7" s="14">
        <f ca="1">IF('FIRE1102a raw'!E7="..","..",ROUND('FIRE1102a raw'!E7,0))</f>
        <v>1223</v>
      </c>
      <c r="F7" s="14">
        <f ca="1">IF('FIRE1102a raw'!F7="..","..",ROUND('FIRE1102a raw'!F7,0))</f>
        <v>3635</v>
      </c>
      <c r="G7" s="14">
        <f ca="1">IF('FIRE1102a raw'!G7="..","..",ROUND('FIRE1102a raw'!G7,0))</f>
        <v>3329</v>
      </c>
      <c r="H7" s="14">
        <f ca="1">IF('FIRE1102a raw'!H7="..","..",ROUND('FIRE1102a raw'!H7,0))</f>
        <v>13723</v>
      </c>
      <c r="I7" s="14">
        <f ca="1">IF('FIRE1102a raw'!I7="..","..",ROUND('FIRE1102a raw'!I7,0))</f>
        <v>22670</v>
      </c>
      <c r="J7" s="19"/>
      <c r="K7" s="4"/>
      <c r="L7" s="10"/>
      <c r="M7" s="10"/>
      <c r="O7" s="10"/>
      <c r="P7" s="10"/>
      <c r="R7" s="10"/>
      <c r="S7" s="10"/>
      <c r="T7" s="10"/>
      <c r="U7" s="10"/>
      <c r="V7" s="10"/>
      <c r="X7" s="11"/>
      <c r="Y7" s="11"/>
      <c r="Z7" s="11"/>
      <c r="AA7" s="11"/>
      <c r="AB7" s="11"/>
      <c r="AC7" s="11"/>
      <c r="AD7" s="11"/>
      <c r="AE7" s="11"/>
      <c r="AF7" s="11"/>
      <c r="AG7" s="11"/>
      <c r="AH7" s="11"/>
      <c r="AI7" s="12"/>
    </row>
    <row r="8" spans="1:35" s="5" customFormat="1" ht="15" customHeight="1" x14ac:dyDescent="0.35">
      <c r="A8" s="35" t="s">
        <v>6</v>
      </c>
      <c r="B8" s="14">
        <f ca="1">IF('FIRE1102a raw'!B8="..","..",ROUND('FIRE1102a raw'!B8,0))</f>
        <v>100</v>
      </c>
      <c r="C8" s="14">
        <f ca="1">IF('FIRE1102a raw'!C8="..","..",ROUND('FIRE1102a raw'!C8,0))</f>
        <v>119</v>
      </c>
      <c r="D8" s="14">
        <f ca="1">IF('FIRE1102a raw'!D8="..","..",ROUND('FIRE1102a raw'!D8,0))</f>
        <v>330</v>
      </c>
      <c r="E8" s="14">
        <f ca="1">IF('FIRE1102a raw'!E8="..","..",ROUND('FIRE1102a raw'!E8,0))</f>
        <v>847</v>
      </c>
      <c r="F8" s="14">
        <f ca="1">IF('FIRE1102a raw'!F8="..","..",ROUND('FIRE1102a raw'!F8,0))</f>
        <v>2031</v>
      </c>
      <c r="G8" s="14">
        <f ca="1">IF('FIRE1102a raw'!G8="..","..",ROUND('FIRE1102a raw'!G8,0))</f>
        <v>1991</v>
      </c>
      <c r="H8" s="14">
        <f ca="1">IF('FIRE1102a raw'!H8="..","..",ROUND('FIRE1102a raw'!H8,0))</f>
        <v>7106</v>
      </c>
      <c r="I8" s="14">
        <f ca="1">IF('FIRE1102a raw'!I8="..","..",ROUND('FIRE1102a raw'!I8,0))</f>
        <v>12523</v>
      </c>
      <c r="J8" s="4"/>
      <c r="L8" s="10"/>
      <c r="M8" s="10"/>
      <c r="O8" s="10"/>
      <c r="P8" s="10"/>
      <c r="R8" s="12"/>
      <c r="S8" s="12"/>
      <c r="T8" s="12"/>
      <c r="U8" s="12"/>
      <c r="V8" s="12"/>
      <c r="X8" s="11"/>
      <c r="Y8" s="11"/>
      <c r="Z8" s="11"/>
      <c r="AA8" s="11"/>
      <c r="AB8" s="11"/>
      <c r="AC8" s="11"/>
      <c r="AD8" s="11"/>
      <c r="AE8" s="11"/>
      <c r="AF8" s="11"/>
      <c r="AG8" s="11"/>
      <c r="AH8" s="11"/>
    </row>
    <row r="9" spans="1:35" s="5" customFormat="1" ht="15" customHeight="1" x14ac:dyDescent="0.35">
      <c r="A9" s="4" t="s">
        <v>7</v>
      </c>
      <c r="B9" s="49">
        <f ca="1">IF('FIRE1102a raw'!B9="..","..",ROUND('FIRE1102a raw'!B9,0))</f>
        <v>4</v>
      </c>
      <c r="C9" s="49">
        <f ca="1">IF('FIRE1102a raw'!C9="..","..",ROUND('FIRE1102a raw'!C9,0))</f>
        <v>4</v>
      </c>
      <c r="D9" s="49">
        <f ca="1">IF('FIRE1102a raw'!D9="..","..",ROUND('FIRE1102a raw'!D9,0))</f>
        <v>7</v>
      </c>
      <c r="E9" s="49">
        <f ca="1">IF('FIRE1102a raw'!E9="..","..",ROUND('FIRE1102a raw'!E9,0))</f>
        <v>19</v>
      </c>
      <c r="F9" s="49">
        <f ca="1">IF('FIRE1102a raw'!F9="..","..",ROUND('FIRE1102a raw'!F9,0))</f>
        <v>76</v>
      </c>
      <c r="G9" s="49">
        <f ca="1">IF('FIRE1102a raw'!G9="..","..",ROUND('FIRE1102a raw'!G9,0))</f>
        <v>61</v>
      </c>
      <c r="H9" s="49">
        <f ca="1">IF('FIRE1102a raw'!H9="..","..",ROUND('FIRE1102a raw'!H9,0))</f>
        <v>295</v>
      </c>
      <c r="I9" s="14">
        <f ca="1">IF('FIRE1102a raw'!I9="..","..",ROUND('FIRE1102a raw'!I9,0))</f>
        <v>466</v>
      </c>
      <c r="J9" s="4"/>
      <c r="L9" s="10"/>
      <c r="M9" s="10"/>
      <c r="O9" s="10"/>
      <c r="P9" s="10"/>
      <c r="R9" s="12"/>
      <c r="S9" s="12"/>
      <c r="T9" s="12"/>
      <c r="U9" s="12"/>
      <c r="V9" s="12"/>
      <c r="X9" s="11"/>
      <c r="Y9" s="11"/>
      <c r="Z9" s="11"/>
      <c r="AA9" s="11"/>
      <c r="AB9" s="11"/>
      <c r="AC9" s="11"/>
      <c r="AD9" s="11"/>
      <c r="AE9" s="11"/>
      <c r="AF9" s="11"/>
      <c r="AG9" s="11"/>
      <c r="AH9" s="11"/>
    </row>
    <row r="10" spans="1:35" s="5" customFormat="1" ht="15" customHeight="1" x14ac:dyDescent="0.35">
      <c r="A10" s="4" t="s">
        <v>8</v>
      </c>
      <c r="B10" s="49">
        <f ca="1">IF('FIRE1102a raw'!B10="..","..",ROUND('FIRE1102a raw'!B10,0))</f>
        <v>2</v>
      </c>
      <c r="C10" s="49">
        <f ca="1">IF('FIRE1102a raw'!C10="..","..",ROUND('FIRE1102a raw'!C10,0))</f>
        <v>4</v>
      </c>
      <c r="D10" s="49">
        <f ca="1">IF('FIRE1102a raw'!D10="..","..",ROUND('FIRE1102a raw'!D10,0))</f>
        <v>10</v>
      </c>
      <c r="E10" s="49">
        <f ca="1">IF('FIRE1102a raw'!E10="..","..",ROUND('FIRE1102a raw'!E10,0))</f>
        <v>13</v>
      </c>
      <c r="F10" s="49">
        <f ca="1">IF('FIRE1102a raw'!F10="..","..",ROUND('FIRE1102a raw'!F10,0))</f>
        <v>37</v>
      </c>
      <c r="G10" s="49">
        <f ca="1">IF('FIRE1102a raw'!G10="..","..",ROUND('FIRE1102a raw'!G10,0))</f>
        <v>45</v>
      </c>
      <c r="H10" s="49">
        <f ca="1">IF('FIRE1102a raw'!H10="..","..",ROUND('FIRE1102a raw'!H10,0))</f>
        <v>170</v>
      </c>
      <c r="I10" s="14">
        <f ca="1">IF('FIRE1102a raw'!I10="..","..",ROUND('FIRE1102a raw'!I10,0))</f>
        <v>281</v>
      </c>
      <c r="J10" s="4"/>
      <c r="L10" s="10"/>
      <c r="M10" s="10"/>
      <c r="O10" s="10"/>
      <c r="P10" s="10"/>
      <c r="R10" s="12"/>
      <c r="S10" s="12"/>
      <c r="T10" s="12"/>
      <c r="U10" s="12"/>
      <c r="V10" s="12"/>
      <c r="X10" s="11"/>
      <c r="Y10" s="11"/>
      <c r="Z10" s="11"/>
      <c r="AA10" s="11"/>
      <c r="AB10" s="11"/>
      <c r="AC10" s="11"/>
      <c r="AD10" s="11"/>
      <c r="AE10" s="11"/>
      <c r="AF10" s="11"/>
      <c r="AG10" s="11"/>
      <c r="AH10" s="11"/>
    </row>
    <row r="11" spans="1:35" s="5" customFormat="1" ht="15" customHeight="1" x14ac:dyDescent="0.35">
      <c r="A11" s="4" t="s">
        <v>9</v>
      </c>
      <c r="B11" s="49">
        <f ca="1">IF('FIRE1102a raw'!B11="..","..",ROUND('FIRE1102a raw'!B11,0))</f>
        <v>3</v>
      </c>
      <c r="C11" s="49">
        <f ca="1">IF('FIRE1102a raw'!C11="..","..",ROUND('FIRE1102a raw'!C11,0))</f>
        <v>2</v>
      </c>
      <c r="D11" s="49">
        <f ca="1">IF('FIRE1102a raw'!D11="..","..",ROUND('FIRE1102a raw'!D11,0))</f>
        <v>6</v>
      </c>
      <c r="E11" s="49">
        <f ca="1">IF('FIRE1102a raw'!E11="..","..",ROUND('FIRE1102a raw'!E11,0))</f>
        <v>17</v>
      </c>
      <c r="F11" s="49">
        <f ca="1">IF('FIRE1102a raw'!F11="..","..",ROUND('FIRE1102a raw'!F11,0))</f>
        <v>54</v>
      </c>
      <c r="G11" s="49">
        <f ca="1">IF('FIRE1102a raw'!G11="..","..",ROUND('FIRE1102a raw'!G11,0))</f>
        <v>61</v>
      </c>
      <c r="H11" s="49">
        <f ca="1">IF('FIRE1102a raw'!H11="..","..",ROUND('FIRE1102a raw'!H11,0))</f>
        <v>223</v>
      </c>
      <c r="I11" s="14">
        <f ca="1">IF('FIRE1102a raw'!I11="..","..",ROUND('FIRE1102a raw'!I11,0))</f>
        <v>366</v>
      </c>
      <c r="J11" s="4"/>
      <c r="L11" s="10"/>
      <c r="M11" s="10"/>
      <c r="O11" s="10"/>
      <c r="P11" s="10"/>
      <c r="R11" s="12"/>
      <c r="S11" s="12"/>
      <c r="T11" s="12"/>
      <c r="U11" s="12"/>
      <c r="V11" s="12"/>
      <c r="X11" s="11"/>
      <c r="Y11" s="11"/>
      <c r="Z11" s="11"/>
      <c r="AA11" s="11"/>
      <c r="AB11" s="11"/>
      <c r="AC11" s="11"/>
      <c r="AD11" s="11"/>
      <c r="AE11" s="11"/>
      <c r="AF11" s="11"/>
      <c r="AG11" s="11"/>
      <c r="AH11" s="11"/>
    </row>
    <row r="12" spans="1:35" s="5" customFormat="1" ht="15" customHeight="1" x14ac:dyDescent="0.35">
      <c r="A12" s="4" t="s">
        <v>10</v>
      </c>
      <c r="B12" s="49">
        <f ca="1">IF('FIRE1102a raw'!B12="..","..",ROUND('FIRE1102a raw'!B12,0))</f>
        <v>2</v>
      </c>
      <c r="C12" s="49">
        <f ca="1">IF('FIRE1102a raw'!C12="..","..",ROUND('FIRE1102a raw'!C12,0))</f>
        <v>2</v>
      </c>
      <c r="D12" s="49">
        <f ca="1">IF('FIRE1102a raw'!D12="..","..",ROUND('FIRE1102a raw'!D12,0))</f>
        <v>6</v>
      </c>
      <c r="E12" s="49">
        <f ca="1">IF('FIRE1102a raw'!E12="..","..",ROUND('FIRE1102a raw'!E12,0))</f>
        <v>22</v>
      </c>
      <c r="F12" s="49">
        <f ca="1">IF('FIRE1102a raw'!F12="..","..",ROUND('FIRE1102a raw'!F12,0))</f>
        <v>34</v>
      </c>
      <c r="G12" s="49">
        <f ca="1">IF('FIRE1102a raw'!G12="..","..",ROUND('FIRE1102a raw'!G12,0))</f>
        <v>41</v>
      </c>
      <c r="H12" s="49">
        <f ca="1">IF('FIRE1102a raw'!H12="..","..",ROUND('FIRE1102a raw'!H12,0))</f>
        <v>129</v>
      </c>
      <c r="I12" s="14">
        <f ca="1">IF('FIRE1102a raw'!I12="..","..",ROUND('FIRE1102a raw'!I12,0))</f>
        <v>236</v>
      </c>
      <c r="J12" s="4"/>
      <c r="L12" s="10"/>
      <c r="M12" s="10"/>
      <c r="O12" s="10"/>
      <c r="P12" s="10"/>
      <c r="R12" s="12"/>
      <c r="S12" s="12"/>
      <c r="T12" s="12"/>
      <c r="U12" s="12"/>
      <c r="V12" s="12"/>
      <c r="X12" s="11"/>
      <c r="Y12" s="11"/>
      <c r="Z12" s="11"/>
      <c r="AA12" s="11"/>
      <c r="AB12" s="11"/>
      <c r="AC12" s="11"/>
      <c r="AD12" s="11"/>
      <c r="AE12" s="11"/>
      <c r="AF12" s="11"/>
      <c r="AG12" s="11"/>
      <c r="AH12" s="11"/>
    </row>
    <row r="13" spans="1:35" s="5" customFormat="1" ht="15" customHeight="1" x14ac:dyDescent="0.35">
      <c r="A13" s="4" t="s">
        <v>11</v>
      </c>
      <c r="B13" s="49">
        <f ca="1">IF('FIRE1102a raw'!B13="..","..",ROUND('FIRE1102a raw'!B13,0))</f>
        <v>2</v>
      </c>
      <c r="C13" s="49">
        <f ca="1">IF('FIRE1102a raw'!C13="..","..",ROUND('FIRE1102a raw'!C13,0))</f>
        <v>3</v>
      </c>
      <c r="D13" s="49">
        <f ca="1">IF('FIRE1102a raw'!D13="..","..",ROUND('FIRE1102a raw'!D13,0))</f>
        <v>10</v>
      </c>
      <c r="E13" s="49">
        <f ca="1">IF('FIRE1102a raw'!E13="..","..",ROUND('FIRE1102a raw'!E13,0))</f>
        <v>25</v>
      </c>
      <c r="F13" s="49">
        <f ca="1">IF('FIRE1102a raw'!F13="..","..",ROUND('FIRE1102a raw'!F13,0))</f>
        <v>49</v>
      </c>
      <c r="G13" s="49">
        <f ca="1">IF('FIRE1102a raw'!G13="..","..",ROUND('FIRE1102a raw'!G13,0))</f>
        <v>27</v>
      </c>
      <c r="H13" s="49">
        <f ca="1">IF('FIRE1102a raw'!H13="..","..",ROUND('FIRE1102a raw'!H13,0))</f>
        <v>137</v>
      </c>
      <c r="I13" s="14">
        <f ca="1">IF('FIRE1102a raw'!I13="..","..",ROUND('FIRE1102a raw'!I13,0))</f>
        <v>253</v>
      </c>
      <c r="J13" s="4"/>
      <c r="L13" s="10"/>
      <c r="M13" s="10"/>
      <c r="O13" s="10"/>
      <c r="P13" s="10"/>
      <c r="R13" s="12"/>
      <c r="S13" s="12"/>
      <c r="T13" s="12"/>
      <c r="U13" s="12"/>
      <c r="V13" s="12"/>
      <c r="X13" s="11"/>
      <c r="Y13" s="11"/>
      <c r="Z13" s="11"/>
      <c r="AA13" s="11"/>
      <c r="AB13" s="11"/>
      <c r="AC13" s="11"/>
      <c r="AD13" s="11"/>
      <c r="AE13" s="11"/>
      <c r="AF13" s="11"/>
      <c r="AG13" s="11"/>
      <c r="AH13" s="11"/>
    </row>
    <row r="14" spans="1:35" s="5" customFormat="1" ht="15" customHeight="1" x14ac:dyDescent="0.35">
      <c r="A14" s="4" t="s">
        <v>12</v>
      </c>
      <c r="B14" s="49">
        <f ca="1">IF('FIRE1102a raw'!B14="..","..",ROUND('FIRE1102a raw'!B14,0))</f>
        <v>3</v>
      </c>
      <c r="C14" s="49">
        <f ca="1">IF('FIRE1102a raw'!C14="..","..",ROUND('FIRE1102a raw'!C14,0))</f>
        <v>3</v>
      </c>
      <c r="D14" s="49">
        <f ca="1">IF('FIRE1102a raw'!D14="..","..",ROUND('FIRE1102a raw'!D14,0))</f>
        <v>7</v>
      </c>
      <c r="E14" s="49">
        <f ca="1">IF('FIRE1102a raw'!E14="..","..",ROUND('FIRE1102a raw'!E14,0))</f>
        <v>25</v>
      </c>
      <c r="F14" s="49">
        <f ca="1">IF('FIRE1102a raw'!F14="..","..",ROUND('FIRE1102a raw'!F14,0))</f>
        <v>63</v>
      </c>
      <c r="G14" s="49">
        <f ca="1">IF('FIRE1102a raw'!G14="..","..",ROUND('FIRE1102a raw'!G14,0))</f>
        <v>58</v>
      </c>
      <c r="H14" s="49">
        <f ca="1">IF('FIRE1102a raw'!H14="..","..",ROUND('FIRE1102a raw'!H14,0))</f>
        <v>255</v>
      </c>
      <c r="I14" s="14">
        <f ca="1">IF('FIRE1102a raw'!I14="..","..",ROUND('FIRE1102a raw'!I14,0))</f>
        <v>414</v>
      </c>
      <c r="J14" s="4"/>
      <c r="L14" s="10"/>
      <c r="M14" s="10"/>
      <c r="O14" s="10"/>
      <c r="P14" s="10"/>
      <c r="R14" s="12"/>
      <c r="S14" s="12"/>
      <c r="T14" s="12"/>
      <c r="U14" s="12"/>
      <c r="V14" s="12"/>
      <c r="X14" s="11"/>
      <c r="Y14" s="11"/>
      <c r="Z14" s="11"/>
      <c r="AA14" s="11"/>
      <c r="AB14" s="11"/>
      <c r="AC14" s="11"/>
      <c r="AD14" s="11"/>
      <c r="AE14" s="11"/>
      <c r="AF14" s="11"/>
      <c r="AG14" s="11"/>
      <c r="AH14" s="11"/>
    </row>
    <row r="15" spans="1:35" s="5" customFormat="1" ht="15" customHeight="1" x14ac:dyDescent="0.35">
      <c r="A15" s="4" t="s">
        <v>13</v>
      </c>
      <c r="B15" s="49">
        <f ca="1">IF('FIRE1102a raw'!B15="..","..",ROUND('FIRE1102a raw'!B15,0))</f>
        <v>2</v>
      </c>
      <c r="C15" s="49">
        <f ca="1">IF('FIRE1102a raw'!C15="..","..",ROUND('FIRE1102a raw'!C15,0))</f>
        <v>2</v>
      </c>
      <c r="D15" s="49">
        <f ca="1">IF('FIRE1102a raw'!D15="..","..",ROUND('FIRE1102a raw'!D15,0))</f>
        <v>5</v>
      </c>
      <c r="E15" s="49">
        <f ca="1">IF('FIRE1102a raw'!E15="..","..",ROUND('FIRE1102a raw'!E15,0))</f>
        <v>16</v>
      </c>
      <c r="F15" s="49">
        <f ca="1">IF('FIRE1102a raw'!F15="..","..",ROUND('FIRE1102a raw'!F15,0))</f>
        <v>49</v>
      </c>
      <c r="G15" s="49">
        <f ca="1">IF('FIRE1102a raw'!G15="..","..",ROUND('FIRE1102a raw'!G15,0))</f>
        <v>53</v>
      </c>
      <c r="H15" s="49">
        <f ca="1">IF('FIRE1102a raw'!H15="..","..",ROUND('FIRE1102a raw'!H15,0))</f>
        <v>199</v>
      </c>
      <c r="I15" s="14">
        <f ca="1">IF('FIRE1102a raw'!I15="..","..",ROUND('FIRE1102a raw'!I15,0))</f>
        <v>326</v>
      </c>
      <c r="J15" s="4"/>
      <c r="L15" s="10"/>
      <c r="M15" s="10"/>
      <c r="O15" s="10"/>
      <c r="P15" s="10"/>
      <c r="R15" s="12"/>
      <c r="S15" s="12"/>
      <c r="T15" s="12"/>
      <c r="U15" s="12"/>
      <c r="V15" s="12"/>
      <c r="X15" s="11"/>
      <c r="Y15" s="11"/>
      <c r="Z15" s="11"/>
      <c r="AA15" s="11"/>
      <c r="AB15" s="11"/>
      <c r="AC15" s="11"/>
      <c r="AD15" s="11"/>
      <c r="AE15" s="11"/>
      <c r="AF15" s="11"/>
      <c r="AG15" s="11"/>
      <c r="AH15" s="11"/>
    </row>
    <row r="16" spans="1:35" s="5" customFormat="1" ht="15" customHeight="1" x14ac:dyDescent="0.35">
      <c r="A16" s="4" t="s">
        <v>14</v>
      </c>
      <c r="B16" s="49">
        <f ca="1">IF('FIRE1102a raw'!B16="..","..",ROUND('FIRE1102a raw'!B16,0))</f>
        <v>2</v>
      </c>
      <c r="C16" s="49">
        <f ca="1">IF('FIRE1102a raw'!C16="..","..",ROUND('FIRE1102a raw'!C16,0))</f>
        <v>4</v>
      </c>
      <c r="D16" s="49">
        <f ca="1">IF('FIRE1102a raw'!D16="..","..",ROUND('FIRE1102a raw'!D16,0))</f>
        <v>5</v>
      </c>
      <c r="E16" s="49">
        <f ca="1">IF('FIRE1102a raw'!E16="..","..",ROUND('FIRE1102a raw'!E16,0))</f>
        <v>17</v>
      </c>
      <c r="F16" s="49">
        <f ca="1">IF('FIRE1102a raw'!F16="..","..",ROUND('FIRE1102a raw'!F16,0))</f>
        <v>38</v>
      </c>
      <c r="G16" s="49">
        <f ca="1">IF('FIRE1102a raw'!G16="..","..",ROUND('FIRE1102a raw'!G16,0))</f>
        <v>20</v>
      </c>
      <c r="H16" s="49">
        <f ca="1">IF('FIRE1102a raw'!H16="..","..",ROUND('FIRE1102a raw'!H16,0))</f>
        <v>105</v>
      </c>
      <c r="I16" s="14">
        <f ca="1">IF('FIRE1102a raw'!I16="..","..",ROUND('FIRE1102a raw'!I16,0))</f>
        <v>191</v>
      </c>
      <c r="J16" s="4"/>
      <c r="L16" s="10"/>
      <c r="M16" s="10"/>
      <c r="O16" s="10"/>
      <c r="P16" s="10"/>
      <c r="R16" s="12"/>
      <c r="S16" s="12"/>
      <c r="T16" s="12"/>
      <c r="U16" s="12"/>
      <c r="V16" s="12"/>
      <c r="X16" s="11"/>
      <c r="Y16" s="11"/>
      <c r="Z16" s="11"/>
      <c r="AA16" s="11"/>
      <c r="AB16" s="11"/>
      <c r="AC16" s="11"/>
      <c r="AD16" s="11"/>
      <c r="AE16" s="11"/>
      <c r="AF16" s="11"/>
      <c r="AG16" s="11"/>
      <c r="AH16" s="11"/>
    </row>
    <row r="17" spans="1:34" s="5" customFormat="1" ht="15" customHeight="1" x14ac:dyDescent="0.35">
      <c r="A17" s="4" t="s">
        <v>15</v>
      </c>
      <c r="B17" s="49">
        <f ca="1">IF('FIRE1102a raw'!B17="..","..",ROUND('FIRE1102a raw'!B17,0))</f>
        <v>2</v>
      </c>
      <c r="C17" s="49">
        <f ca="1">IF('FIRE1102a raw'!C17="..","..",ROUND('FIRE1102a raw'!C17,0))</f>
        <v>4</v>
      </c>
      <c r="D17" s="49">
        <f ca="1">IF('FIRE1102a raw'!D17="..","..",ROUND('FIRE1102a raw'!D17,0))</f>
        <v>10</v>
      </c>
      <c r="E17" s="49">
        <f ca="1">IF('FIRE1102a raw'!E17="..","..",ROUND('FIRE1102a raw'!E17,0))</f>
        <v>17</v>
      </c>
      <c r="F17" s="49">
        <f ca="1">IF('FIRE1102a raw'!F17="..","..",ROUND('FIRE1102a raw'!F17,0))</f>
        <v>26</v>
      </c>
      <c r="G17" s="49">
        <f ca="1">IF('FIRE1102a raw'!G17="..","..",ROUND('FIRE1102a raw'!G17,0))</f>
        <v>25</v>
      </c>
      <c r="H17" s="49">
        <f ca="1">IF('FIRE1102a raw'!H17="..","..",ROUND('FIRE1102a raw'!H17,0))</f>
        <v>122</v>
      </c>
      <c r="I17" s="14">
        <f ca="1">IF('FIRE1102a raw'!I17="..","..",ROUND('FIRE1102a raw'!I17,0))</f>
        <v>206</v>
      </c>
      <c r="J17" s="4"/>
      <c r="L17" s="10"/>
      <c r="M17" s="10"/>
      <c r="O17" s="10"/>
      <c r="P17" s="10"/>
      <c r="R17" s="12"/>
      <c r="S17" s="12"/>
      <c r="T17" s="12"/>
      <c r="U17" s="12"/>
      <c r="V17" s="12"/>
      <c r="X17" s="11"/>
      <c r="Y17" s="11"/>
      <c r="Z17" s="11"/>
      <c r="AA17" s="11"/>
      <c r="AB17" s="11"/>
      <c r="AC17" s="11"/>
      <c r="AD17" s="11"/>
      <c r="AE17" s="11"/>
      <c r="AF17" s="11"/>
      <c r="AG17" s="11"/>
      <c r="AH17" s="11"/>
    </row>
    <row r="18" spans="1:34" s="5" customFormat="1" ht="15" customHeight="1" x14ac:dyDescent="0.35">
      <c r="A18" s="19" t="s">
        <v>16</v>
      </c>
      <c r="B18" s="49">
        <f ca="1">IF('FIRE1102a raw'!B18="..","..",ROUND('FIRE1102a raw'!B18,0))</f>
        <v>2</v>
      </c>
      <c r="C18" s="49">
        <f ca="1">IF('FIRE1102a raw'!C18="..","..",ROUND('FIRE1102a raw'!C18,0))</f>
        <v>3</v>
      </c>
      <c r="D18" s="49">
        <f ca="1">IF('FIRE1102a raw'!D18="..","..",ROUND('FIRE1102a raw'!D18,0))</f>
        <v>9</v>
      </c>
      <c r="E18" s="49">
        <f ca="1">IF('FIRE1102a raw'!E18="..","..",ROUND('FIRE1102a raw'!E18,0))</f>
        <v>20</v>
      </c>
      <c r="F18" s="49">
        <f ca="1">IF('FIRE1102a raw'!F18="..","..",ROUND('FIRE1102a raw'!F18,0))</f>
        <v>58</v>
      </c>
      <c r="G18" s="49">
        <f ca="1">IF('FIRE1102a raw'!G18="..","..",ROUND('FIRE1102a raw'!G18,0))</f>
        <v>61</v>
      </c>
      <c r="H18" s="49">
        <f ca="1">IF('FIRE1102a raw'!H18="..","..",ROUND('FIRE1102a raw'!H18,0))</f>
        <v>196</v>
      </c>
      <c r="I18" s="14">
        <f ca="1">IF('FIRE1102a raw'!I18="..","..",ROUND('FIRE1102a raw'!I18,0))</f>
        <v>349</v>
      </c>
      <c r="J18" s="4"/>
      <c r="L18" s="10"/>
      <c r="M18" s="10"/>
      <c r="O18" s="10"/>
      <c r="P18" s="10"/>
      <c r="R18" s="12"/>
      <c r="S18" s="12"/>
      <c r="T18" s="12"/>
      <c r="U18" s="12"/>
      <c r="V18" s="12"/>
      <c r="X18" s="11"/>
      <c r="Y18" s="11"/>
      <c r="Z18" s="11"/>
      <c r="AA18" s="11"/>
      <c r="AB18" s="11"/>
      <c r="AC18" s="11"/>
      <c r="AD18" s="11"/>
      <c r="AE18" s="11"/>
      <c r="AF18" s="11"/>
      <c r="AG18" s="11"/>
      <c r="AH18" s="11"/>
    </row>
    <row r="19" spans="1:34" s="5" customFormat="1" ht="15" customHeight="1" x14ac:dyDescent="0.35">
      <c r="A19" s="19" t="s">
        <v>17</v>
      </c>
      <c r="B19" s="49">
        <f ca="1">IF('FIRE1102a raw'!B19="..","..",ROUND('FIRE1102a raw'!B19,0))</f>
        <v>3</v>
      </c>
      <c r="C19" s="49">
        <f ca="1">IF('FIRE1102a raw'!C19="..","..",ROUND('FIRE1102a raw'!C19,0))</f>
        <v>7</v>
      </c>
      <c r="D19" s="49">
        <f ca="1">IF('FIRE1102a raw'!D19="..","..",ROUND('FIRE1102a raw'!D19,0))</f>
        <v>26</v>
      </c>
      <c r="E19" s="49">
        <f ca="1">IF('FIRE1102a raw'!E19="..","..",ROUND('FIRE1102a raw'!E19,0))</f>
        <v>52</v>
      </c>
      <c r="F19" s="49">
        <f ca="1">IF('FIRE1102a raw'!F19="..","..",ROUND('FIRE1102a raw'!F19,0))</f>
        <v>111</v>
      </c>
      <c r="G19" s="49">
        <f ca="1">IF('FIRE1102a raw'!G19="..","..",ROUND('FIRE1102a raw'!G19,0))</f>
        <v>75</v>
      </c>
      <c r="H19" s="49">
        <f ca="1">IF('FIRE1102a raw'!H19="..","..",ROUND('FIRE1102a raw'!H19,0))</f>
        <v>250</v>
      </c>
      <c r="I19" s="14">
        <f ca="1">IF('FIRE1102a raw'!I19="..","..",ROUND('FIRE1102a raw'!I19,0))</f>
        <v>522</v>
      </c>
      <c r="J19" s="4"/>
      <c r="L19" s="10"/>
      <c r="M19" s="10"/>
      <c r="O19" s="10"/>
      <c r="P19" s="10"/>
      <c r="R19" s="12"/>
      <c r="S19" s="12"/>
      <c r="T19" s="12"/>
      <c r="U19" s="12"/>
      <c r="V19" s="12"/>
      <c r="X19" s="11"/>
      <c r="Y19" s="11"/>
      <c r="Z19" s="11"/>
      <c r="AA19" s="11"/>
      <c r="AB19" s="11"/>
      <c r="AC19" s="11"/>
      <c r="AD19" s="11"/>
      <c r="AE19" s="11"/>
      <c r="AF19" s="11"/>
      <c r="AG19" s="11"/>
      <c r="AH19" s="11"/>
    </row>
    <row r="20" spans="1:34" s="5" customFormat="1" ht="15" customHeight="1" x14ac:dyDescent="0.35">
      <c r="A20" s="4" t="s">
        <v>115</v>
      </c>
      <c r="B20" s="49">
        <f ca="1">IF('FIRE1102a raw'!B20="..","..",ROUND('FIRE1102a raw'!B20,0))</f>
        <v>3</v>
      </c>
      <c r="C20" s="49">
        <f ca="1">IF('FIRE1102a raw'!C20="..","..",ROUND('FIRE1102a raw'!C20,0))</f>
        <v>5</v>
      </c>
      <c r="D20" s="49">
        <f ca="1">IF('FIRE1102a raw'!D20="..","..",ROUND('FIRE1102a raw'!D20,0))</f>
        <v>10</v>
      </c>
      <c r="E20" s="49">
        <f ca="1">IF('FIRE1102a raw'!E20="..","..",ROUND('FIRE1102a raw'!E20,0))</f>
        <v>37</v>
      </c>
      <c r="F20" s="49">
        <f ca="1">IF('FIRE1102a raw'!F20="..","..",ROUND('FIRE1102a raw'!F20,0))</f>
        <v>74</v>
      </c>
      <c r="G20" s="49">
        <f ca="1">IF('FIRE1102a raw'!G20="..","..",ROUND('FIRE1102a raw'!G20,0))</f>
        <v>67</v>
      </c>
      <c r="H20" s="49">
        <f ca="1">IF('FIRE1102a raw'!H20="..","..",ROUND('FIRE1102a raw'!H20,0))</f>
        <v>228</v>
      </c>
      <c r="I20" s="14">
        <f ca="1">IF('FIRE1102a raw'!I20="..","..",ROUND('FIRE1102a raw'!I20,0))</f>
        <v>424</v>
      </c>
      <c r="J20" s="4"/>
      <c r="L20" s="10"/>
      <c r="M20" s="10"/>
      <c r="O20" s="10"/>
      <c r="P20" s="10"/>
      <c r="R20" s="12"/>
      <c r="S20" s="12"/>
      <c r="T20" s="12"/>
      <c r="U20" s="12"/>
      <c r="V20" s="12"/>
      <c r="X20" s="11"/>
      <c r="Y20" s="11"/>
      <c r="Z20" s="11"/>
      <c r="AA20" s="11"/>
      <c r="AB20" s="11"/>
      <c r="AC20" s="11"/>
      <c r="AD20" s="11"/>
      <c r="AE20" s="11"/>
      <c r="AF20" s="11"/>
      <c r="AG20" s="11"/>
      <c r="AH20" s="11"/>
    </row>
    <row r="21" spans="1:34" s="5" customFormat="1" ht="15" customHeight="1" x14ac:dyDescent="0.35">
      <c r="A21" s="4" t="s">
        <v>19</v>
      </c>
      <c r="B21" s="49">
        <f ca="1">IF('FIRE1102a raw'!B21="..","..",ROUND('FIRE1102a raw'!B21,0))</f>
        <v>3</v>
      </c>
      <c r="C21" s="49">
        <f ca="1">IF('FIRE1102a raw'!C21="..","..",ROUND('FIRE1102a raw'!C21,0))</f>
        <v>3</v>
      </c>
      <c r="D21" s="49">
        <f ca="1">IF('FIRE1102a raw'!D21="..","..",ROUND('FIRE1102a raw'!D21,0))</f>
        <v>4</v>
      </c>
      <c r="E21" s="49">
        <f ca="1">IF('FIRE1102a raw'!E21="..","..",ROUND('FIRE1102a raw'!E21,0))</f>
        <v>23</v>
      </c>
      <c r="F21" s="49">
        <f ca="1">IF('FIRE1102a raw'!F21="..","..",ROUND('FIRE1102a raw'!F21,0))</f>
        <v>37</v>
      </c>
      <c r="G21" s="49">
        <f ca="1">IF('FIRE1102a raw'!G21="..","..",ROUND('FIRE1102a raw'!G21,0))</f>
        <v>52</v>
      </c>
      <c r="H21" s="49">
        <f ca="1">IF('FIRE1102a raw'!H21="..","..",ROUND('FIRE1102a raw'!H21,0))</f>
        <v>173</v>
      </c>
      <c r="I21" s="14">
        <f ca="1">IF('FIRE1102a raw'!I21="..","..",ROUND('FIRE1102a raw'!I21,0))</f>
        <v>295</v>
      </c>
      <c r="J21" s="4"/>
      <c r="L21" s="10"/>
      <c r="M21" s="10"/>
      <c r="O21" s="10"/>
      <c r="P21" s="10"/>
      <c r="R21" s="12"/>
      <c r="S21" s="12"/>
      <c r="T21" s="12"/>
      <c r="U21" s="12"/>
      <c r="V21" s="12"/>
      <c r="X21" s="11"/>
      <c r="Y21" s="11"/>
      <c r="Z21" s="11"/>
      <c r="AA21" s="11"/>
      <c r="AB21" s="11"/>
      <c r="AC21" s="11"/>
      <c r="AD21" s="11"/>
      <c r="AE21" s="11"/>
      <c r="AF21" s="11"/>
      <c r="AG21" s="11"/>
      <c r="AH21" s="11"/>
    </row>
    <row r="22" spans="1:34" s="5" customFormat="1" ht="15" customHeight="1" x14ac:dyDescent="0.35">
      <c r="A22" s="4" t="s">
        <v>20</v>
      </c>
      <c r="B22" s="49">
        <f ca="1">IF('FIRE1102a raw'!B22="..","..",ROUND('FIRE1102a raw'!B22,0))</f>
        <v>3</v>
      </c>
      <c r="C22" s="49">
        <f ca="1">IF('FIRE1102a raw'!C22="..","..",ROUND('FIRE1102a raw'!C22,0))</f>
        <v>3</v>
      </c>
      <c r="D22" s="49">
        <f ca="1">IF('FIRE1102a raw'!D22="..","..",ROUND('FIRE1102a raw'!D22,0))</f>
        <v>8</v>
      </c>
      <c r="E22" s="49">
        <f ca="1">IF('FIRE1102a raw'!E22="..","..",ROUND('FIRE1102a raw'!E22,0))</f>
        <v>25</v>
      </c>
      <c r="F22" s="49">
        <f ca="1">IF('FIRE1102a raw'!F22="..","..",ROUND('FIRE1102a raw'!F22,0))</f>
        <v>56</v>
      </c>
      <c r="G22" s="49">
        <f ca="1">IF('FIRE1102a raw'!G22="..","..",ROUND('FIRE1102a raw'!G22,0))</f>
        <v>59</v>
      </c>
      <c r="H22" s="49">
        <f ca="1">IF('FIRE1102a raw'!H22="..","..",ROUND('FIRE1102a raw'!H22,0))</f>
        <v>198</v>
      </c>
      <c r="I22" s="14">
        <f ca="1">IF('FIRE1102a raw'!I22="..","..",ROUND('FIRE1102a raw'!I22,0))</f>
        <v>351</v>
      </c>
      <c r="J22" s="4"/>
      <c r="L22" s="10"/>
      <c r="M22" s="10"/>
      <c r="O22" s="10"/>
      <c r="P22" s="10"/>
      <c r="R22" s="12"/>
      <c r="S22" s="12"/>
      <c r="T22" s="12"/>
      <c r="U22" s="12"/>
      <c r="V22" s="12"/>
      <c r="X22" s="11"/>
      <c r="Y22" s="11"/>
      <c r="Z22" s="11"/>
      <c r="AA22" s="11"/>
      <c r="AB22" s="11"/>
      <c r="AC22" s="11"/>
      <c r="AD22" s="11"/>
      <c r="AE22" s="11"/>
      <c r="AF22" s="11"/>
      <c r="AG22" s="11"/>
      <c r="AH22" s="11"/>
    </row>
    <row r="23" spans="1:34" s="5" customFormat="1" ht="15" customHeight="1" x14ac:dyDescent="0.35">
      <c r="A23" s="4" t="s">
        <v>21</v>
      </c>
      <c r="B23" s="49">
        <f ca="1">IF('FIRE1102a raw'!B23="..","..",ROUND('FIRE1102a raw'!B23,0))</f>
        <v>1</v>
      </c>
      <c r="C23" s="49">
        <f ca="1">IF('FIRE1102a raw'!C23="..","..",ROUND('FIRE1102a raw'!C23,0))</f>
        <v>4</v>
      </c>
      <c r="D23" s="49">
        <f ca="1">IF('FIRE1102a raw'!D23="..","..",ROUND('FIRE1102a raw'!D23,0))</f>
        <v>13</v>
      </c>
      <c r="E23" s="49">
        <f ca="1">IF('FIRE1102a raw'!E23="..","..",ROUND('FIRE1102a raw'!E23,0))</f>
        <v>39</v>
      </c>
      <c r="F23" s="49">
        <f ca="1">IF('FIRE1102a raw'!F23="..","..",ROUND('FIRE1102a raw'!F23,0))</f>
        <v>118</v>
      </c>
      <c r="G23" s="49">
        <f ca="1">IF('FIRE1102a raw'!G23="..","..",ROUND('FIRE1102a raw'!G23,0))</f>
        <v>85</v>
      </c>
      <c r="H23" s="49">
        <f ca="1">IF('FIRE1102a raw'!H23="..","..",ROUND('FIRE1102a raw'!H23,0))</f>
        <v>368</v>
      </c>
      <c r="I23" s="14">
        <f ca="1">IF('FIRE1102a raw'!I23="..","..",ROUND('FIRE1102a raw'!I23,0))</f>
        <v>628</v>
      </c>
      <c r="J23" s="4"/>
      <c r="L23" s="10"/>
      <c r="M23" s="10"/>
      <c r="O23" s="10"/>
      <c r="P23" s="10"/>
      <c r="R23" s="12"/>
      <c r="S23" s="12"/>
      <c r="T23" s="12"/>
      <c r="U23" s="12"/>
      <c r="V23" s="12"/>
      <c r="X23" s="11"/>
      <c r="Y23" s="11"/>
      <c r="Z23" s="11"/>
      <c r="AA23" s="11"/>
      <c r="AB23" s="11"/>
      <c r="AC23" s="11"/>
      <c r="AD23" s="11"/>
      <c r="AE23" s="11"/>
      <c r="AF23" s="11"/>
      <c r="AG23" s="11"/>
      <c r="AH23" s="11"/>
    </row>
    <row r="24" spans="1:34" s="5" customFormat="1" ht="15" customHeight="1" x14ac:dyDescent="0.35">
      <c r="A24" s="4" t="s">
        <v>22</v>
      </c>
      <c r="B24" s="49">
        <f ca="1">IF('FIRE1102a raw'!B24="..","..",ROUND('FIRE1102a raw'!B24,0))</f>
        <v>3</v>
      </c>
      <c r="C24" s="49">
        <f ca="1">IF('FIRE1102a raw'!C24="..","..",ROUND('FIRE1102a raw'!C24,0))</f>
        <v>4</v>
      </c>
      <c r="D24" s="49">
        <f ca="1">IF('FIRE1102a raw'!D24="..","..",ROUND('FIRE1102a raw'!D24,0))</f>
        <v>6</v>
      </c>
      <c r="E24" s="49">
        <f ca="1">IF('FIRE1102a raw'!E24="..","..",ROUND('FIRE1102a raw'!E24,0))</f>
        <v>17</v>
      </c>
      <c r="F24" s="49">
        <f ca="1">IF('FIRE1102a raw'!F24="..","..",ROUND('FIRE1102a raw'!F24,0))</f>
        <v>19</v>
      </c>
      <c r="G24" s="49">
        <f ca="1">IF('FIRE1102a raw'!G24="..","..",ROUND('FIRE1102a raw'!G24,0))</f>
        <v>32</v>
      </c>
      <c r="H24" s="49">
        <f ca="1">IF('FIRE1102a raw'!H24="..","..",ROUND('FIRE1102a raw'!H24,0))</f>
        <v>89</v>
      </c>
      <c r="I24" s="14">
        <f ca="1">IF('FIRE1102a raw'!I24="..","..",ROUND('FIRE1102a raw'!I24,0))</f>
        <v>170</v>
      </c>
      <c r="J24" s="4"/>
      <c r="L24" s="10"/>
      <c r="M24" s="10"/>
      <c r="O24" s="10"/>
      <c r="P24" s="10"/>
      <c r="R24" s="12"/>
      <c r="S24" s="12"/>
      <c r="T24" s="12"/>
      <c r="U24" s="12"/>
      <c r="V24" s="12"/>
      <c r="X24" s="11"/>
      <c r="Y24" s="11"/>
      <c r="Z24" s="11"/>
      <c r="AA24" s="11"/>
      <c r="AB24" s="11"/>
      <c r="AC24" s="11"/>
      <c r="AD24" s="11"/>
      <c r="AE24" s="11"/>
      <c r="AF24" s="11"/>
      <c r="AG24" s="11"/>
      <c r="AH24" s="11"/>
    </row>
    <row r="25" spans="1:34" s="5" customFormat="1" ht="15" customHeight="1" x14ac:dyDescent="0.35">
      <c r="A25" s="4" t="s">
        <v>25</v>
      </c>
      <c r="B25" s="49">
        <f ca="1">IF('FIRE1102a raw'!B25="..","..",ROUND('FIRE1102a raw'!B25,0))</f>
        <v>4</v>
      </c>
      <c r="C25" s="49">
        <f ca="1">IF('FIRE1102a raw'!C25="..","..",ROUND('FIRE1102a raw'!C25,0))</f>
        <v>5</v>
      </c>
      <c r="D25" s="49">
        <f ca="1">IF('FIRE1102a raw'!D25="..","..",ROUND('FIRE1102a raw'!D25,0))</f>
        <v>18</v>
      </c>
      <c r="E25" s="49">
        <f ca="1">IF('FIRE1102a raw'!E25="..","..",ROUND('FIRE1102a raw'!E25,0))</f>
        <v>37</v>
      </c>
      <c r="F25" s="49">
        <f ca="1">IF('FIRE1102a raw'!F25="..","..",ROUND('FIRE1102a raw'!F25,0))</f>
        <v>91</v>
      </c>
      <c r="G25" s="49">
        <f ca="1">IF('FIRE1102a raw'!G25="..","..",ROUND('FIRE1102a raw'!G25,0))</f>
        <v>97</v>
      </c>
      <c r="H25" s="49">
        <f ca="1">IF('FIRE1102a raw'!H25="..","..",ROUND('FIRE1102a raw'!H25,0))</f>
        <v>399</v>
      </c>
      <c r="I25" s="14">
        <f ca="1">IF('FIRE1102a raw'!I25="..","..",ROUND('FIRE1102a raw'!I25,0))</f>
        <v>650</v>
      </c>
      <c r="J25" s="4"/>
      <c r="L25" s="10"/>
      <c r="M25" s="10"/>
      <c r="O25" s="10"/>
      <c r="P25" s="10"/>
      <c r="R25" s="12"/>
      <c r="S25" s="12"/>
      <c r="T25" s="12"/>
      <c r="U25" s="12"/>
      <c r="V25" s="12"/>
      <c r="X25" s="11"/>
      <c r="Y25" s="11"/>
      <c r="Z25" s="11"/>
      <c r="AA25" s="11"/>
      <c r="AB25" s="11"/>
      <c r="AC25" s="11"/>
      <c r="AD25" s="11"/>
      <c r="AE25" s="11"/>
      <c r="AF25" s="11"/>
      <c r="AG25" s="11"/>
      <c r="AH25" s="11"/>
    </row>
    <row r="26" spans="1:34" s="5" customFormat="1" ht="15" customHeight="1" x14ac:dyDescent="0.35">
      <c r="A26" s="4" t="s">
        <v>26</v>
      </c>
      <c r="B26" s="49">
        <f ca="1">IF('FIRE1102a raw'!B26="..","..",ROUND('FIRE1102a raw'!B26,0))</f>
        <v>3</v>
      </c>
      <c r="C26" s="49">
        <f ca="1">IF('FIRE1102a raw'!C26="..","..",ROUND('FIRE1102a raw'!C26,0))</f>
        <v>3</v>
      </c>
      <c r="D26" s="49">
        <f ca="1">IF('FIRE1102a raw'!D26="..","..",ROUND('FIRE1102a raw'!D26,0))</f>
        <v>11</v>
      </c>
      <c r="E26" s="49">
        <f ca="1">IF('FIRE1102a raw'!E26="..","..",ROUND('FIRE1102a raw'!E26,0))</f>
        <v>17</v>
      </c>
      <c r="F26" s="49">
        <f ca="1">IF('FIRE1102a raw'!F26="..","..",ROUND('FIRE1102a raw'!F26,0))</f>
        <v>45</v>
      </c>
      <c r="G26" s="49">
        <f ca="1">IF('FIRE1102a raw'!G26="..","..",ROUND('FIRE1102a raw'!G26,0))</f>
        <v>43</v>
      </c>
      <c r="H26" s="49">
        <f ca="1">IF('FIRE1102a raw'!H26="..","..",ROUND('FIRE1102a raw'!H26,0))</f>
        <v>102</v>
      </c>
      <c r="I26" s="14">
        <f ca="1">IF('FIRE1102a raw'!I26="..","..",ROUND('FIRE1102a raw'!I26,0))</f>
        <v>224</v>
      </c>
      <c r="J26" s="4"/>
      <c r="L26" s="10"/>
      <c r="M26" s="10"/>
      <c r="O26" s="10"/>
      <c r="P26" s="10"/>
      <c r="R26" s="12"/>
      <c r="S26" s="12"/>
      <c r="T26" s="12"/>
      <c r="U26" s="12"/>
      <c r="V26" s="12"/>
      <c r="X26" s="11"/>
      <c r="Y26" s="11"/>
      <c r="Z26" s="11"/>
      <c r="AA26" s="11"/>
      <c r="AB26" s="11"/>
      <c r="AC26" s="11"/>
      <c r="AD26" s="11"/>
      <c r="AE26" s="11"/>
      <c r="AF26" s="11"/>
      <c r="AG26" s="11"/>
      <c r="AH26" s="11"/>
    </row>
    <row r="27" spans="1:34" s="5" customFormat="1" ht="15" customHeight="1" x14ac:dyDescent="0.35">
      <c r="A27" s="4" t="s">
        <v>27</v>
      </c>
      <c r="B27" s="49">
        <f ca="1">IF('FIRE1102a raw'!B27="..","..",ROUND('FIRE1102a raw'!B27,0))</f>
        <v>3</v>
      </c>
      <c r="C27" s="49">
        <f ca="1">IF('FIRE1102a raw'!C27="..","..",ROUND('FIRE1102a raw'!C27,0))</f>
        <v>4</v>
      </c>
      <c r="D27" s="49">
        <f ca="1">IF('FIRE1102a raw'!D27="..","..",ROUND('FIRE1102a raw'!D27,0))</f>
        <v>10</v>
      </c>
      <c r="E27" s="49">
        <f ca="1">IF('FIRE1102a raw'!E27="..","..",ROUND('FIRE1102a raw'!E27,0))</f>
        <v>20</v>
      </c>
      <c r="F27" s="49">
        <f ca="1">IF('FIRE1102a raw'!F27="..","..",ROUND('FIRE1102a raw'!F27,0))</f>
        <v>74</v>
      </c>
      <c r="G27" s="49">
        <f ca="1">IF('FIRE1102a raw'!G27="..","..",ROUND('FIRE1102a raw'!G27,0))</f>
        <v>76</v>
      </c>
      <c r="H27" s="49">
        <f ca="1">IF('FIRE1102a raw'!H27="..","..",ROUND('FIRE1102a raw'!H27,0))</f>
        <v>277</v>
      </c>
      <c r="I27" s="14">
        <f ca="1">IF('FIRE1102a raw'!I27="..","..",ROUND('FIRE1102a raw'!I27,0))</f>
        <v>464</v>
      </c>
      <c r="J27" s="4"/>
      <c r="L27" s="10"/>
      <c r="M27" s="10"/>
      <c r="O27" s="10"/>
      <c r="P27" s="10"/>
      <c r="R27" s="12"/>
      <c r="S27" s="12"/>
      <c r="T27" s="12"/>
      <c r="U27" s="12"/>
      <c r="V27" s="12"/>
      <c r="X27" s="11"/>
      <c r="Y27" s="11"/>
      <c r="Z27" s="11"/>
      <c r="AA27" s="11"/>
      <c r="AB27" s="11"/>
      <c r="AC27" s="11"/>
      <c r="AD27" s="11"/>
      <c r="AE27" s="11"/>
      <c r="AF27" s="11"/>
      <c r="AG27" s="11"/>
      <c r="AH27" s="11"/>
    </row>
    <row r="28" spans="1:34" s="5" customFormat="1" ht="15" customHeight="1" x14ac:dyDescent="0.35">
      <c r="A28" s="4" t="s">
        <v>28</v>
      </c>
      <c r="B28" s="49">
        <f ca="1">IF('FIRE1102a raw'!B28="..","..",ROUND('FIRE1102a raw'!B28,0))</f>
        <v>2</v>
      </c>
      <c r="C28" s="49">
        <f ca="1">IF('FIRE1102a raw'!C28="..","..",ROUND('FIRE1102a raw'!C28,0))</f>
        <v>3</v>
      </c>
      <c r="D28" s="49">
        <f ca="1">IF('FIRE1102a raw'!D28="..","..",ROUND('FIRE1102a raw'!D28,0))</f>
        <v>12</v>
      </c>
      <c r="E28" s="49">
        <f ca="1">IF('FIRE1102a raw'!E28="..","..",ROUND('FIRE1102a raw'!E28,0))</f>
        <v>24</v>
      </c>
      <c r="F28" s="49">
        <f ca="1">IF('FIRE1102a raw'!F28="..","..",ROUND('FIRE1102a raw'!F28,0))</f>
        <v>76</v>
      </c>
      <c r="G28" s="49">
        <f ca="1">IF('FIRE1102a raw'!G28="..","..",ROUND('FIRE1102a raw'!G28,0))</f>
        <v>65</v>
      </c>
      <c r="H28" s="49">
        <f ca="1">IF('FIRE1102a raw'!H28="..","..",ROUND('FIRE1102a raw'!H28,0))</f>
        <v>312</v>
      </c>
      <c r="I28" s="14">
        <f ca="1">IF('FIRE1102a raw'!I28="..","..",ROUND('FIRE1102a raw'!I28,0))</f>
        <v>494</v>
      </c>
      <c r="J28" s="4"/>
      <c r="L28" s="10"/>
      <c r="M28" s="10"/>
      <c r="O28" s="10"/>
      <c r="P28" s="10"/>
      <c r="R28" s="12"/>
      <c r="S28" s="12"/>
      <c r="T28" s="12"/>
      <c r="U28" s="12"/>
      <c r="V28" s="12"/>
      <c r="X28" s="11"/>
      <c r="Y28" s="11"/>
      <c r="Z28" s="11"/>
      <c r="AA28" s="11"/>
      <c r="AB28" s="11"/>
      <c r="AC28" s="11"/>
      <c r="AD28" s="11"/>
      <c r="AE28" s="11"/>
      <c r="AF28" s="11"/>
      <c r="AG28" s="11"/>
      <c r="AH28" s="11"/>
    </row>
    <row r="29" spans="1:34" s="5" customFormat="1" ht="15" customHeight="1" x14ac:dyDescent="0.35">
      <c r="A29" s="4" t="s">
        <v>29</v>
      </c>
      <c r="B29" s="49">
        <f ca="1">IF('FIRE1102a raw'!B29="..","..",ROUND('FIRE1102a raw'!B29,0))</f>
        <v>0</v>
      </c>
      <c r="C29" s="49">
        <f ca="1">IF('FIRE1102a raw'!C29="..","..",ROUND('FIRE1102a raw'!C29,0))</f>
        <v>0</v>
      </c>
      <c r="D29" s="49">
        <f ca="1">IF('FIRE1102a raw'!D29="..","..",ROUND('FIRE1102a raw'!D29,0))</f>
        <v>2</v>
      </c>
      <c r="E29" s="49">
        <f ca="1">IF('FIRE1102a raw'!E29="..","..",ROUND('FIRE1102a raw'!E29,0))</f>
        <v>6</v>
      </c>
      <c r="F29" s="49">
        <f ca="1">IF('FIRE1102a raw'!F29="..","..",ROUND('FIRE1102a raw'!F29,0))</f>
        <v>14</v>
      </c>
      <c r="G29" s="49">
        <f ca="1">IF('FIRE1102a raw'!G29="..","..",ROUND('FIRE1102a raw'!G29,0))</f>
        <v>7</v>
      </c>
      <c r="H29" s="49">
        <f ca="1">IF('FIRE1102a raw'!H29="..","..",ROUND('FIRE1102a raw'!H29,0))</f>
        <v>39</v>
      </c>
      <c r="I29" s="14">
        <f ca="1">IF('FIRE1102a raw'!I29="..","..",ROUND('FIRE1102a raw'!I29,0))</f>
        <v>68</v>
      </c>
      <c r="J29" s="4"/>
      <c r="L29" s="10"/>
      <c r="M29" s="10"/>
      <c r="O29" s="10"/>
      <c r="P29" s="10"/>
      <c r="R29" s="12"/>
      <c r="S29" s="12"/>
      <c r="T29" s="12"/>
      <c r="U29" s="12"/>
      <c r="V29" s="12"/>
      <c r="X29" s="11"/>
      <c r="Y29" s="11"/>
      <c r="Z29" s="11"/>
      <c r="AA29" s="11"/>
      <c r="AB29" s="11"/>
      <c r="AC29" s="11"/>
      <c r="AD29" s="11"/>
      <c r="AE29" s="11"/>
      <c r="AF29" s="11"/>
      <c r="AG29" s="11"/>
      <c r="AH29" s="11"/>
    </row>
    <row r="30" spans="1:34" s="5" customFormat="1" ht="15" customHeight="1" x14ac:dyDescent="0.35">
      <c r="A30" s="5" t="s">
        <v>31</v>
      </c>
      <c r="B30" s="49">
        <f ca="1">IF('FIRE1102a raw'!B30="..","..",ROUND('FIRE1102a raw'!B30,0))</f>
        <v>4</v>
      </c>
      <c r="C30" s="49">
        <f ca="1">IF('FIRE1102a raw'!C30="..","..",ROUND('FIRE1102a raw'!C30,0))</f>
        <v>4</v>
      </c>
      <c r="D30" s="49">
        <f ca="1">IF('FIRE1102a raw'!D30="..","..",ROUND('FIRE1102a raw'!D30,0))</f>
        <v>15</v>
      </c>
      <c r="E30" s="49">
        <f ca="1">IF('FIRE1102a raw'!E30="..","..",ROUND('FIRE1102a raw'!E30,0))</f>
        <v>49</v>
      </c>
      <c r="F30" s="49">
        <f ca="1">IF('FIRE1102a raw'!F30="..","..",ROUND('FIRE1102a raw'!F30,0))</f>
        <v>61</v>
      </c>
      <c r="G30" s="49">
        <f ca="1">IF('FIRE1102a raw'!G30="..","..",ROUND('FIRE1102a raw'!G30,0))</f>
        <v>129</v>
      </c>
      <c r="H30" s="49">
        <f ca="1">IF('FIRE1102a raw'!H30="..","..",ROUND('FIRE1102a raw'!H30,0))</f>
        <v>396</v>
      </c>
      <c r="I30" s="14">
        <f ca="1">IF('FIRE1102a raw'!I30="..","..",ROUND('FIRE1102a raw'!I30,0))</f>
        <v>658</v>
      </c>
      <c r="J30" s="4"/>
      <c r="L30" s="10"/>
      <c r="M30" s="10"/>
      <c r="O30" s="10"/>
      <c r="P30" s="10"/>
      <c r="R30" s="12"/>
      <c r="S30" s="12"/>
      <c r="T30" s="12"/>
      <c r="U30" s="12"/>
      <c r="V30" s="12"/>
      <c r="X30" s="11"/>
      <c r="Y30" s="11"/>
      <c r="Z30" s="11"/>
      <c r="AA30" s="11"/>
      <c r="AB30" s="11"/>
      <c r="AC30" s="11"/>
      <c r="AD30" s="11"/>
      <c r="AE30" s="11"/>
      <c r="AF30" s="11"/>
      <c r="AG30" s="11"/>
      <c r="AH30" s="11"/>
    </row>
    <row r="31" spans="1:34" s="5" customFormat="1" ht="15" customHeight="1" x14ac:dyDescent="0.35">
      <c r="A31" s="5" t="s">
        <v>32</v>
      </c>
      <c r="B31" s="49">
        <f ca="1">IF('FIRE1102a raw'!B31="..","..",ROUND('FIRE1102a raw'!B31,0))</f>
        <v>3</v>
      </c>
      <c r="C31" s="49">
        <f ca="1">IF('FIRE1102a raw'!C31="..","..",ROUND('FIRE1102a raw'!C31,0))</f>
        <v>4</v>
      </c>
      <c r="D31" s="49">
        <f ca="1">IF('FIRE1102a raw'!D31="..","..",ROUND('FIRE1102a raw'!D31,0))</f>
        <v>11</v>
      </c>
      <c r="E31" s="49">
        <f ca="1">IF('FIRE1102a raw'!E31="..","..",ROUND('FIRE1102a raw'!E31,0))</f>
        <v>30</v>
      </c>
      <c r="F31" s="49">
        <f ca="1">IF('FIRE1102a raw'!F31="..","..",ROUND('FIRE1102a raw'!F31,0))</f>
        <v>88</v>
      </c>
      <c r="G31" s="49">
        <f ca="1">IF('FIRE1102a raw'!G31="..","..",ROUND('FIRE1102a raw'!G31,0))</f>
        <v>112</v>
      </c>
      <c r="H31" s="49">
        <f ca="1">IF('FIRE1102a raw'!H31="..","..",ROUND('FIRE1102a raw'!H31,0))</f>
        <v>397</v>
      </c>
      <c r="I31" s="14">
        <f ca="1">IF('FIRE1102a raw'!I31="..","..",ROUND('FIRE1102a raw'!I31,0))</f>
        <v>645</v>
      </c>
      <c r="J31" s="4"/>
      <c r="L31" s="10"/>
      <c r="M31" s="10"/>
      <c r="O31" s="10"/>
      <c r="P31" s="10"/>
      <c r="R31" s="12"/>
      <c r="S31" s="12"/>
      <c r="T31" s="12"/>
      <c r="U31" s="12"/>
      <c r="V31" s="12"/>
      <c r="X31" s="11"/>
      <c r="Y31" s="11"/>
      <c r="Z31" s="11"/>
      <c r="AA31" s="11"/>
      <c r="AB31" s="11"/>
      <c r="AC31" s="11"/>
      <c r="AD31" s="11"/>
      <c r="AE31" s="11"/>
      <c r="AF31" s="11"/>
      <c r="AG31" s="11"/>
      <c r="AH31" s="11"/>
    </row>
    <row r="32" spans="1:34" s="5" customFormat="1" ht="15" customHeight="1" x14ac:dyDescent="0.35">
      <c r="A32" s="4" t="s">
        <v>33</v>
      </c>
      <c r="B32" s="49">
        <f ca="1">IF('FIRE1102a raw'!B32="..","..",ROUND('FIRE1102a raw'!B32,0))</f>
        <v>4</v>
      </c>
      <c r="C32" s="49">
        <f ca="1">IF('FIRE1102a raw'!C32="..","..",ROUND('FIRE1102a raw'!C32,0))</f>
        <v>3</v>
      </c>
      <c r="D32" s="49">
        <f ca="1">IF('FIRE1102a raw'!D32="..","..",ROUND('FIRE1102a raw'!D32,0))</f>
        <v>5</v>
      </c>
      <c r="E32" s="49">
        <f ca="1">IF('FIRE1102a raw'!E32="..","..",ROUND('FIRE1102a raw'!E32,0))</f>
        <v>20</v>
      </c>
      <c r="F32" s="49">
        <f ca="1">IF('FIRE1102a raw'!F32="..","..",ROUND('FIRE1102a raw'!F32,0))</f>
        <v>52</v>
      </c>
      <c r="G32" s="49">
        <f ca="1">IF('FIRE1102a raw'!G32="..","..",ROUND('FIRE1102a raw'!G32,0))</f>
        <v>63</v>
      </c>
      <c r="H32" s="49">
        <f ca="1">IF('FIRE1102a raw'!H32="..","..",ROUND('FIRE1102a raw'!H32,0))</f>
        <v>196</v>
      </c>
      <c r="I32" s="14">
        <f ca="1">IF('FIRE1102a raw'!I32="..","..",ROUND('FIRE1102a raw'!I32,0))</f>
        <v>343</v>
      </c>
      <c r="J32" s="4"/>
      <c r="L32" s="10"/>
      <c r="M32" s="10"/>
      <c r="O32" s="10"/>
      <c r="P32" s="10"/>
      <c r="R32" s="12"/>
      <c r="S32" s="12"/>
      <c r="T32" s="12"/>
      <c r="U32" s="12"/>
      <c r="V32" s="12"/>
      <c r="X32" s="11"/>
      <c r="Y32" s="11"/>
      <c r="Z32" s="11"/>
      <c r="AA32" s="11"/>
      <c r="AB32" s="11"/>
      <c r="AC32" s="11"/>
      <c r="AD32" s="11"/>
      <c r="AE32" s="11"/>
      <c r="AF32" s="11"/>
      <c r="AG32" s="11"/>
      <c r="AH32" s="11"/>
    </row>
    <row r="33" spans="1:34" s="5" customFormat="1" ht="15" customHeight="1" x14ac:dyDescent="0.35">
      <c r="A33" s="5" t="s">
        <v>34</v>
      </c>
      <c r="B33" s="49">
        <f ca="1">IF('FIRE1102a raw'!B33="..","..",ROUND('FIRE1102a raw'!B33,0))</f>
        <v>3</v>
      </c>
      <c r="C33" s="49">
        <f ca="1">IF('FIRE1102a raw'!C33="..","..",ROUND('FIRE1102a raw'!C33,0))</f>
        <v>3</v>
      </c>
      <c r="D33" s="49">
        <f ca="1">IF('FIRE1102a raw'!D33="..","..",ROUND('FIRE1102a raw'!D33,0))</f>
        <v>8</v>
      </c>
      <c r="E33" s="49">
        <f ca="1">IF('FIRE1102a raw'!E33="..","..",ROUND('FIRE1102a raw'!E33,0))</f>
        <v>20</v>
      </c>
      <c r="F33" s="49">
        <f ca="1">IF('FIRE1102a raw'!F33="..","..",ROUND('FIRE1102a raw'!F33,0))</f>
        <v>37</v>
      </c>
      <c r="G33" s="49">
        <f ca="1">IF('FIRE1102a raw'!G33="..","..",ROUND('FIRE1102a raw'!G33,0))</f>
        <v>45</v>
      </c>
      <c r="H33" s="49">
        <f ca="1">IF('FIRE1102a raw'!H33="..","..",ROUND('FIRE1102a raw'!H33,0))</f>
        <v>63</v>
      </c>
      <c r="I33" s="14">
        <f ca="1">IF('FIRE1102a raw'!I33="..","..",ROUND('FIRE1102a raw'!I33,0))</f>
        <v>179</v>
      </c>
      <c r="J33" s="4"/>
      <c r="L33" s="10"/>
      <c r="M33" s="10"/>
      <c r="O33" s="10"/>
      <c r="P33" s="10"/>
      <c r="R33" s="12"/>
      <c r="S33" s="12"/>
      <c r="T33" s="12"/>
      <c r="U33" s="12"/>
      <c r="V33" s="12"/>
      <c r="X33" s="11"/>
      <c r="Y33" s="11"/>
      <c r="Z33" s="11"/>
      <c r="AA33" s="11"/>
      <c r="AB33" s="11"/>
      <c r="AC33" s="11"/>
      <c r="AD33" s="11"/>
      <c r="AE33" s="11"/>
      <c r="AF33" s="11"/>
      <c r="AG33" s="11"/>
      <c r="AH33" s="11"/>
    </row>
    <row r="34" spans="1:34" s="5" customFormat="1" ht="15" customHeight="1" x14ac:dyDescent="0.35">
      <c r="A34" s="5" t="s">
        <v>36</v>
      </c>
      <c r="B34" s="49">
        <f ca="1">IF('FIRE1102a raw'!B34="..","..",ROUND('FIRE1102a raw'!B34,0))</f>
        <v>4</v>
      </c>
      <c r="C34" s="49">
        <f ca="1">IF('FIRE1102a raw'!C34="..","..",ROUND('FIRE1102a raw'!C34,0))</f>
        <v>3</v>
      </c>
      <c r="D34" s="49">
        <f ca="1">IF('FIRE1102a raw'!D34="..","..",ROUND('FIRE1102a raw'!D34,0))</f>
        <v>9</v>
      </c>
      <c r="E34" s="49">
        <f ca="1">IF('FIRE1102a raw'!E34="..","..",ROUND('FIRE1102a raw'!E34,0))</f>
        <v>25</v>
      </c>
      <c r="F34" s="49">
        <f ca="1">IF('FIRE1102a raw'!F34="..","..",ROUND('FIRE1102a raw'!F34,0))</f>
        <v>38</v>
      </c>
      <c r="G34" s="49">
        <f ca="1">IF('FIRE1102a raw'!G34="..","..",ROUND('FIRE1102a raw'!G34,0))</f>
        <v>40</v>
      </c>
      <c r="H34" s="49">
        <f ca="1">IF('FIRE1102a raw'!H34="..","..",ROUND('FIRE1102a raw'!H34,0))</f>
        <v>157</v>
      </c>
      <c r="I34" s="14">
        <f ca="1">IF('FIRE1102a raw'!I34="..","..",ROUND('FIRE1102a raw'!I34,0))</f>
        <v>276</v>
      </c>
      <c r="J34" s="4"/>
      <c r="L34" s="10"/>
      <c r="M34" s="10"/>
      <c r="O34" s="10"/>
      <c r="P34" s="10"/>
      <c r="R34" s="12"/>
      <c r="S34" s="12"/>
      <c r="T34" s="12"/>
      <c r="U34" s="12"/>
      <c r="V34" s="12"/>
      <c r="X34" s="11"/>
      <c r="Y34" s="11"/>
      <c r="Z34" s="11"/>
      <c r="AA34" s="11"/>
      <c r="AB34" s="11"/>
      <c r="AC34" s="11"/>
      <c r="AD34" s="11"/>
      <c r="AE34" s="11"/>
      <c r="AF34" s="11"/>
      <c r="AG34" s="11"/>
      <c r="AH34" s="11"/>
    </row>
    <row r="35" spans="1:34" s="5" customFormat="1" ht="15" customHeight="1" x14ac:dyDescent="0.35">
      <c r="A35" s="4" t="s">
        <v>37</v>
      </c>
      <c r="B35" s="49">
        <f ca="1">IF('FIRE1102a raw'!B35="..","..",ROUND('FIRE1102a raw'!B35,0))</f>
        <v>0</v>
      </c>
      <c r="C35" s="49">
        <f ca="1">IF('FIRE1102a raw'!C35="..","..",ROUND('FIRE1102a raw'!C35,0))</f>
        <v>0</v>
      </c>
      <c r="D35" s="49">
        <f ca="1">IF('FIRE1102a raw'!D35="..","..",ROUND('FIRE1102a raw'!D35,0))</f>
        <v>0</v>
      </c>
      <c r="E35" s="49">
        <f ca="1">IF('FIRE1102a raw'!E35="..","..",ROUND('FIRE1102a raw'!E35,0))</f>
        <v>0</v>
      </c>
      <c r="F35" s="49">
        <f ca="1">IF('FIRE1102a raw'!F35="..","..",ROUND('FIRE1102a raw'!F35,0))</f>
        <v>0</v>
      </c>
      <c r="G35" s="49">
        <f ca="1">IF('FIRE1102a raw'!G35="..","..",ROUND('FIRE1102a raw'!G35,0))</f>
        <v>0</v>
      </c>
      <c r="H35" s="49">
        <f ca="1">IF('FIRE1102a raw'!H35="..","..",ROUND('FIRE1102a raw'!H35,0))</f>
        <v>0</v>
      </c>
      <c r="I35" s="14">
        <f ca="1">IF('FIRE1102a raw'!I35="..","..",ROUND('FIRE1102a raw'!I35,0))</f>
        <v>0</v>
      </c>
      <c r="J35" s="4"/>
      <c r="L35" s="10"/>
      <c r="M35" s="10"/>
      <c r="O35" s="10"/>
      <c r="P35" s="10"/>
      <c r="R35" s="12"/>
      <c r="S35" s="12"/>
      <c r="T35" s="12"/>
      <c r="U35" s="12"/>
      <c r="V35" s="12"/>
      <c r="X35" s="11"/>
      <c r="Y35" s="11"/>
      <c r="Z35" s="11"/>
      <c r="AA35" s="11"/>
      <c r="AB35" s="11"/>
      <c r="AC35" s="11"/>
      <c r="AD35" s="11"/>
      <c r="AE35" s="11"/>
      <c r="AF35" s="11"/>
      <c r="AG35" s="11"/>
      <c r="AH35" s="11"/>
    </row>
    <row r="36" spans="1:34" s="5" customFormat="1" ht="15" customHeight="1" x14ac:dyDescent="0.35">
      <c r="A36" s="5" t="s">
        <v>38</v>
      </c>
      <c r="B36" s="49">
        <f ca="1">IF('FIRE1102a raw'!B36="..","..",ROUND('FIRE1102a raw'!B36,0))</f>
        <v>2</v>
      </c>
      <c r="C36" s="49">
        <f ca="1">IF('FIRE1102a raw'!C36="..","..",ROUND('FIRE1102a raw'!C36,0))</f>
        <v>2</v>
      </c>
      <c r="D36" s="49">
        <f ca="1">IF('FIRE1102a raw'!D36="..","..",ROUND('FIRE1102a raw'!D36,0))</f>
        <v>9</v>
      </c>
      <c r="E36" s="49">
        <f ca="1">IF('FIRE1102a raw'!E36="..","..",ROUND('FIRE1102a raw'!E36,0))</f>
        <v>16</v>
      </c>
      <c r="F36" s="49">
        <f ca="1">IF('FIRE1102a raw'!F36="..","..",ROUND('FIRE1102a raw'!F36,0))</f>
        <v>54</v>
      </c>
      <c r="G36" s="49">
        <f ca="1">IF('FIRE1102a raw'!G36="..","..",ROUND('FIRE1102a raw'!G36,0))</f>
        <v>56</v>
      </c>
      <c r="H36" s="49">
        <f ca="1">IF('FIRE1102a raw'!H36="..","..",ROUND('FIRE1102a raw'!H36,0))</f>
        <v>158</v>
      </c>
      <c r="I36" s="14">
        <f ca="1">IF('FIRE1102a raw'!I36="..","..",ROUND('FIRE1102a raw'!I36,0))</f>
        <v>297</v>
      </c>
      <c r="J36" s="4"/>
      <c r="L36" s="10"/>
      <c r="M36" s="10"/>
      <c r="O36" s="10"/>
      <c r="P36" s="10"/>
      <c r="R36" s="12"/>
      <c r="S36" s="12"/>
      <c r="T36" s="12"/>
      <c r="U36" s="12"/>
      <c r="V36" s="12"/>
      <c r="X36" s="11"/>
      <c r="Y36" s="11"/>
      <c r="Z36" s="11"/>
      <c r="AA36" s="11"/>
      <c r="AB36" s="11"/>
      <c r="AC36" s="11"/>
      <c r="AD36" s="11"/>
      <c r="AE36" s="11"/>
      <c r="AF36" s="11"/>
      <c r="AG36" s="11"/>
      <c r="AH36" s="11"/>
    </row>
    <row r="37" spans="1:34" s="5" customFormat="1" ht="15" customHeight="1" x14ac:dyDescent="0.35">
      <c r="A37" s="5" t="s">
        <v>39</v>
      </c>
      <c r="B37" s="49">
        <f ca="1">IF('FIRE1102a raw'!B37="..","..",ROUND('FIRE1102a raw'!B37,0))</f>
        <v>3</v>
      </c>
      <c r="C37" s="49">
        <f ca="1">IF('FIRE1102a raw'!C37="..","..",ROUND('FIRE1102a raw'!C37,0))</f>
        <v>2</v>
      </c>
      <c r="D37" s="49">
        <f ca="1">IF('FIRE1102a raw'!D37="..","..",ROUND('FIRE1102a raw'!D37,0))</f>
        <v>10</v>
      </c>
      <c r="E37" s="49">
        <f ca="1">IF('FIRE1102a raw'!E37="..","..",ROUND('FIRE1102a raw'!E37,0))</f>
        <v>21</v>
      </c>
      <c r="F37" s="49">
        <f ca="1">IF('FIRE1102a raw'!F37="..","..",ROUND('FIRE1102a raw'!F37,0))</f>
        <v>47</v>
      </c>
      <c r="G37" s="49">
        <f ca="1">IF('FIRE1102a raw'!G37="..","..",ROUND('FIRE1102a raw'!G37,0))</f>
        <v>34</v>
      </c>
      <c r="H37" s="49">
        <f ca="1">IF('FIRE1102a raw'!H37="..","..",ROUND('FIRE1102a raw'!H37,0))</f>
        <v>116</v>
      </c>
      <c r="I37" s="14">
        <f ca="1">IF('FIRE1102a raw'!I37="..","..",ROUND('FIRE1102a raw'!I37,0))</f>
        <v>233</v>
      </c>
      <c r="J37" s="4"/>
      <c r="L37" s="10"/>
      <c r="M37" s="10"/>
      <c r="O37" s="10"/>
      <c r="P37" s="10"/>
      <c r="R37" s="12"/>
      <c r="S37" s="12"/>
      <c r="T37" s="12"/>
      <c r="U37" s="12"/>
      <c r="V37" s="12"/>
      <c r="X37" s="11"/>
      <c r="Y37" s="11"/>
      <c r="Z37" s="11"/>
      <c r="AA37" s="11"/>
      <c r="AB37" s="11"/>
      <c r="AC37" s="11"/>
      <c r="AD37" s="11"/>
      <c r="AE37" s="11"/>
      <c r="AF37" s="11"/>
      <c r="AG37" s="11"/>
      <c r="AH37" s="11"/>
    </row>
    <row r="38" spans="1:34" s="5" customFormat="1" ht="15" customHeight="1" x14ac:dyDescent="0.35">
      <c r="A38" s="5" t="s">
        <v>40</v>
      </c>
      <c r="B38" s="49">
        <f ca="1">IF('FIRE1102a raw'!B38="..","..",ROUND('FIRE1102a raw'!B38,0))</f>
        <v>2</v>
      </c>
      <c r="C38" s="49">
        <f ca="1">IF('FIRE1102a raw'!C38="..","..",ROUND('FIRE1102a raw'!C38,0))</f>
        <v>1</v>
      </c>
      <c r="D38" s="49">
        <f ca="1">IF('FIRE1102a raw'!D38="..","..",ROUND('FIRE1102a raw'!D38,0))</f>
        <v>4</v>
      </c>
      <c r="E38" s="49">
        <f ca="1">IF('FIRE1102a raw'!E38="..","..",ROUND('FIRE1102a raw'!E38,0))</f>
        <v>14</v>
      </c>
      <c r="F38" s="49">
        <f ca="1">IF('FIRE1102a raw'!F38="..","..",ROUND('FIRE1102a raw'!F38,0))</f>
        <v>19</v>
      </c>
      <c r="G38" s="49">
        <f ca="1">IF('FIRE1102a raw'!G38="..","..",ROUND('FIRE1102a raw'!G38,0))</f>
        <v>21</v>
      </c>
      <c r="H38" s="49">
        <f ca="1">IF('FIRE1102a raw'!H38="..","..",ROUND('FIRE1102a raw'!H38,0))</f>
        <v>73</v>
      </c>
      <c r="I38" s="14">
        <f ca="1">IF('FIRE1102a raw'!I38="..","..",ROUND('FIRE1102a raw'!I38,0))</f>
        <v>134</v>
      </c>
      <c r="J38" s="4"/>
      <c r="L38" s="10"/>
      <c r="M38" s="10"/>
      <c r="O38" s="10"/>
      <c r="P38" s="10"/>
      <c r="R38" s="12"/>
      <c r="S38" s="12"/>
      <c r="T38" s="12"/>
      <c r="U38" s="12"/>
      <c r="V38" s="12"/>
      <c r="X38" s="11"/>
      <c r="Y38" s="11"/>
      <c r="Z38" s="11"/>
      <c r="AA38" s="11"/>
      <c r="AB38" s="11"/>
      <c r="AC38" s="11"/>
      <c r="AD38" s="11"/>
      <c r="AE38" s="11"/>
      <c r="AF38" s="11"/>
      <c r="AG38" s="11"/>
      <c r="AH38" s="11"/>
    </row>
    <row r="39" spans="1:34" s="5" customFormat="1" ht="15" customHeight="1" x14ac:dyDescent="0.35">
      <c r="A39" s="4" t="s">
        <v>41</v>
      </c>
      <c r="B39" s="49">
        <f ca="1">IF('FIRE1102a raw'!B39="..","..",ROUND('FIRE1102a raw'!B39,0))</f>
        <v>3</v>
      </c>
      <c r="C39" s="49">
        <f ca="1">IF('FIRE1102a raw'!C39="..","..",ROUND('FIRE1102a raw'!C39,0))</f>
        <v>4</v>
      </c>
      <c r="D39" s="49">
        <f ca="1">IF('FIRE1102a raw'!D39="..","..",ROUND('FIRE1102a raw'!D39,0))</f>
        <v>8</v>
      </c>
      <c r="E39" s="49">
        <f ca="1">IF('FIRE1102a raw'!E39="..","..",ROUND('FIRE1102a raw'!E39,0))</f>
        <v>23</v>
      </c>
      <c r="F39" s="49">
        <f ca="1">IF('FIRE1102a raw'!F39="..","..",ROUND('FIRE1102a raw'!F39,0))</f>
        <v>77</v>
      </c>
      <c r="G39" s="49">
        <f ca="1">IF('FIRE1102a raw'!G39="..","..",ROUND('FIRE1102a raw'!G39,0))</f>
        <v>72</v>
      </c>
      <c r="H39" s="49">
        <f ca="1">IF('FIRE1102a raw'!H39="..","..",ROUND('FIRE1102a raw'!H39,0))</f>
        <v>264</v>
      </c>
      <c r="I39" s="14">
        <f ca="1">IF('FIRE1102a raw'!I39="..","..",ROUND('FIRE1102a raw'!I39,0))</f>
        <v>451</v>
      </c>
      <c r="J39" s="4"/>
      <c r="L39" s="10"/>
      <c r="M39" s="10"/>
      <c r="O39" s="10"/>
      <c r="P39" s="10"/>
      <c r="R39" s="12"/>
      <c r="S39" s="12"/>
      <c r="T39" s="12"/>
      <c r="U39" s="12"/>
      <c r="V39" s="12"/>
      <c r="X39" s="11"/>
      <c r="Y39" s="11"/>
      <c r="Z39" s="11"/>
      <c r="AA39" s="11"/>
      <c r="AB39" s="11"/>
      <c r="AC39" s="11"/>
      <c r="AD39" s="11"/>
      <c r="AE39" s="11"/>
      <c r="AF39" s="11"/>
      <c r="AG39" s="11"/>
      <c r="AH39" s="11"/>
    </row>
    <row r="40" spans="1:34" s="5" customFormat="1" ht="15" customHeight="1" x14ac:dyDescent="0.35">
      <c r="A40" s="4" t="s">
        <v>42</v>
      </c>
      <c r="B40" s="49">
        <f ca="1">IF('FIRE1102a raw'!B40="..","..",ROUND('FIRE1102a raw'!B40,0))</f>
        <v>3</v>
      </c>
      <c r="C40" s="49">
        <f ca="1">IF('FIRE1102a raw'!C40="..","..",ROUND('FIRE1102a raw'!C40,0))</f>
        <v>3</v>
      </c>
      <c r="D40" s="49">
        <f ca="1">IF('FIRE1102a raw'!D40="..","..",ROUND('FIRE1102a raw'!D40,0))</f>
        <v>9</v>
      </c>
      <c r="E40" s="49">
        <f ca="1">IF('FIRE1102a raw'!E40="..","..",ROUND('FIRE1102a raw'!E40,0))</f>
        <v>25</v>
      </c>
      <c r="F40" s="49">
        <f ca="1">IF('FIRE1102a raw'!F40="..","..",ROUND('FIRE1102a raw'!F40,0))</f>
        <v>49</v>
      </c>
      <c r="G40" s="49">
        <f ca="1">IF('FIRE1102a raw'!G40="..","..",ROUND('FIRE1102a raw'!G40,0))</f>
        <v>36</v>
      </c>
      <c r="H40" s="49">
        <f ca="1">IF('FIRE1102a raw'!H40="..","..",ROUND('FIRE1102a raw'!H40,0))</f>
        <v>110</v>
      </c>
      <c r="I40" s="14">
        <f ca="1">IF('FIRE1102a raw'!I40="..","..",ROUND('FIRE1102a raw'!I40,0))</f>
        <v>235</v>
      </c>
      <c r="J40" s="4"/>
      <c r="L40" s="10"/>
      <c r="M40" s="10"/>
      <c r="O40" s="10"/>
      <c r="P40" s="10"/>
      <c r="R40" s="12"/>
      <c r="S40" s="12"/>
      <c r="T40" s="12"/>
      <c r="U40" s="12"/>
      <c r="V40" s="12"/>
      <c r="X40" s="11"/>
      <c r="Y40" s="11"/>
      <c r="Z40" s="11"/>
      <c r="AA40" s="11"/>
      <c r="AB40" s="11"/>
      <c r="AC40" s="11"/>
      <c r="AD40" s="11"/>
      <c r="AE40" s="11"/>
      <c r="AF40" s="11"/>
      <c r="AG40" s="11"/>
      <c r="AH40" s="11"/>
    </row>
    <row r="41" spans="1:34" s="5" customFormat="1" ht="15" customHeight="1" x14ac:dyDescent="0.35">
      <c r="A41" s="4" t="s">
        <v>43</v>
      </c>
      <c r="B41" s="49">
        <f ca="1">IF('FIRE1102a raw'!B41="..","..",ROUND('FIRE1102a raw'!B41,0))</f>
        <v>3</v>
      </c>
      <c r="C41" s="49">
        <f ca="1">IF('FIRE1102a raw'!C41="..","..",ROUND('FIRE1102a raw'!C41,0))</f>
        <v>3</v>
      </c>
      <c r="D41" s="49">
        <f ca="1">IF('FIRE1102a raw'!D41="..","..",ROUND('FIRE1102a raw'!D41,0))</f>
        <v>7</v>
      </c>
      <c r="E41" s="49">
        <f ca="1">IF('FIRE1102a raw'!E41="..","..",ROUND('FIRE1102a raw'!E41,0))</f>
        <v>14</v>
      </c>
      <c r="F41" s="49">
        <f ca="1">IF('FIRE1102a raw'!F41="..","..",ROUND('FIRE1102a raw'!F41,0))</f>
        <v>25</v>
      </c>
      <c r="G41" s="49">
        <f ca="1">IF('FIRE1102a raw'!G41="..","..",ROUND('FIRE1102a raw'!G41,0))</f>
        <v>24</v>
      </c>
      <c r="H41" s="49">
        <f ca="1">IF('FIRE1102a raw'!H41="..","..",ROUND('FIRE1102a raw'!H41,0))</f>
        <v>106</v>
      </c>
      <c r="I41" s="14">
        <f ca="1">IF('FIRE1102a raw'!I41="..","..",ROUND('FIRE1102a raw'!I41,0))</f>
        <v>182</v>
      </c>
      <c r="J41" s="4"/>
      <c r="L41" s="10"/>
      <c r="M41" s="10"/>
      <c r="O41" s="10"/>
      <c r="P41" s="10"/>
      <c r="R41" s="12"/>
      <c r="S41" s="12"/>
      <c r="T41" s="12"/>
      <c r="U41" s="12"/>
      <c r="V41" s="12"/>
      <c r="X41" s="11"/>
      <c r="Y41" s="11"/>
      <c r="Z41" s="11"/>
      <c r="AA41" s="11"/>
      <c r="AB41" s="11"/>
      <c r="AC41" s="11"/>
      <c r="AD41" s="11"/>
      <c r="AE41" s="11"/>
      <c r="AF41" s="11"/>
      <c r="AG41" s="11"/>
      <c r="AH41" s="11"/>
    </row>
    <row r="42" spans="1:34" s="5" customFormat="1" ht="15" customHeight="1" x14ac:dyDescent="0.35">
      <c r="A42" s="4" t="s">
        <v>45</v>
      </c>
      <c r="B42" s="49">
        <f ca="1">IF('FIRE1102a raw'!B42="..","..",ROUND('FIRE1102a raw'!B42,0))</f>
        <v>2</v>
      </c>
      <c r="C42" s="49">
        <f ca="1">IF('FIRE1102a raw'!C42="..","..",ROUND('FIRE1102a raw'!C42,0))</f>
        <v>2</v>
      </c>
      <c r="D42" s="49">
        <f ca="1">IF('FIRE1102a raw'!D42="..","..",ROUND('FIRE1102a raw'!D42,0))</f>
        <v>8</v>
      </c>
      <c r="E42" s="49">
        <f ca="1">IF('FIRE1102a raw'!E42="..","..",ROUND('FIRE1102a raw'!E42,0))</f>
        <v>26</v>
      </c>
      <c r="F42" s="49">
        <f ca="1">IF('FIRE1102a raw'!F42="..","..",ROUND('FIRE1102a raw'!F42,0))</f>
        <v>63</v>
      </c>
      <c r="G42" s="49">
        <f ca="1">IF('FIRE1102a raw'!G42="..","..",ROUND('FIRE1102a raw'!G42,0))</f>
        <v>40</v>
      </c>
      <c r="H42" s="49">
        <f ca="1">IF('FIRE1102a raw'!H42="..","..",ROUND('FIRE1102a raw'!H42,0))</f>
        <v>178</v>
      </c>
      <c r="I42" s="14">
        <f ca="1">IF('FIRE1102a raw'!I42="..","..",ROUND('FIRE1102a raw'!I42,0))</f>
        <v>319</v>
      </c>
      <c r="J42" s="4"/>
      <c r="L42" s="10"/>
      <c r="M42" s="10"/>
      <c r="O42" s="10"/>
      <c r="P42" s="10"/>
      <c r="R42" s="12"/>
      <c r="S42" s="12"/>
      <c r="T42" s="12"/>
      <c r="U42" s="12"/>
      <c r="V42" s="12"/>
      <c r="X42" s="11"/>
      <c r="Y42" s="11"/>
      <c r="Z42" s="11"/>
      <c r="AA42" s="11"/>
      <c r="AB42" s="11"/>
      <c r="AC42" s="11"/>
      <c r="AD42" s="11"/>
      <c r="AE42" s="11"/>
      <c r="AF42" s="11"/>
      <c r="AG42" s="11"/>
      <c r="AH42" s="11"/>
    </row>
    <row r="43" spans="1:34" s="5" customFormat="1" ht="15" customHeight="1" x14ac:dyDescent="0.35">
      <c r="A43" s="4" t="s">
        <v>46</v>
      </c>
      <c r="B43" s="49">
        <f ca="1">IF('FIRE1102a raw'!B43="..","..",ROUND('FIRE1102a raw'!B43,0))</f>
        <v>2</v>
      </c>
      <c r="C43" s="49">
        <f ca="1">IF('FIRE1102a raw'!C43="..","..",ROUND('FIRE1102a raw'!C43,0))</f>
        <v>4</v>
      </c>
      <c r="D43" s="49">
        <f ca="1">IF('FIRE1102a raw'!D43="..","..",ROUND('FIRE1102a raw'!D43,0))</f>
        <v>7</v>
      </c>
      <c r="E43" s="49">
        <f ca="1">IF('FIRE1102a raw'!E43="..","..",ROUND('FIRE1102a raw'!E43,0))</f>
        <v>18</v>
      </c>
      <c r="F43" s="49">
        <f ca="1">IF('FIRE1102a raw'!F43="..","..",ROUND('FIRE1102a raw'!F43,0))</f>
        <v>36</v>
      </c>
      <c r="G43" s="49">
        <f ca="1">IF('FIRE1102a raw'!G43="..","..",ROUND('FIRE1102a raw'!G43,0))</f>
        <v>27</v>
      </c>
      <c r="H43" s="49">
        <f ca="1">IF('FIRE1102a raw'!H43="..","..",ROUND('FIRE1102a raw'!H43,0))</f>
        <v>98</v>
      </c>
      <c r="I43" s="14">
        <f ca="1">IF('FIRE1102a raw'!I43="..","..",ROUND('FIRE1102a raw'!I43,0))</f>
        <v>191</v>
      </c>
      <c r="J43" s="4"/>
      <c r="L43" s="10"/>
      <c r="M43" s="10"/>
      <c r="O43" s="10"/>
      <c r="P43" s="10"/>
      <c r="R43" s="12"/>
      <c r="S43" s="12"/>
      <c r="T43" s="12"/>
      <c r="U43" s="12"/>
      <c r="V43" s="12"/>
      <c r="X43" s="11"/>
      <c r="Y43" s="11"/>
      <c r="Z43" s="11"/>
      <c r="AA43" s="11"/>
      <c r="AB43" s="11"/>
      <c r="AC43" s="11"/>
      <c r="AD43" s="11"/>
      <c r="AE43" s="11"/>
      <c r="AF43" s="11"/>
      <c r="AG43" s="11"/>
      <c r="AH43" s="11"/>
    </row>
    <row r="44" spans="1:34" s="5" customFormat="1" ht="15" customHeight="1" x14ac:dyDescent="0.35">
      <c r="A44" s="4" t="s">
        <v>47</v>
      </c>
      <c r="B44" s="49">
        <f ca="1">IF('FIRE1102a raw'!B44="..","..",ROUND('FIRE1102a raw'!B44,0))</f>
        <v>5</v>
      </c>
      <c r="C44" s="49">
        <f ca="1">IF('FIRE1102a raw'!C44="..","..",ROUND('FIRE1102a raw'!C44,0))</f>
        <v>3</v>
      </c>
      <c r="D44" s="49">
        <f ca="1">IF('FIRE1102a raw'!D44="..","..",ROUND('FIRE1102a raw'!D44,0))</f>
        <v>9</v>
      </c>
      <c r="E44" s="49">
        <f ca="1">IF('FIRE1102a raw'!E44="..","..",ROUND('FIRE1102a raw'!E44,0))</f>
        <v>20</v>
      </c>
      <c r="F44" s="49">
        <f ca="1">IF('FIRE1102a raw'!F44="..","..",ROUND('FIRE1102a raw'!F44,0))</f>
        <v>98</v>
      </c>
      <c r="G44" s="49">
        <f ca="1">IF('FIRE1102a raw'!G44="..","..",ROUND('FIRE1102a raw'!G44,0))</f>
        <v>90</v>
      </c>
      <c r="H44" s="49">
        <f ca="1">IF('FIRE1102a raw'!H44="..","..",ROUND('FIRE1102a raw'!H44,0))</f>
        <v>229</v>
      </c>
      <c r="I44" s="14">
        <f ca="1">IF('FIRE1102a raw'!I44="..","..",ROUND('FIRE1102a raw'!I44,0))</f>
        <v>454</v>
      </c>
      <c r="J44" s="4"/>
      <c r="L44" s="10"/>
      <c r="M44" s="10"/>
      <c r="O44" s="10"/>
      <c r="P44" s="10"/>
      <c r="R44" s="12"/>
      <c r="S44" s="12"/>
      <c r="T44" s="12"/>
      <c r="U44" s="12"/>
      <c r="V44" s="12"/>
      <c r="X44" s="11"/>
      <c r="Y44" s="11"/>
      <c r="Z44" s="11"/>
      <c r="AA44" s="11"/>
      <c r="AB44" s="11"/>
      <c r="AC44" s="11"/>
      <c r="AD44" s="11"/>
      <c r="AE44" s="11"/>
      <c r="AF44" s="11"/>
      <c r="AG44" s="11"/>
      <c r="AH44" s="11"/>
    </row>
    <row r="45" spans="1:34" s="5" customFormat="1" ht="15" customHeight="1" x14ac:dyDescent="0.35">
      <c r="A45" s="4" t="s">
        <v>49</v>
      </c>
      <c r="B45" s="49">
        <f ca="1">IF('FIRE1102a raw'!B45="..","..",ROUND('FIRE1102a raw'!B45,0))</f>
        <v>3</v>
      </c>
      <c r="C45" s="49">
        <f ca="1">IF('FIRE1102a raw'!C45="..","..",ROUND('FIRE1102a raw'!C45,0))</f>
        <v>3</v>
      </c>
      <c r="D45" s="49">
        <f ca="1">IF('FIRE1102a raw'!D45="..","..",ROUND('FIRE1102a raw'!D45,0))</f>
        <v>7</v>
      </c>
      <c r="E45" s="49">
        <f ca="1">IF('FIRE1102a raw'!E45="..","..",ROUND('FIRE1102a raw'!E45,0))</f>
        <v>13</v>
      </c>
      <c r="F45" s="49">
        <f ca="1">IF('FIRE1102a raw'!F45="..","..",ROUND('FIRE1102a raw'!F45,0))</f>
        <v>31</v>
      </c>
      <c r="G45" s="49">
        <f ca="1">IF('FIRE1102a raw'!G45="..","..",ROUND('FIRE1102a raw'!G45,0))</f>
        <v>48</v>
      </c>
      <c r="H45" s="49">
        <f ca="1">IF('FIRE1102a raw'!H45="..","..",ROUND('FIRE1102a raw'!H45,0))</f>
        <v>127</v>
      </c>
      <c r="I45" s="14">
        <f ca="1">IF('FIRE1102a raw'!I45="..","..",ROUND('FIRE1102a raw'!I45,0))</f>
        <v>232</v>
      </c>
      <c r="J45" s="4"/>
      <c r="L45" s="10"/>
      <c r="M45" s="10"/>
      <c r="O45" s="10"/>
      <c r="P45" s="10"/>
      <c r="R45" s="12"/>
      <c r="S45" s="12"/>
      <c r="T45" s="12"/>
      <c r="U45" s="12"/>
      <c r="V45" s="12"/>
      <c r="X45" s="11"/>
      <c r="Y45" s="11"/>
      <c r="Z45" s="11"/>
      <c r="AA45" s="11"/>
      <c r="AB45" s="11"/>
      <c r="AC45" s="11"/>
      <c r="AD45" s="11"/>
      <c r="AE45" s="11"/>
      <c r="AF45" s="11"/>
      <c r="AG45" s="11"/>
      <c r="AH45" s="11"/>
    </row>
    <row r="46" spans="1:34" s="5" customFormat="1" ht="15" customHeight="1" x14ac:dyDescent="0.35">
      <c r="A46" s="4" t="s">
        <v>51</v>
      </c>
      <c r="B46" s="49">
        <f ca="1">IF('FIRE1102a raw'!B46="..","..",ROUND('FIRE1102a raw'!B46,0))</f>
        <v>2</v>
      </c>
      <c r="C46" s="49">
        <f ca="1">IF('FIRE1102a raw'!C46="..","..",ROUND('FIRE1102a raw'!C46,0))</f>
        <v>3</v>
      </c>
      <c r="D46" s="49">
        <f ca="1">IF('FIRE1102a raw'!D46="..","..",ROUND('FIRE1102a raw'!D46,0))</f>
        <v>9</v>
      </c>
      <c r="E46" s="49">
        <f ca="1">IF('FIRE1102a raw'!E46="..","..",ROUND('FIRE1102a raw'!E46,0))</f>
        <v>26</v>
      </c>
      <c r="F46" s="49">
        <f ca="1">IF('FIRE1102a raw'!F46="..","..",ROUND('FIRE1102a raw'!F46,0))</f>
        <v>58</v>
      </c>
      <c r="G46" s="49">
        <f ca="1">IF('FIRE1102a raw'!G46="..","..",ROUND('FIRE1102a raw'!G46,0))</f>
        <v>46</v>
      </c>
      <c r="H46" s="49">
        <f ca="1">IF('FIRE1102a raw'!H46="..","..",ROUND('FIRE1102a raw'!H46,0))</f>
        <v>175</v>
      </c>
      <c r="I46" s="14">
        <f ca="1">IF('FIRE1102a raw'!I46="..","..",ROUND('FIRE1102a raw'!I46,0))</f>
        <v>319</v>
      </c>
      <c r="J46" s="4"/>
      <c r="L46" s="10"/>
      <c r="M46" s="10"/>
      <c r="O46" s="10"/>
      <c r="P46" s="10"/>
      <c r="R46" s="12"/>
      <c r="S46" s="12"/>
      <c r="T46" s="12"/>
      <c r="U46" s="12"/>
      <c r="V46" s="12"/>
      <c r="X46" s="11"/>
      <c r="Y46" s="11"/>
      <c r="Z46" s="11"/>
      <c r="AA46" s="11"/>
      <c r="AB46" s="11"/>
      <c r="AC46" s="11"/>
      <c r="AD46" s="11"/>
      <c r="AE46" s="11"/>
      <c r="AF46" s="11"/>
      <c r="AG46" s="11"/>
      <c r="AH46" s="11"/>
    </row>
    <row r="47" spans="1:34" s="5" customFormat="1" ht="15" customHeight="1" x14ac:dyDescent="0.35">
      <c r="A47" s="4" t="s">
        <v>30</v>
      </c>
      <c r="B47" s="49">
        <f ca="1">IF('FIRE1102a raw'!B47="..","..",ROUND('FIRE1102a raw'!B47,0))</f>
        <v>0</v>
      </c>
      <c r="C47" s="49">
        <f ca="1">IF('FIRE1102a raw'!C47="..","..",ROUND('FIRE1102a raw'!C47,0))</f>
        <v>0</v>
      </c>
      <c r="D47" s="49">
        <f ca="1">IF('FIRE1102a raw'!D47="..","..",ROUND('FIRE1102a raw'!D47,0))</f>
        <v>0</v>
      </c>
      <c r="E47" s="49">
        <f ca="1">IF('FIRE1102a raw'!E47="..","..",ROUND('FIRE1102a raw'!E47,0))</f>
        <v>0</v>
      </c>
      <c r="F47" s="49">
        <f ca="1">IF('FIRE1102a raw'!F47="..","..",ROUND('FIRE1102a raw'!F47,0))</f>
        <v>0</v>
      </c>
      <c r="G47" s="49">
        <f ca="1">IF('FIRE1102a raw'!G47="..","..",ROUND('FIRE1102a raw'!G47,0))</f>
        <v>0</v>
      </c>
      <c r="H47" s="49">
        <f ca="1">IF('FIRE1102a raw'!H47="..","..",ROUND('FIRE1102a raw'!H47,0))</f>
        <v>0</v>
      </c>
      <c r="I47" s="14">
        <f ca="1">IF('FIRE1102a raw'!I47="..","..",ROUND('FIRE1102a raw'!I47,0))</f>
        <v>0</v>
      </c>
      <c r="J47" s="4"/>
      <c r="L47" s="10"/>
      <c r="M47" s="10"/>
      <c r="O47" s="10"/>
      <c r="P47" s="10"/>
      <c r="R47" s="12"/>
      <c r="S47" s="12"/>
      <c r="T47" s="12"/>
      <c r="U47" s="12"/>
      <c r="V47" s="12"/>
      <c r="X47" s="11"/>
      <c r="Y47" s="11"/>
      <c r="Z47" s="11"/>
      <c r="AA47" s="11"/>
      <c r="AB47" s="11"/>
      <c r="AC47" s="11"/>
      <c r="AD47" s="11"/>
      <c r="AE47" s="11"/>
      <c r="AF47" s="11"/>
      <c r="AG47" s="11"/>
      <c r="AH47" s="11"/>
    </row>
    <row r="48" spans="1:34" s="5" customFormat="1" ht="15" customHeight="1" x14ac:dyDescent="0.35">
      <c r="A48" s="33" t="s">
        <v>5</v>
      </c>
      <c r="B48" s="14">
        <f ca="1">IF('FIRE1102a raw'!B48="..","..",ROUND('FIRE1102a raw'!B48,0))</f>
        <v>21</v>
      </c>
      <c r="C48" s="14">
        <f ca="1">IF('FIRE1102a raw'!C48="..","..",ROUND('FIRE1102a raw'!C48,0))</f>
        <v>53</v>
      </c>
      <c r="D48" s="14">
        <f ca="1">IF('FIRE1102a raw'!D48="..","..",ROUND('FIRE1102a raw'!D48,0))</f>
        <v>138</v>
      </c>
      <c r="E48" s="14">
        <f ca="1">IF('FIRE1102a raw'!E48="..","..",ROUND('FIRE1102a raw'!E48,0))</f>
        <v>376</v>
      </c>
      <c r="F48" s="14">
        <f ca="1">IF('FIRE1102a raw'!F48="..","..",ROUND('FIRE1102a raw'!F48,0))</f>
        <v>1604</v>
      </c>
      <c r="G48" s="14">
        <f ca="1">IF('FIRE1102a raw'!G48="..","..",ROUND('FIRE1102a raw'!G48,0))</f>
        <v>1339</v>
      </c>
      <c r="H48" s="14">
        <f ca="1">IF('FIRE1102a raw'!H48="..","..",ROUND('FIRE1102a raw'!H48,0))</f>
        <v>6616</v>
      </c>
      <c r="I48" s="14">
        <f ca="1">IF('FIRE1102a raw'!I48="..","..",ROUND('FIRE1102a raw'!I48,0))</f>
        <v>10147</v>
      </c>
      <c r="J48" s="4"/>
      <c r="L48" s="10"/>
      <c r="M48" s="10"/>
      <c r="O48" s="10"/>
      <c r="P48" s="10"/>
      <c r="R48" s="12"/>
      <c r="S48" s="12"/>
      <c r="T48" s="12"/>
      <c r="U48" s="12"/>
      <c r="V48" s="12"/>
      <c r="X48" s="11"/>
      <c r="Y48" s="11"/>
      <c r="Z48" s="11"/>
      <c r="AA48" s="11"/>
      <c r="AB48" s="11"/>
      <c r="AC48" s="11"/>
      <c r="AD48" s="11"/>
      <c r="AE48" s="11"/>
      <c r="AF48" s="11"/>
      <c r="AG48" s="11"/>
      <c r="AH48" s="11"/>
    </row>
    <row r="49" spans="1:34" s="5" customFormat="1" ht="15" customHeight="1" x14ac:dyDescent="0.35">
      <c r="A49" s="4" t="s">
        <v>24</v>
      </c>
      <c r="B49" s="49">
        <f ca="1">IF('FIRE1102a raw'!B49="..","..",ROUND('FIRE1102a raw'!B49,0))</f>
        <v>5</v>
      </c>
      <c r="C49" s="49">
        <f ca="1">IF('FIRE1102a raw'!C49="..","..",ROUND('FIRE1102a raw'!C49,0))</f>
        <v>6</v>
      </c>
      <c r="D49" s="49">
        <f ca="1">IF('FIRE1102a raw'!D49="..","..",ROUND('FIRE1102a raw'!D49,0))</f>
        <v>13</v>
      </c>
      <c r="E49" s="49">
        <f ca="1">IF('FIRE1102a raw'!E49="..","..",ROUND('FIRE1102a raw'!E49,0))</f>
        <v>57</v>
      </c>
      <c r="F49" s="49">
        <f ca="1">IF('FIRE1102a raw'!F49="..","..",ROUND('FIRE1102a raw'!F49,0))</f>
        <v>208</v>
      </c>
      <c r="G49" s="49">
        <f ca="1">IF('FIRE1102a raw'!G49="..","..",ROUND('FIRE1102a raw'!G49,0))</f>
        <v>179</v>
      </c>
      <c r="H49" s="49">
        <f ca="1">IF('FIRE1102a raw'!H49="..","..",ROUND('FIRE1102a raw'!H49,0))</f>
        <v>895</v>
      </c>
      <c r="I49" s="14">
        <f ca="1">IF('FIRE1102a raw'!I49="..","..",ROUND('FIRE1102a raw'!I49,0))</f>
        <v>1363</v>
      </c>
      <c r="J49" s="4"/>
      <c r="L49" s="10"/>
      <c r="M49" s="10"/>
      <c r="O49" s="10"/>
      <c r="P49" s="10"/>
      <c r="R49" s="12"/>
      <c r="S49" s="12"/>
      <c r="T49" s="12"/>
      <c r="U49" s="12"/>
      <c r="V49" s="12"/>
      <c r="X49" s="11"/>
      <c r="Y49" s="11"/>
      <c r="Z49" s="11"/>
      <c r="AA49" s="11"/>
      <c r="AB49" s="11"/>
      <c r="AC49" s="11"/>
      <c r="AD49" s="11"/>
      <c r="AE49" s="11"/>
      <c r="AF49" s="11"/>
      <c r="AG49" s="11"/>
      <c r="AH49" s="11"/>
    </row>
    <row r="50" spans="1:34" s="5" customFormat="1" ht="15" customHeight="1" x14ac:dyDescent="0.35">
      <c r="A50" s="4" t="s">
        <v>35</v>
      </c>
      <c r="B50" s="49">
        <f ca="1">IF('FIRE1102a raw'!B50="..","..",ROUND('FIRE1102a raw'!B50,0))</f>
        <v>3</v>
      </c>
      <c r="C50" s="49">
        <f ca="1">IF('FIRE1102a raw'!C50="..","..",ROUND('FIRE1102a raw'!C50,0))</f>
        <v>4</v>
      </c>
      <c r="D50" s="49">
        <f ca="1">IF('FIRE1102a raw'!D50="..","..",ROUND('FIRE1102a raw'!D50,0))</f>
        <v>13</v>
      </c>
      <c r="E50" s="49">
        <f ca="1">IF('FIRE1102a raw'!E50="..","..",ROUND('FIRE1102a raw'!E50,0))</f>
        <v>29</v>
      </c>
      <c r="F50" s="49">
        <f ca="1">IF('FIRE1102a raw'!F50="..","..",ROUND('FIRE1102a raw'!F50,0))</f>
        <v>115</v>
      </c>
      <c r="G50" s="49">
        <f ca="1">IF('FIRE1102a raw'!G50="..","..",ROUND('FIRE1102a raw'!G50,0))</f>
        <v>46</v>
      </c>
      <c r="H50" s="49">
        <f ca="1">IF('FIRE1102a raw'!H50="..","..",ROUND('FIRE1102a raw'!H50,0))</f>
        <v>397</v>
      </c>
      <c r="I50" s="14">
        <f ca="1">IF('FIRE1102a raw'!I50="..","..",ROUND('FIRE1102a raw'!I50,0))</f>
        <v>607</v>
      </c>
      <c r="J50" s="4"/>
      <c r="L50" s="10"/>
      <c r="M50" s="10"/>
      <c r="O50" s="10"/>
      <c r="P50" s="10"/>
      <c r="R50" s="12"/>
      <c r="S50" s="12"/>
      <c r="T50" s="12"/>
      <c r="U50" s="12"/>
      <c r="V50" s="12"/>
      <c r="X50" s="11"/>
      <c r="Y50" s="11"/>
      <c r="Z50" s="11"/>
      <c r="AA50" s="11"/>
      <c r="AB50" s="11"/>
      <c r="AC50" s="11"/>
      <c r="AD50" s="11"/>
      <c r="AE50" s="11"/>
      <c r="AF50" s="11"/>
      <c r="AG50" s="11"/>
      <c r="AH50" s="11"/>
    </row>
    <row r="51" spans="1:34" s="5" customFormat="1" ht="15" customHeight="1" x14ac:dyDescent="0.35">
      <c r="A51" s="4" t="s">
        <v>44</v>
      </c>
      <c r="B51" s="49">
        <f ca="1">IF('FIRE1102a raw'!B51="..","..",ROUND('FIRE1102a raw'!B51,0))</f>
        <v>3</v>
      </c>
      <c r="C51" s="49">
        <f ca="1">IF('FIRE1102a raw'!C51="..","..",ROUND('FIRE1102a raw'!C51,0))</f>
        <v>3</v>
      </c>
      <c r="D51" s="49">
        <f ca="1">IF('FIRE1102a raw'!D51="..","..",ROUND('FIRE1102a raw'!D51,0))</f>
        <v>10</v>
      </c>
      <c r="E51" s="49">
        <f ca="1">IF('FIRE1102a raw'!E51="..","..",ROUND('FIRE1102a raw'!E51,0))</f>
        <v>24</v>
      </c>
      <c r="F51" s="49">
        <f ca="1">IF('FIRE1102a raw'!F51="..","..",ROUND('FIRE1102a raw'!F51,0))</f>
        <v>84</v>
      </c>
      <c r="G51" s="49">
        <f ca="1">IF('FIRE1102a raw'!G51="..","..",ROUND('FIRE1102a raw'!G51,0))</f>
        <v>83</v>
      </c>
      <c r="H51" s="49">
        <f ca="1">IF('FIRE1102a raw'!H51="..","..",ROUND('FIRE1102a raw'!H51,0))</f>
        <v>366</v>
      </c>
      <c r="I51" s="14">
        <f ca="1">IF('FIRE1102a raw'!I51="..","..",ROUND('FIRE1102a raw'!I51,0))</f>
        <v>573</v>
      </c>
      <c r="J51" s="4"/>
      <c r="L51" s="10"/>
      <c r="M51" s="10"/>
      <c r="O51" s="10"/>
      <c r="P51" s="10"/>
      <c r="R51" s="12"/>
      <c r="S51" s="12"/>
      <c r="T51" s="12"/>
      <c r="U51" s="12"/>
      <c r="V51" s="12"/>
      <c r="X51" s="11"/>
      <c r="Y51" s="11"/>
      <c r="Z51" s="11"/>
      <c r="AA51" s="11"/>
      <c r="AB51" s="11"/>
      <c r="AC51" s="11"/>
      <c r="AD51" s="11"/>
      <c r="AE51" s="11"/>
      <c r="AF51" s="11"/>
      <c r="AG51" s="11"/>
      <c r="AH51" s="11"/>
    </row>
    <row r="52" spans="1:34" s="5" customFormat="1" ht="15" customHeight="1" x14ac:dyDescent="0.35">
      <c r="A52" s="4" t="s">
        <v>48</v>
      </c>
      <c r="B52" s="49">
        <f ca="1">IF('FIRE1102a raw'!B52="..","..",ROUND('FIRE1102a raw'!B52,0))</f>
        <v>3</v>
      </c>
      <c r="C52" s="49">
        <f ca="1">IF('FIRE1102a raw'!C52="..","..",ROUND('FIRE1102a raw'!C52,0))</f>
        <v>4</v>
      </c>
      <c r="D52" s="49">
        <f ca="1">IF('FIRE1102a raw'!D52="..","..",ROUND('FIRE1102a raw'!D52,0))</f>
        <v>13</v>
      </c>
      <c r="E52" s="49">
        <f ca="1">IF('FIRE1102a raw'!E52="..","..",ROUND('FIRE1102a raw'!E52,0))</f>
        <v>23</v>
      </c>
      <c r="F52" s="49">
        <f ca="1">IF('FIRE1102a raw'!F52="..","..",ROUND('FIRE1102a raw'!F52,0))</f>
        <v>104</v>
      </c>
      <c r="G52" s="49">
        <f ca="1">IF('FIRE1102a raw'!G52="..","..",ROUND('FIRE1102a raw'!G52,0))</f>
        <v>103</v>
      </c>
      <c r="H52" s="49">
        <f ca="1">IF('FIRE1102a raw'!H52="..","..",ROUND('FIRE1102a raw'!H52,0))</f>
        <v>337</v>
      </c>
      <c r="I52" s="14">
        <f ca="1">IF('FIRE1102a raw'!I52="..","..",ROUND('FIRE1102a raw'!I52,0))</f>
        <v>588</v>
      </c>
      <c r="J52" s="4"/>
      <c r="L52" s="10"/>
      <c r="M52" s="10"/>
      <c r="O52" s="10"/>
      <c r="P52" s="10"/>
      <c r="R52" s="12"/>
      <c r="S52" s="12"/>
      <c r="T52" s="12"/>
      <c r="U52" s="12"/>
      <c r="V52" s="12"/>
      <c r="X52" s="11"/>
      <c r="Y52" s="11"/>
      <c r="Z52" s="11"/>
      <c r="AA52" s="11"/>
      <c r="AB52" s="11"/>
      <c r="AC52" s="11"/>
      <c r="AD52" s="11"/>
      <c r="AE52" s="11"/>
      <c r="AF52" s="11"/>
      <c r="AG52" s="11"/>
      <c r="AH52" s="11"/>
    </row>
    <row r="53" spans="1:34" s="5" customFormat="1" ht="15" customHeight="1" x14ac:dyDescent="0.35">
      <c r="A53" s="4" t="s">
        <v>50</v>
      </c>
      <c r="B53" s="49">
        <f ca="1">IF('FIRE1102a raw'!B53="..","..",ROUND('FIRE1102a raw'!B53,0))</f>
        <v>3</v>
      </c>
      <c r="C53" s="49">
        <f ca="1">IF('FIRE1102a raw'!C53="..","..",ROUND('FIRE1102a raw'!C53,0))</f>
        <v>7</v>
      </c>
      <c r="D53" s="49">
        <f ca="1">IF('FIRE1102a raw'!D53="..","..",ROUND('FIRE1102a raw'!D53,0))</f>
        <v>12</v>
      </c>
      <c r="E53" s="49">
        <f ca="1">IF('FIRE1102a raw'!E53="..","..",ROUND('FIRE1102a raw'!E53,0))</f>
        <v>46</v>
      </c>
      <c r="F53" s="49">
        <f ca="1">IF('FIRE1102a raw'!F53="..","..",ROUND('FIRE1102a raw'!F53,0))</f>
        <v>248</v>
      </c>
      <c r="G53" s="49">
        <f ca="1">IF('FIRE1102a raw'!G53="..","..",ROUND('FIRE1102a raw'!G53,0))</f>
        <v>236</v>
      </c>
      <c r="H53" s="49">
        <f ca="1">IF('FIRE1102a raw'!H53="..","..",ROUND('FIRE1102a raw'!H53,0))</f>
        <v>843</v>
      </c>
      <c r="I53" s="14">
        <f ca="1">IF('FIRE1102a raw'!I53="..","..",ROUND('FIRE1102a raw'!I53,0))</f>
        <v>1395</v>
      </c>
      <c r="J53" s="4"/>
      <c r="L53" s="10"/>
      <c r="M53" s="10"/>
      <c r="O53" s="10"/>
      <c r="P53" s="10"/>
      <c r="R53" s="12"/>
      <c r="S53" s="12"/>
      <c r="T53" s="12"/>
      <c r="U53" s="12"/>
      <c r="V53" s="12"/>
      <c r="X53" s="11"/>
      <c r="Y53" s="11"/>
      <c r="Z53" s="11"/>
      <c r="AA53" s="11"/>
      <c r="AB53" s="11"/>
      <c r="AC53" s="11"/>
      <c r="AD53" s="11"/>
      <c r="AE53" s="11"/>
      <c r="AF53" s="11"/>
      <c r="AG53" s="11"/>
      <c r="AH53" s="11"/>
    </row>
    <row r="54" spans="1:34" s="5" customFormat="1" ht="15" customHeight="1" x14ac:dyDescent="0.35">
      <c r="A54" s="4" t="s">
        <v>52</v>
      </c>
      <c r="B54" s="49">
        <f ca="1">IF('FIRE1102a raw'!B54="..","..",ROUND('FIRE1102a raw'!B54,0))</f>
        <v>3</v>
      </c>
      <c r="C54" s="49">
        <f ca="1">IF('FIRE1102a raw'!C54="..","..",ROUND('FIRE1102a raw'!C54,0))</f>
        <v>3</v>
      </c>
      <c r="D54" s="49">
        <f ca="1">IF('FIRE1102a raw'!D54="..","..",ROUND('FIRE1102a raw'!D54,0))</f>
        <v>10</v>
      </c>
      <c r="E54" s="49">
        <f ca="1">IF('FIRE1102a raw'!E54="..","..",ROUND('FIRE1102a raw'!E54,0))</f>
        <v>43</v>
      </c>
      <c r="F54" s="49">
        <f ca="1">IF('FIRE1102a raw'!F54="..","..",ROUND('FIRE1102a raw'!F54,0))</f>
        <v>159</v>
      </c>
      <c r="G54" s="49">
        <f ca="1">IF('FIRE1102a raw'!G54="..","..",ROUND('FIRE1102a raw'!G54,0))</f>
        <v>143</v>
      </c>
      <c r="H54" s="49">
        <f ca="1">IF('FIRE1102a raw'!H54="..","..",ROUND('FIRE1102a raw'!H54,0))</f>
        <v>590</v>
      </c>
      <c r="I54" s="14">
        <f ca="1">IF('FIRE1102a raw'!I54="..","..",ROUND('FIRE1102a raw'!I54,0))</f>
        <v>950</v>
      </c>
      <c r="J54" s="4"/>
      <c r="L54" s="10"/>
      <c r="M54" s="10"/>
      <c r="N54" s="4"/>
      <c r="O54" s="10"/>
      <c r="P54" s="10"/>
      <c r="R54" s="12"/>
      <c r="S54" s="12"/>
      <c r="T54" s="12"/>
      <c r="U54" s="12"/>
      <c r="V54" s="12"/>
      <c r="X54" s="11"/>
      <c r="Y54" s="11"/>
      <c r="Z54" s="11"/>
      <c r="AA54" s="11"/>
      <c r="AB54" s="11"/>
      <c r="AC54" s="11"/>
      <c r="AD54" s="11"/>
      <c r="AE54" s="11"/>
      <c r="AF54" s="11"/>
      <c r="AG54" s="11"/>
      <c r="AH54" s="11"/>
    </row>
    <row r="55" spans="1:34" s="5" customFormat="1" ht="15" customHeight="1" thickBot="1" x14ac:dyDescent="0.4">
      <c r="A55" s="114" t="s">
        <v>23</v>
      </c>
      <c r="B55" s="49">
        <f ca="1">IF('FIRE1102a raw'!B55="..","..",ROUND('FIRE1102a raw'!B55,0))</f>
        <v>1</v>
      </c>
      <c r="C55" s="49">
        <f ca="1">IF('FIRE1102a raw'!C55="..","..",ROUND('FIRE1102a raw'!C55,0))</f>
        <v>26</v>
      </c>
      <c r="D55" s="49">
        <f ca="1">IF('FIRE1102a raw'!D55="..","..",ROUND('FIRE1102a raw'!D55,0))</f>
        <v>67</v>
      </c>
      <c r="E55" s="49">
        <f ca="1">IF('FIRE1102a raw'!E55="..","..",ROUND('FIRE1102a raw'!E55,0))</f>
        <v>154</v>
      </c>
      <c r="F55" s="49">
        <f ca="1">IF('FIRE1102a raw'!F55="..","..",ROUND('FIRE1102a raw'!F55,0))</f>
        <v>686</v>
      </c>
      <c r="G55" s="49">
        <f ca="1">IF('FIRE1102a raw'!G55="..","..",ROUND('FIRE1102a raw'!G55,0))</f>
        <v>549</v>
      </c>
      <c r="H55" s="49">
        <f ca="1">IF('FIRE1102a raw'!H55="..","..",ROUND('FIRE1102a raw'!H55,0))</f>
        <v>3187</v>
      </c>
      <c r="I55" s="14">
        <f ca="1">IF('FIRE1102a raw'!I55="..","..",ROUND('FIRE1102a raw'!I55,0))</f>
        <v>4671</v>
      </c>
      <c r="J55" s="4"/>
      <c r="L55" s="10"/>
      <c r="M55" s="10"/>
      <c r="N55" s="4"/>
      <c r="O55" s="10"/>
      <c r="P55" s="10"/>
      <c r="R55" s="12"/>
      <c r="S55" s="12"/>
      <c r="T55" s="12"/>
      <c r="U55" s="12"/>
      <c r="V55" s="12"/>
      <c r="X55" s="11"/>
      <c r="Y55" s="11"/>
      <c r="Z55" s="11"/>
      <c r="AA55" s="11"/>
      <c r="AB55" s="11"/>
      <c r="AC55" s="11"/>
      <c r="AD55" s="11"/>
      <c r="AE55" s="11"/>
      <c r="AF55" s="11"/>
      <c r="AG55" s="11"/>
      <c r="AH55" s="11"/>
    </row>
    <row r="56" spans="1:34" s="5" customFormat="1" ht="15" customHeight="1" x14ac:dyDescent="0.35">
      <c r="A56" s="115"/>
      <c r="B56" s="116"/>
      <c r="C56" s="116"/>
      <c r="D56" s="116"/>
      <c r="E56" s="116"/>
      <c r="F56" s="116"/>
      <c r="G56" s="116"/>
      <c r="H56" s="116"/>
      <c r="I56" s="113"/>
      <c r="J56" s="4"/>
      <c r="L56" s="10"/>
      <c r="M56" s="10"/>
      <c r="N56" s="4"/>
      <c r="O56" s="10"/>
      <c r="P56" s="10"/>
      <c r="R56" s="12"/>
      <c r="S56" s="12"/>
      <c r="T56" s="12"/>
      <c r="U56" s="12"/>
      <c r="V56" s="12"/>
      <c r="X56" s="11"/>
      <c r="Y56" s="11"/>
      <c r="Z56" s="11"/>
      <c r="AA56" s="11"/>
      <c r="AB56" s="11"/>
      <c r="AC56" s="11"/>
      <c r="AD56" s="11"/>
      <c r="AE56" s="11"/>
      <c r="AF56" s="11"/>
      <c r="AG56" s="11"/>
      <c r="AH56" s="11"/>
    </row>
    <row r="57" spans="1:34" x14ac:dyDescent="0.35">
      <c r="A57" s="101" t="s">
        <v>111</v>
      </c>
    </row>
    <row r="58" spans="1:34" x14ac:dyDescent="0.35">
      <c r="A58" s="159" t="s">
        <v>112</v>
      </c>
      <c r="B58" s="159"/>
      <c r="C58" s="159"/>
      <c r="D58" s="159"/>
      <c r="E58" s="159"/>
      <c r="F58" s="159"/>
      <c r="G58" s="159"/>
      <c r="H58" s="159"/>
      <c r="I58" s="159"/>
    </row>
    <row r="59" spans="1:34" ht="15" customHeight="1" x14ac:dyDescent="0.35">
      <c r="A59" s="159" t="s">
        <v>144</v>
      </c>
      <c r="B59" s="159"/>
      <c r="C59" s="159"/>
      <c r="D59" s="159"/>
      <c r="E59" s="159"/>
      <c r="F59" s="159"/>
      <c r="G59" s="159"/>
      <c r="H59" s="159"/>
      <c r="I59" s="159"/>
    </row>
    <row r="60" spans="1:34" x14ac:dyDescent="0.35">
      <c r="A60" s="90"/>
    </row>
    <row r="61" spans="1:34" x14ac:dyDescent="0.35">
      <c r="A61" s="4" t="s">
        <v>2</v>
      </c>
    </row>
    <row r="62" spans="1:34" x14ac:dyDescent="0.35">
      <c r="A62" s="162" t="s">
        <v>3</v>
      </c>
      <c r="B62" s="162"/>
      <c r="M62" s="5"/>
    </row>
    <row r="63" spans="1:34" x14ac:dyDescent="0.35">
      <c r="A63" s="17"/>
      <c r="L63" s="4">
        <v>2011</v>
      </c>
    </row>
    <row r="64" spans="1:34" x14ac:dyDescent="0.35">
      <c r="A64" s="159" t="s">
        <v>70</v>
      </c>
      <c r="B64" s="159"/>
      <c r="C64" s="159"/>
      <c r="D64" s="159"/>
      <c r="E64" s="159"/>
      <c r="F64" s="159"/>
      <c r="L64" s="4">
        <v>2012</v>
      </c>
    </row>
    <row r="65" spans="1:12" x14ac:dyDescent="0.35">
      <c r="L65" s="4">
        <v>2013</v>
      </c>
    </row>
    <row r="66" spans="1:12" x14ac:dyDescent="0.35">
      <c r="A66" s="4" t="s">
        <v>4</v>
      </c>
      <c r="F66" s="5"/>
      <c r="G66" s="161" t="s">
        <v>199</v>
      </c>
      <c r="H66" s="161"/>
      <c r="I66" s="161"/>
      <c r="L66" s="4">
        <v>2014</v>
      </c>
    </row>
    <row r="67" spans="1:12" ht="14.5" customHeight="1" x14ac:dyDescent="0.35">
      <c r="A67" s="147" t="s">
        <v>194</v>
      </c>
      <c r="D67" s="145"/>
      <c r="F67" s="146"/>
      <c r="G67" s="161" t="s">
        <v>193</v>
      </c>
      <c r="H67" s="161"/>
      <c r="I67" s="161"/>
      <c r="L67" s="4">
        <v>2015</v>
      </c>
    </row>
    <row r="68" spans="1:12" x14ac:dyDescent="0.35">
      <c r="L68" s="4">
        <v>2016</v>
      </c>
    </row>
    <row r="69" spans="1:12" x14ac:dyDescent="0.35">
      <c r="L69" s="4">
        <v>2017</v>
      </c>
    </row>
    <row r="70" spans="1:12" x14ac:dyDescent="0.35">
      <c r="L70" s="4">
        <v>2018</v>
      </c>
    </row>
    <row r="71" spans="1:12" x14ac:dyDescent="0.35">
      <c r="L71" s="4">
        <v>2019</v>
      </c>
    </row>
  </sheetData>
  <mergeCells count="9">
    <mergeCell ref="G67:I67"/>
    <mergeCell ref="A62:B62"/>
    <mergeCell ref="A1:I1"/>
    <mergeCell ref="B5:G5"/>
    <mergeCell ref="A4:H4"/>
    <mergeCell ref="A64:F64"/>
    <mergeCell ref="A59:I59"/>
    <mergeCell ref="A58:I58"/>
    <mergeCell ref="G66:I66"/>
  </mergeCells>
  <dataValidations count="1">
    <dataValidation type="list" allowBlank="1" showInputMessage="1" showErrorMessage="1" sqref="A4:H4" xr:uid="{00000000-0002-0000-1C00-000000000000}">
      <formula1>$L$63:$L$71</formula1>
    </dataValidation>
  </dataValidations>
  <hyperlinks>
    <hyperlink ref="A62" r:id="rId1" xr:uid="{00000000-0004-0000-1C00-000000000000}"/>
    <hyperlink ref="A67" r:id="rId2" xr:uid="{00000000-0004-0000-1C00-000001000000}"/>
    <hyperlink ref="G66" r:id="rId3" display="Updated alongside Fire and rescue workforce and pensions statistics" xr:uid="{4CCE64AA-922F-4B7B-A006-69C9BE3C3B1B}"/>
    <hyperlink ref="G67:I67" r:id="rId4" display="Next Update: Autumn 2020" xr:uid="{44B5DDF8-6685-42AD-B5B9-3EF3CCD10376}"/>
  </hyperlinks>
  <pageMargins left="0.7" right="0.7" top="0.75" bottom="0.75" header="0.3" footer="0.3"/>
  <pageSetup paperSize="9" orientation="portrait" r:id="rId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dimension ref="A1:AG79"/>
  <sheetViews>
    <sheetView zoomScaleNormal="100" workbookViewId="0">
      <pane ySplit="7" topLeftCell="A8" activePane="bottomLeft" state="frozen"/>
      <selection pane="bottomLeft" activeCell="A4" sqref="A4:F4"/>
    </sheetView>
  </sheetViews>
  <sheetFormatPr defaultColWidth="9.1796875" defaultRowHeight="14.5" x14ac:dyDescent="0.35"/>
  <cols>
    <col min="1" max="1" width="50.7265625" style="4" customWidth="1"/>
    <col min="2" max="7" width="12.7265625" style="4" customWidth="1"/>
    <col min="8" max="9" width="9.1796875" style="4" customWidth="1"/>
    <col min="10" max="10" width="9.1796875" style="4" hidden="1" customWidth="1"/>
    <col min="11" max="11" width="9.1796875" style="4" customWidth="1"/>
    <col min="12" max="12" width="10" style="4" bestFit="1" customWidth="1"/>
    <col min="13" max="13" width="11.81640625" style="4" customWidth="1"/>
    <col min="14" max="18" width="9.1796875" style="4"/>
    <col min="19" max="19" width="11" style="4" customWidth="1"/>
    <col min="20" max="16384" width="9.1796875" style="4"/>
  </cols>
  <sheetData>
    <row r="1" spans="1:33" s="3" customFormat="1" ht="33.5" customHeight="1" x14ac:dyDescent="0.5">
      <c r="A1" s="163" t="s">
        <v>145</v>
      </c>
      <c r="B1" s="163"/>
      <c r="C1" s="163"/>
      <c r="D1" s="163"/>
      <c r="E1" s="163"/>
      <c r="F1" s="163"/>
      <c r="G1" s="163"/>
      <c r="H1" s="1"/>
      <c r="I1" s="1"/>
      <c r="J1" s="2"/>
      <c r="K1" s="2"/>
    </row>
    <row r="2" spans="1:33" s="5" customFormat="1" ht="15" customHeight="1" x14ac:dyDescent="0.35">
      <c r="A2" s="4"/>
      <c r="B2" s="4"/>
      <c r="C2" s="4"/>
      <c r="D2" s="4"/>
      <c r="E2" s="4"/>
      <c r="F2" s="4"/>
      <c r="G2" s="4"/>
      <c r="H2" s="4"/>
      <c r="I2" s="4"/>
      <c r="J2" s="4"/>
      <c r="K2" s="4"/>
    </row>
    <row r="3" spans="1:33" s="5" customFormat="1" ht="15" customHeight="1" x14ac:dyDescent="0.35">
      <c r="A3" s="31" t="s">
        <v>62</v>
      </c>
      <c r="B3" s="32"/>
      <c r="C3" s="32"/>
      <c r="D3" s="32"/>
      <c r="E3" s="32"/>
      <c r="F3" s="32"/>
      <c r="G3" s="32"/>
      <c r="H3" s="4"/>
      <c r="I3" s="4"/>
      <c r="J3" s="4"/>
      <c r="K3" s="4"/>
    </row>
    <row r="4" spans="1:33" s="5" customFormat="1" ht="15" customHeight="1" x14ac:dyDescent="0.35">
      <c r="A4" s="158">
        <v>2019</v>
      </c>
      <c r="B4" s="158"/>
      <c r="C4" s="158"/>
      <c r="D4" s="158"/>
      <c r="E4" s="158"/>
      <c r="F4" s="158"/>
      <c r="G4" s="32"/>
      <c r="H4" s="4"/>
      <c r="I4" s="4"/>
      <c r="J4" s="4"/>
      <c r="K4" s="4"/>
      <c r="L4" s="4"/>
    </row>
    <row r="5" spans="1:33" s="5" customFormat="1" ht="15" thickBot="1" x14ac:dyDescent="0.4">
      <c r="A5" s="4"/>
      <c r="B5" s="157"/>
      <c r="C5" s="157"/>
      <c r="D5" s="157"/>
      <c r="E5" s="157"/>
      <c r="F5" s="157"/>
      <c r="G5" s="157"/>
      <c r="H5" s="4"/>
      <c r="I5" s="4"/>
      <c r="J5" s="6"/>
      <c r="K5" s="6"/>
      <c r="M5" s="6"/>
      <c r="N5" s="6"/>
      <c r="P5" s="6"/>
      <c r="Q5" s="6"/>
      <c r="R5" s="6"/>
      <c r="S5" s="6"/>
      <c r="T5" s="6"/>
      <c r="W5" s="7"/>
    </row>
    <row r="6" spans="1:33" s="9" customFormat="1" ht="44" thickBot="1" x14ac:dyDescent="0.4">
      <c r="A6" s="8" t="s">
        <v>142</v>
      </c>
      <c r="B6" s="64" t="s">
        <v>74</v>
      </c>
      <c r="C6" s="64" t="s">
        <v>75</v>
      </c>
      <c r="D6" s="64" t="s">
        <v>76</v>
      </c>
      <c r="E6" s="64" t="s">
        <v>77</v>
      </c>
      <c r="F6" s="64" t="s">
        <v>118</v>
      </c>
      <c r="G6" s="103" t="s">
        <v>1</v>
      </c>
      <c r="L6" s="4"/>
    </row>
    <row r="7" spans="1:33" s="5" customFormat="1" ht="15" customHeight="1" x14ac:dyDescent="0.35">
      <c r="A7" s="34" t="s">
        <v>0</v>
      </c>
      <c r="B7" s="14">
        <f ca="1">IF('FIRE1102b raw'!B7="..","..",ROUND('FIRE1102b raw'!B7,0))</f>
        <v>0</v>
      </c>
      <c r="C7" s="14">
        <f ca="1">IF('FIRE1102b raw'!C7="..","..",ROUND('FIRE1102b raw'!C7,0))</f>
        <v>23</v>
      </c>
      <c r="D7" s="14">
        <f ca="1">IF('FIRE1102b raw'!D7="..","..",ROUND('FIRE1102b raw'!D7,0))</f>
        <v>815</v>
      </c>
      <c r="E7" s="14">
        <f ca="1">IF('FIRE1102b raw'!E7="..","..",ROUND('FIRE1102b raw'!E7,0))</f>
        <v>1784</v>
      </c>
      <c r="F7" s="14">
        <f ca="1">IF('FIRE1102b raw'!F7="..","..",ROUND('FIRE1102b raw'!F7,0))</f>
        <v>6940</v>
      </c>
      <c r="G7" s="14">
        <f ca="1">IF('FIRE1102b raw'!G7="..","..",ROUND('FIRE1102b raw'!G7,0))</f>
        <v>9563</v>
      </c>
      <c r="H7" s="4"/>
      <c r="I7" s="4"/>
      <c r="J7" s="10"/>
      <c r="K7" s="10"/>
      <c r="M7" s="10"/>
      <c r="N7" s="10"/>
      <c r="P7" s="10"/>
      <c r="Q7" s="10"/>
      <c r="R7" s="10"/>
      <c r="S7" s="10"/>
      <c r="T7" s="10"/>
      <c r="V7" s="11"/>
      <c r="W7" s="11"/>
      <c r="X7" s="11"/>
      <c r="Y7" s="11"/>
      <c r="Z7" s="11"/>
      <c r="AA7" s="11"/>
      <c r="AB7" s="11"/>
      <c r="AC7" s="11"/>
      <c r="AD7" s="11"/>
      <c r="AE7" s="11"/>
      <c r="AF7" s="11"/>
      <c r="AG7" s="12"/>
    </row>
    <row r="8" spans="1:33" s="5" customFormat="1" ht="15" customHeight="1" x14ac:dyDescent="0.35">
      <c r="A8" s="35" t="s">
        <v>6</v>
      </c>
      <c r="B8" s="14">
        <f ca="1">IF('FIRE1102b raw'!B8="..","..",ROUND('FIRE1102b raw'!B8,0))</f>
        <v>0</v>
      </c>
      <c r="C8" s="14">
        <f ca="1">IF('FIRE1102b raw'!C8="..","..",ROUND('FIRE1102b raw'!C8,0))</f>
        <v>22</v>
      </c>
      <c r="D8" s="14">
        <f ca="1">IF('FIRE1102b raw'!D8="..","..",ROUND('FIRE1102b raw'!D8,0))</f>
        <v>779</v>
      </c>
      <c r="E8" s="14">
        <f ca="1">IF('FIRE1102b raw'!E8="..","..",ROUND('FIRE1102b raw'!E8,0))</f>
        <v>1752</v>
      </c>
      <c r="F8" s="14">
        <f ca="1">IF('FIRE1102b raw'!F8="..","..",ROUND('FIRE1102b raw'!F8,0))</f>
        <v>6765</v>
      </c>
      <c r="G8" s="14">
        <f ca="1">IF('FIRE1102b raw'!G8="..","..",ROUND('FIRE1102b raw'!G8,0))</f>
        <v>9318</v>
      </c>
      <c r="H8" s="4"/>
      <c r="J8" s="10"/>
      <c r="K8" s="10"/>
      <c r="M8" s="10"/>
      <c r="N8" s="10"/>
      <c r="P8" s="12"/>
      <c r="Q8" s="12"/>
      <c r="R8" s="12"/>
      <c r="S8" s="12"/>
      <c r="T8" s="12"/>
      <c r="V8" s="11"/>
      <c r="W8" s="11"/>
      <c r="X8" s="11"/>
      <c r="Y8" s="11"/>
      <c r="Z8" s="11"/>
      <c r="AA8" s="11"/>
      <c r="AB8" s="11"/>
      <c r="AC8" s="11"/>
      <c r="AD8" s="11"/>
      <c r="AE8" s="11"/>
      <c r="AF8" s="11"/>
    </row>
    <row r="9" spans="1:33" s="5" customFormat="1" ht="15" customHeight="1" x14ac:dyDescent="0.35">
      <c r="A9" s="4" t="s">
        <v>7</v>
      </c>
      <c r="B9" s="49">
        <f ca="1">IF('FIRE1102b raw'!B9="..","..",ROUND('FIRE1102b raw'!B9,0))</f>
        <v>0</v>
      </c>
      <c r="C9" s="49">
        <f ca="1">IF('FIRE1102b raw'!C9="..","..",ROUND('FIRE1102b raw'!C9,0))</f>
        <v>0</v>
      </c>
      <c r="D9" s="49">
        <f ca="1">IF('FIRE1102b raw'!D9="..","..",ROUND('FIRE1102b raw'!D9,0))</f>
        <v>7</v>
      </c>
      <c r="E9" s="49">
        <f ca="1">IF('FIRE1102b raw'!E9="..","..",ROUND('FIRE1102b raw'!E9,0))</f>
        <v>25</v>
      </c>
      <c r="F9" s="49">
        <f ca="1">IF('FIRE1102b raw'!F9="..","..",ROUND('FIRE1102b raw'!F9,0))</f>
        <v>106</v>
      </c>
      <c r="G9" s="14">
        <f ca="1">IF('FIRE1102b raw'!G9="..","..",ROUND('FIRE1102b raw'!G9,0))</f>
        <v>139</v>
      </c>
      <c r="H9" s="4"/>
      <c r="J9" s="10"/>
      <c r="K9" s="10"/>
      <c r="M9" s="10"/>
      <c r="N9" s="10"/>
      <c r="P9" s="12"/>
      <c r="Q9" s="12"/>
      <c r="R9" s="12"/>
      <c r="S9" s="12"/>
      <c r="T9" s="12"/>
      <c r="V9" s="11"/>
      <c r="W9" s="11"/>
      <c r="X9" s="11"/>
      <c r="Y9" s="11"/>
      <c r="Z9" s="11"/>
      <c r="AA9" s="11"/>
      <c r="AB9" s="11"/>
      <c r="AC9" s="11"/>
      <c r="AD9" s="11"/>
      <c r="AE9" s="11"/>
      <c r="AF9" s="11"/>
    </row>
    <row r="10" spans="1:33" s="5" customFormat="1" ht="15" customHeight="1" x14ac:dyDescent="0.35">
      <c r="A10" s="4" t="s">
        <v>8</v>
      </c>
      <c r="B10" s="49">
        <f ca="1">IF('FIRE1102b raw'!B10="..","..",ROUND('FIRE1102b raw'!B10,0))</f>
        <v>0</v>
      </c>
      <c r="C10" s="49">
        <f ca="1">IF('FIRE1102b raw'!C10="..","..",ROUND('FIRE1102b raw'!C10,0))</f>
        <v>0</v>
      </c>
      <c r="D10" s="49">
        <f ca="1">IF('FIRE1102b raw'!D10="..","..",ROUND('FIRE1102b raw'!D10,0))</f>
        <v>10</v>
      </c>
      <c r="E10" s="49">
        <f ca="1">IF('FIRE1102b raw'!E10="..","..",ROUND('FIRE1102b raw'!E10,0))</f>
        <v>18</v>
      </c>
      <c r="F10" s="49">
        <f ca="1">IF('FIRE1102b raw'!F10="..","..",ROUND('FIRE1102b raw'!F10,0))</f>
        <v>90</v>
      </c>
      <c r="G10" s="14">
        <f ca="1">IF('FIRE1102b raw'!G10="..","..",ROUND('FIRE1102b raw'!G10,0))</f>
        <v>117</v>
      </c>
      <c r="H10" s="4"/>
      <c r="J10" s="10"/>
      <c r="K10" s="10"/>
      <c r="M10" s="10"/>
      <c r="N10" s="10"/>
      <c r="P10" s="12"/>
      <c r="Q10" s="12"/>
      <c r="R10" s="12"/>
      <c r="S10" s="12"/>
      <c r="T10" s="12"/>
      <c r="V10" s="11"/>
      <c r="W10" s="11"/>
      <c r="X10" s="11"/>
      <c r="Y10" s="11"/>
      <c r="Z10" s="11"/>
      <c r="AA10" s="11"/>
      <c r="AB10" s="11"/>
      <c r="AC10" s="11"/>
      <c r="AD10" s="11"/>
      <c r="AE10" s="11"/>
      <c r="AF10" s="11"/>
    </row>
    <row r="11" spans="1:33" s="5" customFormat="1" ht="15" customHeight="1" x14ac:dyDescent="0.35">
      <c r="A11" s="4" t="s">
        <v>9</v>
      </c>
      <c r="B11" s="49">
        <f ca="1">IF('FIRE1102b raw'!B11="..","..",ROUND('FIRE1102b raw'!B11,0))</f>
        <v>0</v>
      </c>
      <c r="C11" s="49">
        <f ca="1">IF('FIRE1102b raw'!C11="..","..",ROUND('FIRE1102b raw'!C11,0))</f>
        <v>0</v>
      </c>
      <c r="D11" s="49">
        <f ca="1">IF('FIRE1102b raw'!D11="..","..",ROUND('FIRE1102b raw'!D11,0))</f>
        <v>6</v>
      </c>
      <c r="E11" s="49">
        <f ca="1">IF('FIRE1102b raw'!E11="..","..",ROUND('FIRE1102b raw'!E11,0))</f>
        <v>7</v>
      </c>
      <c r="F11" s="49">
        <f ca="1">IF('FIRE1102b raw'!F11="..","..",ROUND('FIRE1102b raw'!F11,0))</f>
        <v>44</v>
      </c>
      <c r="G11" s="14">
        <f ca="1">IF('FIRE1102b raw'!G11="..","..",ROUND('FIRE1102b raw'!G11,0))</f>
        <v>57</v>
      </c>
      <c r="H11" s="4"/>
      <c r="J11" s="10"/>
      <c r="K11" s="10"/>
      <c r="M11" s="10"/>
      <c r="N11" s="10"/>
      <c r="P11" s="12"/>
      <c r="Q11" s="12"/>
      <c r="R11" s="12"/>
      <c r="S11" s="12"/>
      <c r="T11" s="12"/>
      <c r="V11" s="11"/>
      <c r="W11" s="11"/>
      <c r="X11" s="11"/>
      <c r="Y11" s="11"/>
      <c r="Z11" s="11"/>
      <c r="AA11" s="11"/>
      <c r="AB11" s="11"/>
      <c r="AC11" s="11"/>
      <c r="AD11" s="11"/>
      <c r="AE11" s="11"/>
      <c r="AF11" s="11"/>
    </row>
    <row r="12" spans="1:33" s="5" customFormat="1" ht="15" customHeight="1" x14ac:dyDescent="0.35">
      <c r="A12" s="4" t="s">
        <v>10</v>
      </c>
      <c r="B12" s="49">
        <f ca="1">IF('FIRE1102b raw'!B12="..","..",ROUND('FIRE1102b raw'!B12,0))</f>
        <v>0</v>
      </c>
      <c r="C12" s="49">
        <f ca="1">IF('FIRE1102b raw'!C12="..","..",ROUND('FIRE1102b raw'!C12,0))</f>
        <v>0</v>
      </c>
      <c r="D12" s="49">
        <f ca="1">IF('FIRE1102b raw'!D12="..","..",ROUND('FIRE1102b raw'!D12,0))</f>
        <v>5</v>
      </c>
      <c r="E12" s="49">
        <f ca="1">IF('FIRE1102b raw'!E12="..","..",ROUND('FIRE1102b raw'!E12,0))</f>
        <v>17</v>
      </c>
      <c r="F12" s="49">
        <f ca="1">IF('FIRE1102b raw'!F12="..","..",ROUND('FIRE1102b raw'!F12,0))</f>
        <v>66</v>
      </c>
      <c r="G12" s="14">
        <f ca="1">IF('FIRE1102b raw'!G12="..","..",ROUND('FIRE1102b raw'!G12,0))</f>
        <v>88</v>
      </c>
      <c r="H12" s="4"/>
      <c r="J12" s="10"/>
      <c r="K12" s="10"/>
      <c r="M12" s="10"/>
      <c r="N12" s="10"/>
      <c r="P12" s="12"/>
      <c r="Q12" s="12"/>
      <c r="R12" s="12"/>
      <c r="S12" s="12"/>
      <c r="T12" s="12"/>
      <c r="V12" s="11"/>
      <c r="W12" s="11"/>
      <c r="X12" s="11"/>
      <c r="Y12" s="11"/>
      <c r="Z12" s="11"/>
      <c r="AA12" s="11"/>
      <c r="AB12" s="11"/>
      <c r="AC12" s="11"/>
      <c r="AD12" s="11"/>
      <c r="AE12" s="11"/>
      <c r="AF12" s="11"/>
    </row>
    <row r="13" spans="1:33" s="5" customFormat="1" ht="15" customHeight="1" x14ac:dyDescent="0.35">
      <c r="A13" s="4" t="s">
        <v>11</v>
      </c>
      <c r="B13" s="49">
        <f ca="1">IF('FIRE1102b raw'!B13="..","..",ROUND('FIRE1102b raw'!B13,0))</f>
        <v>0</v>
      </c>
      <c r="C13" s="49">
        <f ca="1">IF('FIRE1102b raw'!C13="..","..",ROUND('FIRE1102b raw'!C13,0))</f>
        <v>0</v>
      </c>
      <c r="D13" s="49">
        <f ca="1">IF('FIRE1102b raw'!D13="..","..",ROUND('FIRE1102b raw'!D13,0))</f>
        <v>12</v>
      </c>
      <c r="E13" s="49">
        <f ca="1">IF('FIRE1102b raw'!E13="..","..",ROUND('FIRE1102b raw'!E13,0))</f>
        <v>27</v>
      </c>
      <c r="F13" s="49">
        <f ca="1">IF('FIRE1102b raw'!F13="..","..",ROUND('FIRE1102b raw'!F13,0))</f>
        <v>68</v>
      </c>
      <c r="G13" s="14">
        <f ca="1">IF('FIRE1102b raw'!G13="..","..",ROUND('FIRE1102b raw'!G13,0))</f>
        <v>107</v>
      </c>
      <c r="H13" s="4"/>
      <c r="J13" s="10"/>
      <c r="K13" s="10"/>
      <c r="M13" s="10"/>
      <c r="N13" s="10"/>
      <c r="P13" s="12"/>
      <c r="Q13" s="12"/>
      <c r="R13" s="12"/>
      <c r="S13" s="12"/>
      <c r="T13" s="12"/>
      <c r="V13" s="11"/>
      <c r="W13" s="11"/>
      <c r="X13" s="11"/>
      <c r="Y13" s="11"/>
      <c r="Z13" s="11"/>
      <c r="AA13" s="11"/>
      <c r="AB13" s="11"/>
      <c r="AC13" s="11"/>
      <c r="AD13" s="11"/>
      <c r="AE13" s="11"/>
      <c r="AF13" s="11"/>
    </row>
    <row r="14" spans="1:33" s="5" customFormat="1" ht="15" customHeight="1" x14ac:dyDescent="0.35">
      <c r="A14" s="4" t="s">
        <v>12</v>
      </c>
      <c r="B14" s="49">
        <f ca="1">IF('FIRE1102b raw'!B14="..","..",ROUND('FIRE1102b raw'!B14,0))</f>
        <v>0</v>
      </c>
      <c r="C14" s="49">
        <f ca="1">IF('FIRE1102b raw'!C14="..","..",ROUND('FIRE1102b raw'!C14,0))</f>
        <v>0</v>
      </c>
      <c r="D14" s="49">
        <f ca="1">IF('FIRE1102b raw'!D14="..","..",ROUND('FIRE1102b raw'!D14,0))</f>
        <v>10</v>
      </c>
      <c r="E14" s="49">
        <f ca="1">IF('FIRE1102b raw'!E14="..","..",ROUND('FIRE1102b raw'!E14,0))</f>
        <v>30</v>
      </c>
      <c r="F14" s="49">
        <f ca="1">IF('FIRE1102b raw'!F14="..","..",ROUND('FIRE1102b raw'!F14,0))</f>
        <v>110</v>
      </c>
      <c r="G14" s="14">
        <f ca="1">IF('FIRE1102b raw'!G14="..","..",ROUND('FIRE1102b raw'!G14,0))</f>
        <v>150</v>
      </c>
      <c r="H14" s="4"/>
      <c r="J14" s="10"/>
      <c r="K14" s="10"/>
      <c r="M14" s="10"/>
      <c r="N14" s="10"/>
      <c r="P14" s="12"/>
      <c r="Q14" s="12"/>
      <c r="R14" s="12"/>
      <c r="S14" s="12"/>
      <c r="T14" s="12"/>
      <c r="V14" s="11"/>
      <c r="W14" s="11"/>
      <c r="X14" s="11"/>
      <c r="Y14" s="11"/>
      <c r="Z14" s="11"/>
      <c r="AA14" s="11"/>
      <c r="AB14" s="11"/>
      <c r="AC14" s="11"/>
      <c r="AD14" s="11"/>
      <c r="AE14" s="11"/>
      <c r="AF14" s="11"/>
    </row>
    <row r="15" spans="1:33" s="5" customFormat="1" ht="15" customHeight="1" x14ac:dyDescent="0.35">
      <c r="A15" s="4" t="s">
        <v>13</v>
      </c>
      <c r="B15" s="49">
        <f ca="1">IF('FIRE1102b raw'!B15="..","..",ROUND('FIRE1102b raw'!B15,0))</f>
        <v>0</v>
      </c>
      <c r="C15" s="49">
        <f ca="1">IF('FIRE1102b raw'!C15="..","..",ROUND('FIRE1102b raw'!C15,0))</f>
        <v>0</v>
      </c>
      <c r="D15" s="49">
        <f ca="1">IF('FIRE1102b raw'!D15="..","..",ROUND('FIRE1102b raw'!D15,0))</f>
        <v>4</v>
      </c>
      <c r="E15" s="49">
        <f ca="1">IF('FIRE1102b raw'!E15="..","..",ROUND('FIRE1102b raw'!E15,0))</f>
        <v>11</v>
      </c>
      <c r="F15" s="49">
        <f ca="1">IF('FIRE1102b raw'!F15="..","..",ROUND('FIRE1102b raw'!F15,0))</f>
        <v>71</v>
      </c>
      <c r="G15" s="14">
        <f ca="1">IF('FIRE1102b raw'!G15="..","..",ROUND('FIRE1102b raw'!G15,0))</f>
        <v>86</v>
      </c>
      <c r="H15" s="4"/>
      <c r="J15" s="10"/>
      <c r="K15" s="10"/>
      <c r="M15" s="10"/>
      <c r="N15" s="10"/>
      <c r="P15" s="12"/>
      <c r="Q15" s="12"/>
      <c r="R15" s="12"/>
      <c r="S15" s="12"/>
      <c r="T15" s="12"/>
      <c r="V15" s="11"/>
      <c r="W15" s="11"/>
      <c r="X15" s="11"/>
      <c r="Y15" s="11"/>
      <c r="Z15" s="11"/>
      <c r="AA15" s="11"/>
      <c r="AB15" s="11"/>
      <c r="AC15" s="11"/>
      <c r="AD15" s="11"/>
      <c r="AE15" s="11"/>
      <c r="AF15" s="11"/>
    </row>
    <row r="16" spans="1:33" s="5" customFormat="1" ht="15" customHeight="1" x14ac:dyDescent="0.35">
      <c r="A16" s="4" t="s">
        <v>14</v>
      </c>
      <c r="B16" s="49">
        <f ca="1">IF('FIRE1102b raw'!B16="..","..",ROUND('FIRE1102b raw'!B16,0))</f>
        <v>0</v>
      </c>
      <c r="C16" s="49">
        <f ca="1">IF('FIRE1102b raw'!C16="..","..",ROUND('FIRE1102b raw'!C16,0))</f>
        <v>15</v>
      </c>
      <c r="D16" s="49">
        <f ca="1">IF('FIRE1102b raw'!D16="..","..",ROUND('FIRE1102b raw'!D16,0))</f>
        <v>26</v>
      </c>
      <c r="E16" s="49">
        <f ca="1">IF('FIRE1102b raw'!E16="..","..",ROUND('FIRE1102b raw'!E16,0))</f>
        <v>45</v>
      </c>
      <c r="F16" s="49">
        <f ca="1">IF('FIRE1102b raw'!F16="..","..",ROUND('FIRE1102b raw'!F16,0))</f>
        <v>287</v>
      </c>
      <c r="G16" s="14">
        <f ca="1">IF('FIRE1102b raw'!G16="..","..",ROUND('FIRE1102b raw'!G16,0))</f>
        <v>373</v>
      </c>
      <c r="H16" s="4"/>
      <c r="J16" s="10"/>
      <c r="K16" s="10"/>
      <c r="M16" s="10"/>
      <c r="N16" s="10"/>
      <c r="P16" s="12"/>
      <c r="Q16" s="12"/>
      <c r="R16" s="12"/>
      <c r="S16" s="12"/>
      <c r="T16" s="12"/>
      <c r="V16" s="11"/>
      <c r="W16" s="11"/>
      <c r="X16" s="11"/>
      <c r="Y16" s="11"/>
      <c r="Z16" s="11"/>
      <c r="AA16" s="11"/>
      <c r="AB16" s="11"/>
      <c r="AC16" s="11"/>
      <c r="AD16" s="11"/>
      <c r="AE16" s="11"/>
      <c r="AF16" s="11"/>
    </row>
    <row r="17" spans="1:32" s="5" customFormat="1" ht="15" customHeight="1" x14ac:dyDescent="0.35">
      <c r="A17" s="4" t="s">
        <v>15</v>
      </c>
      <c r="B17" s="49">
        <f ca="1">IF('FIRE1102b raw'!B17="..","..",ROUND('FIRE1102b raw'!B17,0))</f>
        <v>0</v>
      </c>
      <c r="C17" s="49">
        <f ca="1">IF('FIRE1102b raw'!C17="..","..",ROUND('FIRE1102b raw'!C17,0))</f>
        <v>0</v>
      </c>
      <c r="D17" s="49">
        <f ca="1">IF('FIRE1102b raw'!D17="..","..",ROUND('FIRE1102b raw'!D17,0))</f>
        <v>8</v>
      </c>
      <c r="E17" s="49">
        <f ca="1">IF('FIRE1102b raw'!E17="..","..",ROUND('FIRE1102b raw'!E17,0))</f>
        <v>80</v>
      </c>
      <c r="F17" s="49">
        <f ca="1">IF('FIRE1102b raw'!F17="..","..",ROUND('FIRE1102b raw'!F17,0))</f>
        <v>202</v>
      </c>
      <c r="G17" s="14">
        <f ca="1">IF('FIRE1102b raw'!G17="..","..",ROUND('FIRE1102b raw'!G17,0))</f>
        <v>290</v>
      </c>
      <c r="H17" s="4"/>
      <c r="J17" s="10"/>
      <c r="K17" s="10"/>
      <c r="M17" s="10"/>
      <c r="N17" s="10"/>
      <c r="P17" s="12"/>
      <c r="Q17" s="12"/>
      <c r="R17" s="12"/>
      <c r="S17" s="12"/>
      <c r="T17" s="12"/>
      <c r="V17" s="11"/>
      <c r="W17" s="11"/>
      <c r="X17" s="11"/>
      <c r="Y17" s="11"/>
      <c r="Z17" s="11"/>
      <c r="AA17" s="11"/>
      <c r="AB17" s="11"/>
      <c r="AC17" s="11"/>
      <c r="AD17" s="11"/>
      <c r="AE17" s="11"/>
      <c r="AF17" s="11"/>
    </row>
    <row r="18" spans="1:32" s="5" customFormat="1" ht="15" customHeight="1" x14ac:dyDescent="0.35">
      <c r="A18" s="19" t="s">
        <v>16</v>
      </c>
      <c r="B18" s="49">
        <f ca="1">IF('FIRE1102b raw'!B18="..","..",ROUND('FIRE1102b raw'!B18,0))</f>
        <v>0</v>
      </c>
      <c r="C18" s="49">
        <f ca="1">IF('FIRE1102b raw'!C18="..","..",ROUND('FIRE1102b raw'!C18,0))</f>
        <v>0</v>
      </c>
      <c r="D18" s="49">
        <f ca="1">IF('FIRE1102b raw'!D18="..","..",ROUND('FIRE1102b raw'!D18,0))</f>
        <v>22</v>
      </c>
      <c r="E18" s="49">
        <f ca="1">IF('FIRE1102b raw'!E18="..","..",ROUND('FIRE1102b raw'!E18,0))</f>
        <v>42</v>
      </c>
      <c r="F18" s="49">
        <f ca="1">IF('FIRE1102b raw'!F18="..","..",ROUND('FIRE1102b raw'!F18,0))</f>
        <v>149</v>
      </c>
      <c r="G18" s="14">
        <f ca="1">IF('FIRE1102b raw'!G18="..","..",ROUND('FIRE1102b raw'!G18,0))</f>
        <v>213</v>
      </c>
      <c r="H18" s="4"/>
      <c r="J18" s="10"/>
      <c r="K18" s="10"/>
      <c r="M18" s="10"/>
      <c r="N18" s="10"/>
      <c r="P18" s="12"/>
      <c r="Q18" s="12"/>
      <c r="R18" s="12"/>
      <c r="S18" s="12"/>
      <c r="T18" s="12"/>
      <c r="V18" s="11"/>
      <c r="W18" s="11"/>
      <c r="X18" s="11"/>
      <c r="Y18" s="11"/>
      <c r="Z18" s="11"/>
      <c r="AA18" s="11"/>
      <c r="AB18" s="11"/>
      <c r="AC18" s="11"/>
      <c r="AD18" s="11"/>
      <c r="AE18" s="11"/>
      <c r="AF18" s="11"/>
    </row>
    <row r="19" spans="1:32" s="5" customFormat="1" ht="15" customHeight="1" x14ac:dyDescent="0.35">
      <c r="A19" s="19" t="s">
        <v>17</v>
      </c>
      <c r="B19" s="49">
        <f ca="1">IF('FIRE1102b raw'!B19="..","..",ROUND('FIRE1102b raw'!B19,0))</f>
        <v>0</v>
      </c>
      <c r="C19" s="49">
        <f ca="1">IF('FIRE1102b raw'!C19="..","..",ROUND('FIRE1102b raw'!C19,0))</f>
        <v>0</v>
      </c>
      <c r="D19" s="49">
        <f ca="1">IF('FIRE1102b raw'!D19="..","..",ROUND('FIRE1102b raw'!D19,0))</f>
        <v>75</v>
      </c>
      <c r="E19" s="49">
        <f ca="1">IF('FIRE1102b raw'!E19="..","..",ROUND('FIRE1102b raw'!E19,0))</f>
        <v>184</v>
      </c>
      <c r="F19" s="49">
        <f ca="1">IF('FIRE1102b raw'!F19="..","..",ROUND('FIRE1102b raw'!F19,0))</f>
        <v>682</v>
      </c>
      <c r="G19" s="14">
        <f ca="1">IF('FIRE1102b raw'!G19="..","..",ROUND('FIRE1102b raw'!G19,0))</f>
        <v>941</v>
      </c>
      <c r="H19" s="4"/>
      <c r="J19" s="10"/>
      <c r="K19" s="10"/>
      <c r="M19" s="10"/>
      <c r="N19" s="10"/>
      <c r="P19" s="12"/>
      <c r="Q19" s="12"/>
      <c r="R19" s="12"/>
      <c r="S19" s="12"/>
      <c r="T19" s="12"/>
      <c r="V19" s="11"/>
      <c r="W19" s="11"/>
      <c r="X19" s="11"/>
      <c r="Y19" s="11"/>
      <c r="Z19" s="11"/>
      <c r="AA19" s="11"/>
      <c r="AB19" s="11"/>
      <c r="AC19" s="11"/>
      <c r="AD19" s="11"/>
      <c r="AE19" s="11"/>
      <c r="AF19" s="11"/>
    </row>
    <row r="20" spans="1:32" s="5" customFormat="1" ht="15" customHeight="1" x14ac:dyDescent="0.35">
      <c r="A20" s="4" t="s">
        <v>115</v>
      </c>
      <c r="B20" s="49">
        <f ca="1">IF('FIRE1102b raw'!B20="..","..",ROUND('FIRE1102b raw'!B20,0))</f>
        <v>0</v>
      </c>
      <c r="C20" s="49">
        <f ca="1">IF('FIRE1102b raw'!C20="..","..",ROUND('FIRE1102b raw'!C20,0))</f>
        <v>0</v>
      </c>
      <c r="D20" s="49">
        <f ca="1">IF('FIRE1102b raw'!D20="..","..",ROUND('FIRE1102b raw'!D20,0))</f>
        <v>55</v>
      </c>
      <c r="E20" s="49">
        <f ca="1">IF('FIRE1102b raw'!E20="..","..",ROUND('FIRE1102b raw'!E20,0))</f>
        <v>101</v>
      </c>
      <c r="F20" s="49">
        <f ca="1">IF('FIRE1102b raw'!F20="..","..",ROUND('FIRE1102b raw'!F20,0))</f>
        <v>316</v>
      </c>
      <c r="G20" s="14">
        <f ca="1">IF('FIRE1102b raw'!G20="..","..",ROUND('FIRE1102b raw'!G20,0))</f>
        <v>472</v>
      </c>
      <c r="H20" s="4"/>
      <c r="J20" s="10"/>
      <c r="K20" s="10"/>
      <c r="M20" s="10"/>
      <c r="N20" s="10"/>
      <c r="P20" s="12"/>
      <c r="Q20" s="12"/>
      <c r="R20" s="12"/>
      <c r="S20" s="12"/>
      <c r="T20" s="12"/>
      <c r="V20" s="11"/>
      <c r="W20" s="11"/>
      <c r="X20" s="11"/>
      <c r="Y20" s="11"/>
      <c r="Z20" s="11"/>
      <c r="AA20" s="11"/>
      <c r="AB20" s="11"/>
      <c r="AC20" s="11"/>
      <c r="AD20" s="11"/>
      <c r="AE20" s="11"/>
      <c r="AF20" s="11"/>
    </row>
    <row r="21" spans="1:32" s="5" customFormat="1" ht="15" customHeight="1" x14ac:dyDescent="0.35">
      <c r="A21" s="4" t="s">
        <v>19</v>
      </c>
      <c r="B21" s="49">
        <f ca="1">IF('FIRE1102b raw'!B21="..","..",ROUND('FIRE1102b raw'!B21,0))</f>
        <v>0</v>
      </c>
      <c r="C21" s="49">
        <f ca="1">IF('FIRE1102b raw'!C21="..","..",ROUND('FIRE1102b raw'!C21,0))</f>
        <v>0</v>
      </c>
      <c r="D21" s="49">
        <f ca="1">IF('FIRE1102b raw'!D21="..","..",ROUND('FIRE1102b raw'!D21,0))</f>
        <v>10</v>
      </c>
      <c r="E21" s="49">
        <f ca="1">IF('FIRE1102b raw'!E21="..","..",ROUND('FIRE1102b raw'!E21,0))</f>
        <v>26</v>
      </c>
      <c r="F21" s="49">
        <f ca="1">IF('FIRE1102b raw'!F21="..","..",ROUND('FIRE1102b raw'!F21,0))</f>
        <v>101</v>
      </c>
      <c r="G21" s="14">
        <f ca="1">IF('FIRE1102b raw'!G21="..","..",ROUND('FIRE1102b raw'!G21,0))</f>
        <v>137</v>
      </c>
      <c r="H21" s="4"/>
      <c r="J21" s="10"/>
      <c r="K21" s="10"/>
      <c r="M21" s="10"/>
      <c r="N21" s="10"/>
      <c r="P21" s="12"/>
      <c r="Q21" s="12"/>
      <c r="R21" s="12"/>
      <c r="S21" s="12"/>
      <c r="T21" s="12"/>
      <c r="V21" s="11"/>
      <c r="W21" s="11"/>
      <c r="X21" s="11"/>
      <c r="Y21" s="11"/>
      <c r="Z21" s="11"/>
      <c r="AA21" s="11"/>
      <c r="AB21" s="11"/>
      <c r="AC21" s="11"/>
      <c r="AD21" s="11"/>
      <c r="AE21" s="11"/>
      <c r="AF21" s="11"/>
    </row>
    <row r="22" spans="1:32" s="5" customFormat="1" ht="15" customHeight="1" x14ac:dyDescent="0.35">
      <c r="A22" s="4" t="s">
        <v>20</v>
      </c>
      <c r="B22" s="49">
        <f ca="1">IF('FIRE1102b raw'!B22="..","..",ROUND('FIRE1102b raw'!B22,0))</f>
        <v>0</v>
      </c>
      <c r="C22" s="49">
        <f ca="1">IF('FIRE1102b raw'!C22="..","..",ROUND('FIRE1102b raw'!C22,0))</f>
        <v>0</v>
      </c>
      <c r="D22" s="49">
        <f ca="1">IF('FIRE1102b raw'!D22="..","..",ROUND('FIRE1102b raw'!D22,0))</f>
        <v>14</v>
      </c>
      <c r="E22" s="49">
        <f ca="1">IF('FIRE1102b raw'!E22="..","..",ROUND('FIRE1102b raw'!E22,0))</f>
        <v>28</v>
      </c>
      <c r="F22" s="49">
        <f ca="1">IF('FIRE1102b raw'!F22="..","..",ROUND('FIRE1102b raw'!F22,0))</f>
        <v>154</v>
      </c>
      <c r="G22" s="14">
        <f ca="1">IF('FIRE1102b raw'!G22="..","..",ROUND('FIRE1102b raw'!G22,0))</f>
        <v>196</v>
      </c>
      <c r="H22" s="4"/>
      <c r="J22" s="10"/>
      <c r="K22" s="10"/>
      <c r="M22" s="10"/>
      <c r="N22" s="10"/>
      <c r="P22" s="12"/>
      <c r="Q22" s="12"/>
      <c r="R22" s="12"/>
      <c r="S22" s="12"/>
      <c r="T22" s="12"/>
      <c r="V22" s="11"/>
      <c r="W22" s="11"/>
      <c r="X22" s="11"/>
      <c r="Y22" s="11"/>
      <c r="Z22" s="11"/>
      <c r="AA22" s="11"/>
      <c r="AB22" s="11"/>
      <c r="AC22" s="11"/>
      <c r="AD22" s="11"/>
      <c r="AE22" s="11"/>
      <c r="AF22" s="11"/>
    </row>
    <row r="23" spans="1:32" s="5" customFormat="1" ht="15" customHeight="1" x14ac:dyDescent="0.35">
      <c r="A23" s="4" t="s">
        <v>21</v>
      </c>
      <c r="B23" s="49">
        <f ca="1">IF('FIRE1102b raw'!B23="..","..",ROUND('FIRE1102b raw'!B23,0))</f>
        <v>0</v>
      </c>
      <c r="C23" s="49">
        <f ca="1">IF('FIRE1102b raw'!C23="..","..",ROUND('FIRE1102b raw'!C23,0))</f>
        <v>4</v>
      </c>
      <c r="D23" s="49">
        <f ca="1">IF('FIRE1102b raw'!D23="..","..",ROUND('FIRE1102b raw'!D23,0))</f>
        <v>25</v>
      </c>
      <c r="E23" s="49">
        <f ca="1">IF('FIRE1102b raw'!E23="..","..",ROUND('FIRE1102b raw'!E23,0))</f>
        <v>72</v>
      </c>
      <c r="F23" s="49">
        <f ca="1">IF('FIRE1102b raw'!F23="..","..",ROUND('FIRE1102b raw'!F23,0))</f>
        <v>297</v>
      </c>
      <c r="G23" s="14">
        <f ca="1">IF('FIRE1102b raw'!G23="..","..",ROUND('FIRE1102b raw'!G23,0))</f>
        <v>398</v>
      </c>
      <c r="H23" s="4"/>
      <c r="J23" s="10"/>
      <c r="K23" s="10"/>
      <c r="M23" s="10"/>
      <c r="N23" s="10"/>
      <c r="P23" s="12"/>
      <c r="Q23" s="12"/>
      <c r="R23" s="12"/>
      <c r="S23" s="12"/>
      <c r="T23" s="12"/>
      <c r="V23" s="11"/>
      <c r="W23" s="11"/>
      <c r="X23" s="11"/>
      <c r="Y23" s="11"/>
      <c r="Z23" s="11"/>
      <c r="AA23" s="11"/>
      <c r="AB23" s="11"/>
      <c r="AC23" s="11"/>
      <c r="AD23" s="11"/>
      <c r="AE23" s="11"/>
      <c r="AF23" s="11"/>
    </row>
    <row r="24" spans="1:32" s="5" customFormat="1" ht="15" customHeight="1" x14ac:dyDescent="0.35">
      <c r="A24" s="4" t="s">
        <v>22</v>
      </c>
      <c r="B24" s="49">
        <f ca="1">IF('FIRE1102b raw'!B24="..","..",ROUND('FIRE1102b raw'!B24,0))</f>
        <v>0</v>
      </c>
      <c r="C24" s="49">
        <f ca="1">IF('FIRE1102b raw'!C24="..","..",ROUND('FIRE1102b raw'!C24,0))</f>
        <v>1</v>
      </c>
      <c r="D24" s="49">
        <f ca="1">IF('FIRE1102b raw'!D24="..","..",ROUND('FIRE1102b raw'!D24,0))</f>
        <v>20</v>
      </c>
      <c r="E24" s="49">
        <f ca="1">IF('FIRE1102b raw'!E24="..","..",ROUND('FIRE1102b raw'!E24,0))</f>
        <v>35</v>
      </c>
      <c r="F24" s="49">
        <f ca="1">IF('FIRE1102b raw'!F24="..","..",ROUND('FIRE1102b raw'!F24,0))</f>
        <v>139</v>
      </c>
      <c r="G24" s="14">
        <f ca="1">IF('FIRE1102b raw'!G24="..","..",ROUND('FIRE1102b raw'!G24,0))</f>
        <v>194</v>
      </c>
      <c r="H24" s="4"/>
      <c r="J24" s="10"/>
      <c r="K24" s="10"/>
      <c r="M24" s="10"/>
      <c r="N24" s="10"/>
      <c r="P24" s="12"/>
      <c r="Q24" s="12"/>
      <c r="R24" s="12"/>
      <c r="S24" s="12"/>
      <c r="T24" s="12"/>
      <c r="V24" s="11"/>
      <c r="W24" s="11"/>
      <c r="X24" s="11"/>
      <c r="Y24" s="11"/>
      <c r="Z24" s="11"/>
      <c r="AA24" s="11"/>
      <c r="AB24" s="11"/>
      <c r="AC24" s="11"/>
      <c r="AD24" s="11"/>
      <c r="AE24" s="11"/>
      <c r="AF24" s="11"/>
    </row>
    <row r="25" spans="1:32" s="5" customFormat="1" ht="15" customHeight="1" x14ac:dyDescent="0.35">
      <c r="A25" s="4" t="s">
        <v>25</v>
      </c>
      <c r="B25" s="49">
        <f ca="1">IF('FIRE1102b raw'!B25="..","..",ROUND('FIRE1102b raw'!B25,0))</f>
        <v>0</v>
      </c>
      <c r="C25" s="49">
        <f ca="1">IF('FIRE1102b raw'!C25="..","..",ROUND('FIRE1102b raw'!C25,0))</f>
        <v>2</v>
      </c>
      <c r="D25" s="49">
        <f ca="1">IF('FIRE1102b raw'!D25="..","..",ROUND('FIRE1102b raw'!D25,0))</f>
        <v>50</v>
      </c>
      <c r="E25" s="49">
        <f ca="1">IF('FIRE1102b raw'!E25="..","..",ROUND('FIRE1102b raw'!E25,0))</f>
        <v>96</v>
      </c>
      <c r="F25" s="49">
        <f ca="1">IF('FIRE1102b raw'!F25="..","..",ROUND('FIRE1102b raw'!F25,0))</f>
        <v>421</v>
      </c>
      <c r="G25" s="14">
        <f ca="1">IF('FIRE1102b raw'!G25="..","..",ROUND('FIRE1102b raw'!G25,0))</f>
        <v>569</v>
      </c>
      <c r="H25" s="4"/>
      <c r="J25" s="10"/>
      <c r="K25" s="10"/>
      <c r="M25" s="10"/>
      <c r="N25" s="10"/>
      <c r="P25" s="12"/>
      <c r="Q25" s="12"/>
      <c r="R25" s="12"/>
      <c r="S25" s="12"/>
      <c r="T25" s="12"/>
      <c r="V25" s="11"/>
      <c r="W25" s="11"/>
      <c r="X25" s="11"/>
      <c r="Y25" s="11"/>
      <c r="Z25" s="11"/>
      <c r="AA25" s="11"/>
      <c r="AB25" s="11"/>
      <c r="AC25" s="11"/>
      <c r="AD25" s="11"/>
      <c r="AE25" s="11"/>
      <c r="AF25" s="11"/>
    </row>
    <row r="26" spans="1:32" s="5" customFormat="1" ht="15" customHeight="1" x14ac:dyDescent="0.35">
      <c r="A26" s="4" t="s">
        <v>26</v>
      </c>
      <c r="B26" s="49">
        <f ca="1">IF('FIRE1102b raw'!B26="..","..",ROUND('FIRE1102b raw'!B26,0))</f>
        <v>0</v>
      </c>
      <c r="C26" s="49">
        <f ca="1">IF('FIRE1102b raw'!C26="..","..",ROUND('FIRE1102b raw'!C26,0))</f>
        <v>0</v>
      </c>
      <c r="D26" s="49">
        <f ca="1">IF('FIRE1102b raw'!D26="..","..",ROUND('FIRE1102b raw'!D26,0))</f>
        <v>18</v>
      </c>
      <c r="E26" s="49">
        <f ca="1">IF('FIRE1102b raw'!E26="..","..",ROUND('FIRE1102b raw'!E26,0))</f>
        <v>42</v>
      </c>
      <c r="F26" s="49">
        <f ca="1">IF('FIRE1102b raw'!F26="..","..",ROUND('FIRE1102b raw'!F26,0))</f>
        <v>161</v>
      </c>
      <c r="G26" s="14">
        <f ca="1">IF('FIRE1102b raw'!G26="..","..",ROUND('FIRE1102b raw'!G26,0))</f>
        <v>221</v>
      </c>
      <c r="H26" s="4"/>
      <c r="J26" s="10"/>
      <c r="K26" s="10"/>
      <c r="M26" s="10"/>
      <c r="N26" s="10"/>
      <c r="P26" s="12"/>
      <c r="Q26" s="12"/>
      <c r="R26" s="12"/>
      <c r="S26" s="12"/>
      <c r="T26" s="12"/>
      <c r="V26" s="11"/>
      <c r="W26" s="11"/>
      <c r="X26" s="11"/>
      <c r="Y26" s="11"/>
      <c r="Z26" s="11"/>
      <c r="AA26" s="11"/>
      <c r="AB26" s="11"/>
      <c r="AC26" s="11"/>
      <c r="AD26" s="11"/>
      <c r="AE26" s="11"/>
      <c r="AF26" s="11"/>
    </row>
    <row r="27" spans="1:32" s="5" customFormat="1" ht="15" customHeight="1" x14ac:dyDescent="0.35">
      <c r="A27" s="4" t="s">
        <v>27</v>
      </c>
      <c r="B27" s="49">
        <f ca="1">IF('FIRE1102b raw'!B27="..","..",ROUND('FIRE1102b raw'!B27,0))</f>
        <v>0</v>
      </c>
      <c r="C27" s="49">
        <f ca="1">IF('FIRE1102b raw'!C27="..","..",ROUND('FIRE1102b raw'!C27,0))</f>
        <v>0</v>
      </c>
      <c r="D27" s="49">
        <f ca="1">IF('FIRE1102b raw'!D27="..","..",ROUND('FIRE1102b raw'!D27,0))</f>
        <v>20</v>
      </c>
      <c r="E27" s="49">
        <f ca="1">IF('FIRE1102b raw'!E27="..","..",ROUND('FIRE1102b raw'!E27,0))</f>
        <v>32</v>
      </c>
      <c r="F27" s="49">
        <f ca="1">IF('FIRE1102b raw'!F27="..","..",ROUND('FIRE1102b raw'!F27,0))</f>
        <v>115</v>
      </c>
      <c r="G27" s="14">
        <f ca="1">IF('FIRE1102b raw'!G27="..","..",ROUND('FIRE1102b raw'!G27,0))</f>
        <v>167</v>
      </c>
      <c r="H27" s="4"/>
      <c r="J27" s="10"/>
      <c r="K27" s="10"/>
      <c r="M27" s="10"/>
      <c r="N27" s="10"/>
      <c r="P27" s="12"/>
      <c r="Q27" s="12"/>
      <c r="R27" s="12"/>
      <c r="S27" s="12"/>
      <c r="T27" s="12"/>
      <c r="V27" s="11"/>
      <c r="W27" s="11"/>
      <c r="X27" s="11"/>
      <c r="Y27" s="11"/>
      <c r="Z27" s="11"/>
      <c r="AA27" s="11"/>
      <c r="AB27" s="11"/>
      <c r="AC27" s="11"/>
      <c r="AD27" s="11"/>
      <c r="AE27" s="11"/>
      <c r="AF27" s="11"/>
    </row>
    <row r="28" spans="1:32" s="5" customFormat="1" ht="15" customHeight="1" x14ac:dyDescent="0.35">
      <c r="A28" s="4" t="s">
        <v>28</v>
      </c>
      <c r="B28" s="49">
        <f ca="1">IF('FIRE1102b raw'!B28="..","..",ROUND('FIRE1102b raw'!B28,0))</f>
        <v>0</v>
      </c>
      <c r="C28" s="49">
        <f ca="1">IF('FIRE1102b raw'!C28="..","..",ROUND('FIRE1102b raw'!C28,0))</f>
        <v>0</v>
      </c>
      <c r="D28" s="49">
        <f ca="1">IF('FIRE1102b raw'!D28="..","..",ROUND('FIRE1102b raw'!D28,0))</f>
        <v>22</v>
      </c>
      <c r="E28" s="49">
        <f ca="1">IF('FIRE1102b raw'!E28="..","..",ROUND('FIRE1102b raw'!E28,0))</f>
        <v>64</v>
      </c>
      <c r="F28" s="49">
        <f ca="1">IF('FIRE1102b raw'!F28="..","..",ROUND('FIRE1102b raw'!F28,0))</f>
        <v>256</v>
      </c>
      <c r="G28" s="14">
        <f ca="1">IF('FIRE1102b raw'!G28="..","..",ROUND('FIRE1102b raw'!G28,0))</f>
        <v>342</v>
      </c>
      <c r="H28" s="4"/>
      <c r="J28" s="10"/>
      <c r="K28" s="10"/>
      <c r="M28" s="10"/>
      <c r="N28" s="10"/>
      <c r="P28" s="12"/>
      <c r="Q28" s="12"/>
      <c r="R28" s="12"/>
      <c r="S28" s="12"/>
      <c r="T28" s="12"/>
      <c r="V28" s="11"/>
      <c r="W28" s="11"/>
      <c r="X28" s="11"/>
      <c r="Y28" s="11"/>
      <c r="Z28" s="11"/>
      <c r="AA28" s="11"/>
      <c r="AB28" s="11"/>
      <c r="AC28" s="11"/>
      <c r="AD28" s="11"/>
      <c r="AE28" s="11"/>
      <c r="AF28" s="11"/>
    </row>
    <row r="29" spans="1:32" s="5" customFormat="1" ht="15" customHeight="1" x14ac:dyDescent="0.35">
      <c r="A29" s="4" t="s">
        <v>29</v>
      </c>
      <c r="B29" s="49">
        <f ca="1">IF('FIRE1102b raw'!B29="..","..",ROUND('FIRE1102b raw'!B29,0))</f>
        <v>0</v>
      </c>
      <c r="C29" s="49">
        <f ca="1">IF('FIRE1102b raw'!C29="..","..",ROUND('FIRE1102b raw'!C29,0))</f>
        <v>0</v>
      </c>
      <c r="D29" s="49">
        <f ca="1">IF('FIRE1102b raw'!D29="..","..",ROUND('FIRE1102b raw'!D29,0))</f>
        <v>11</v>
      </c>
      <c r="E29" s="49">
        <f ca="1">IF('FIRE1102b raw'!E29="..","..",ROUND('FIRE1102b raw'!E29,0))</f>
        <v>22</v>
      </c>
      <c r="F29" s="49">
        <f ca="1">IF('FIRE1102b raw'!F29="..","..",ROUND('FIRE1102b raw'!F29,0))</f>
        <v>71</v>
      </c>
      <c r="G29" s="14">
        <f ca="1">IF('FIRE1102b raw'!G29="..","..",ROUND('FIRE1102b raw'!G29,0))</f>
        <v>104</v>
      </c>
      <c r="H29" s="4"/>
      <c r="J29" s="10"/>
      <c r="K29" s="10"/>
      <c r="M29" s="10"/>
      <c r="N29" s="10"/>
      <c r="P29" s="12"/>
      <c r="Q29" s="12"/>
      <c r="R29" s="12"/>
      <c r="S29" s="12"/>
      <c r="T29" s="12"/>
      <c r="V29" s="11"/>
      <c r="W29" s="11"/>
      <c r="X29" s="11"/>
      <c r="Y29" s="11"/>
      <c r="Z29" s="11"/>
      <c r="AA29" s="11"/>
      <c r="AB29" s="11"/>
      <c r="AC29" s="11"/>
      <c r="AD29" s="11"/>
      <c r="AE29" s="11"/>
      <c r="AF29" s="11"/>
    </row>
    <row r="30" spans="1:32" s="5" customFormat="1" ht="15" customHeight="1" x14ac:dyDescent="0.35">
      <c r="A30" s="5" t="s">
        <v>31</v>
      </c>
      <c r="B30" s="49">
        <f ca="1">IF('FIRE1102b raw'!B30="..","..",ROUND('FIRE1102b raw'!B30,0))</f>
        <v>0</v>
      </c>
      <c r="C30" s="49">
        <f ca="1">IF('FIRE1102b raw'!C30="..","..",ROUND('FIRE1102b raw'!C30,0))</f>
        <v>0</v>
      </c>
      <c r="D30" s="49">
        <f ca="1">IF('FIRE1102b raw'!D30="..","..",ROUND('FIRE1102b raw'!D30,0))</f>
        <v>28</v>
      </c>
      <c r="E30" s="49">
        <f ca="1">IF('FIRE1102b raw'!E30="..","..",ROUND('FIRE1102b raw'!E30,0))</f>
        <v>81</v>
      </c>
      <c r="F30" s="49">
        <f ca="1">IF('FIRE1102b raw'!F30="..","..",ROUND('FIRE1102b raw'!F30,0))</f>
        <v>372</v>
      </c>
      <c r="G30" s="14">
        <f ca="1">IF('FIRE1102b raw'!G30="..","..",ROUND('FIRE1102b raw'!G30,0))</f>
        <v>481</v>
      </c>
      <c r="H30" s="4"/>
      <c r="J30" s="10"/>
      <c r="K30" s="10"/>
      <c r="M30" s="10"/>
      <c r="N30" s="10"/>
      <c r="P30" s="12"/>
      <c r="Q30" s="12"/>
      <c r="R30" s="12"/>
      <c r="S30" s="12"/>
      <c r="T30" s="12"/>
      <c r="V30" s="11"/>
      <c r="W30" s="11"/>
      <c r="X30" s="11"/>
      <c r="Y30" s="11"/>
      <c r="Z30" s="11"/>
      <c r="AA30" s="11"/>
      <c r="AB30" s="11"/>
      <c r="AC30" s="11"/>
      <c r="AD30" s="11"/>
      <c r="AE30" s="11"/>
      <c r="AF30" s="11"/>
    </row>
    <row r="31" spans="1:32" s="5" customFormat="1" ht="15" customHeight="1" x14ac:dyDescent="0.35">
      <c r="A31" s="5" t="s">
        <v>32</v>
      </c>
      <c r="B31" s="49">
        <f ca="1">IF('FIRE1102b raw'!B31="..","..",ROUND('FIRE1102b raw'!B31,0))</f>
        <v>0</v>
      </c>
      <c r="C31" s="49">
        <f ca="1">IF('FIRE1102b raw'!C31="..","..",ROUND('FIRE1102b raw'!C31,0))</f>
        <v>0</v>
      </c>
      <c r="D31" s="49">
        <f ca="1">IF('FIRE1102b raw'!D31="..","..",ROUND('FIRE1102b raw'!D31,0))</f>
        <v>23</v>
      </c>
      <c r="E31" s="49">
        <f ca="1">IF('FIRE1102b raw'!E31="..","..",ROUND('FIRE1102b raw'!E31,0))</f>
        <v>67</v>
      </c>
      <c r="F31" s="49">
        <f ca="1">IF('FIRE1102b raw'!F31="..","..",ROUND('FIRE1102b raw'!F31,0))</f>
        <v>179</v>
      </c>
      <c r="G31" s="14">
        <f ca="1">IF('FIRE1102b raw'!G31="..","..",ROUND('FIRE1102b raw'!G31,0))</f>
        <v>269</v>
      </c>
      <c r="H31" s="4"/>
      <c r="J31" s="10"/>
      <c r="K31" s="10"/>
      <c r="M31" s="10"/>
      <c r="N31" s="10"/>
      <c r="P31" s="12"/>
      <c r="Q31" s="12"/>
      <c r="R31" s="12"/>
      <c r="S31" s="12"/>
      <c r="T31" s="12"/>
      <c r="V31" s="11"/>
      <c r="W31" s="11"/>
      <c r="X31" s="11"/>
      <c r="Y31" s="11"/>
      <c r="Z31" s="11"/>
      <c r="AA31" s="11"/>
      <c r="AB31" s="11"/>
      <c r="AC31" s="11"/>
      <c r="AD31" s="11"/>
      <c r="AE31" s="11"/>
      <c r="AF31" s="11"/>
    </row>
    <row r="32" spans="1:32" s="5" customFormat="1" ht="15" customHeight="1" x14ac:dyDescent="0.35">
      <c r="A32" s="4" t="s">
        <v>33</v>
      </c>
      <c r="B32" s="49">
        <f ca="1">IF('FIRE1102b raw'!B32="..","..",ROUND('FIRE1102b raw'!B32,0))</f>
        <v>0</v>
      </c>
      <c r="C32" s="49">
        <f ca="1">IF('FIRE1102b raw'!C32="..","..",ROUND('FIRE1102b raw'!C32,0))</f>
        <v>0</v>
      </c>
      <c r="D32" s="49">
        <f ca="1">IF('FIRE1102b raw'!D32="..","..",ROUND('FIRE1102b raw'!D32,0))</f>
        <v>10</v>
      </c>
      <c r="E32" s="49">
        <f ca="1">IF('FIRE1102b raw'!E32="..","..",ROUND('FIRE1102b raw'!E32,0))</f>
        <v>21</v>
      </c>
      <c r="F32" s="49">
        <f ca="1">IF('FIRE1102b raw'!F32="..","..",ROUND('FIRE1102b raw'!F32,0))</f>
        <v>96</v>
      </c>
      <c r="G32" s="14">
        <f ca="1">IF('FIRE1102b raw'!G32="..","..",ROUND('FIRE1102b raw'!G32,0))</f>
        <v>128</v>
      </c>
      <c r="H32" s="4"/>
      <c r="J32" s="10"/>
      <c r="K32" s="10"/>
      <c r="M32" s="10"/>
      <c r="N32" s="10"/>
      <c r="P32" s="12"/>
      <c r="Q32" s="12"/>
      <c r="R32" s="12"/>
      <c r="S32" s="12"/>
      <c r="T32" s="12"/>
      <c r="V32" s="11"/>
      <c r="W32" s="11"/>
      <c r="X32" s="11"/>
      <c r="Y32" s="11"/>
      <c r="Z32" s="11"/>
      <c r="AA32" s="11"/>
      <c r="AB32" s="11"/>
      <c r="AC32" s="11"/>
      <c r="AD32" s="11"/>
      <c r="AE32" s="11"/>
      <c r="AF32" s="11"/>
    </row>
    <row r="33" spans="1:32" s="5" customFormat="1" ht="15" customHeight="1" x14ac:dyDescent="0.35">
      <c r="A33" s="5" t="s">
        <v>34</v>
      </c>
      <c r="B33" s="49">
        <f ca="1">IF('FIRE1102b raw'!B33="..","..",ROUND('FIRE1102b raw'!B33,0))</f>
        <v>0</v>
      </c>
      <c r="C33" s="49">
        <f ca="1">IF('FIRE1102b raw'!C33="..","..",ROUND('FIRE1102b raw'!C33,0))</f>
        <v>0</v>
      </c>
      <c r="D33" s="49">
        <f ca="1">IF('FIRE1102b raw'!D33="..","..",ROUND('FIRE1102b raw'!D33,0))</f>
        <v>34</v>
      </c>
      <c r="E33" s="49">
        <f ca="1">IF('FIRE1102b raw'!E33="..","..",ROUND('FIRE1102b raw'!E33,0))</f>
        <v>63</v>
      </c>
      <c r="F33" s="49">
        <f ca="1">IF('FIRE1102b raw'!F33="..","..",ROUND('FIRE1102b raw'!F33,0))</f>
        <v>258</v>
      </c>
      <c r="G33" s="14">
        <f ca="1">IF('FIRE1102b raw'!G33="..","..",ROUND('FIRE1102b raw'!G33,0))</f>
        <v>355</v>
      </c>
      <c r="H33" s="4"/>
      <c r="J33" s="10"/>
      <c r="K33" s="10"/>
      <c r="M33" s="10"/>
      <c r="N33" s="10"/>
      <c r="P33" s="12"/>
      <c r="Q33" s="12"/>
      <c r="R33" s="12"/>
      <c r="S33" s="12"/>
      <c r="T33" s="12"/>
      <c r="V33" s="11"/>
      <c r="W33" s="11"/>
      <c r="X33" s="11"/>
      <c r="Y33" s="11"/>
      <c r="Z33" s="11"/>
      <c r="AA33" s="11"/>
      <c r="AB33" s="11"/>
      <c r="AC33" s="11"/>
      <c r="AD33" s="11"/>
      <c r="AE33" s="11"/>
      <c r="AF33" s="11"/>
    </row>
    <row r="34" spans="1:32" s="5" customFormat="1" ht="15" customHeight="1" x14ac:dyDescent="0.35">
      <c r="A34" s="5" t="s">
        <v>36</v>
      </c>
      <c r="B34" s="49">
        <f ca="1">IF('FIRE1102b raw'!B34="..","..",ROUND('FIRE1102b raw'!B34,0))</f>
        <v>0</v>
      </c>
      <c r="C34" s="49">
        <f ca="1">IF('FIRE1102b raw'!C34="..","..",ROUND('FIRE1102b raw'!C34,0))</f>
        <v>0</v>
      </c>
      <c r="D34" s="49">
        <f ca="1">IF('FIRE1102b raw'!D34="..","..",ROUND('FIRE1102b raw'!D34,0))</f>
        <v>42</v>
      </c>
      <c r="E34" s="49">
        <f ca="1">IF('FIRE1102b raw'!E34="..","..",ROUND('FIRE1102b raw'!E34,0))</f>
        <v>72</v>
      </c>
      <c r="F34" s="49">
        <f ca="1">IF('FIRE1102b raw'!F34="..","..",ROUND('FIRE1102b raw'!F34,0))</f>
        <v>307</v>
      </c>
      <c r="G34" s="14">
        <f ca="1">IF('FIRE1102b raw'!G34="..","..",ROUND('FIRE1102b raw'!G34,0))</f>
        <v>421</v>
      </c>
      <c r="H34" s="4"/>
      <c r="J34" s="10"/>
      <c r="K34" s="10"/>
      <c r="M34" s="10"/>
      <c r="N34" s="10"/>
      <c r="P34" s="12"/>
      <c r="Q34" s="12"/>
      <c r="R34" s="12"/>
      <c r="S34" s="12"/>
      <c r="T34" s="12"/>
      <c r="V34" s="11"/>
      <c r="W34" s="11"/>
      <c r="X34" s="11"/>
      <c r="Y34" s="11"/>
      <c r="Z34" s="11"/>
      <c r="AA34" s="11"/>
      <c r="AB34" s="11"/>
      <c r="AC34" s="11"/>
      <c r="AD34" s="11"/>
      <c r="AE34" s="11"/>
      <c r="AF34" s="11"/>
    </row>
    <row r="35" spans="1:32" s="5" customFormat="1" ht="15" customHeight="1" x14ac:dyDescent="0.35">
      <c r="A35" s="4" t="s">
        <v>37</v>
      </c>
      <c r="B35" s="49">
        <f ca="1">IF('FIRE1102b raw'!B35="..","..",ROUND('FIRE1102b raw'!B35,0))</f>
        <v>0</v>
      </c>
      <c r="C35" s="49">
        <f ca="1">IF('FIRE1102b raw'!C35="..","..",ROUND('FIRE1102b raw'!C35,0))</f>
        <v>0</v>
      </c>
      <c r="D35" s="49">
        <f ca="1">IF('FIRE1102b raw'!D35="..","..",ROUND('FIRE1102b raw'!D35,0))</f>
        <v>0</v>
      </c>
      <c r="E35" s="49">
        <f ca="1">IF('FIRE1102b raw'!E35="..","..",ROUND('FIRE1102b raw'!E35,0))</f>
        <v>0</v>
      </c>
      <c r="F35" s="49">
        <f ca="1">IF('FIRE1102b raw'!F35="..","..",ROUND('FIRE1102b raw'!F35,0))</f>
        <v>0</v>
      </c>
      <c r="G35" s="14">
        <f ca="1">IF('FIRE1102b raw'!G35="..","..",ROUND('FIRE1102b raw'!G35,0))</f>
        <v>0</v>
      </c>
      <c r="H35" s="4"/>
      <c r="J35" s="10"/>
      <c r="K35" s="10"/>
      <c r="M35" s="10"/>
      <c r="N35" s="10"/>
      <c r="P35" s="12"/>
      <c r="Q35" s="12"/>
      <c r="R35" s="12"/>
      <c r="S35" s="12"/>
      <c r="T35" s="12"/>
      <c r="V35" s="11"/>
      <c r="W35" s="11"/>
      <c r="X35" s="11"/>
      <c r="Y35" s="11"/>
      <c r="Z35" s="11"/>
      <c r="AA35" s="11"/>
      <c r="AB35" s="11"/>
      <c r="AC35" s="11"/>
      <c r="AD35" s="11"/>
      <c r="AE35" s="11"/>
      <c r="AF35" s="11"/>
    </row>
    <row r="36" spans="1:32" s="5" customFormat="1" ht="15" customHeight="1" x14ac:dyDescent="0.35">
      <c r="A36" s="5" t="s">
        <v>38</v>
      </c>
      <c r="B36" s="49">
        <f ca="1">IF('FIRE1102b raw'!B36="..","..",ROUND('FIRE1102b raw'!B36,0))</f>
        <v>0</v>
      </c>
      <c r="C36" s="49">
        <f ca="1">IF('FIRE1102b raw'!C36="..","..",ROUND('FIRE1102b raw'!C36,0))</f>
        <v>0</v>
      </c>
      <c r="D36" s="49">
        <f ca="1">IF('FIRE1102b raw'!D36="..","..",ROUND('FIRE1102b raw'!D36,0))</f>
        <v>24</v>
      </c>
      <c r="E36" s="49">
        <f ca="1">IF('FIRE1102b raw'!E36="..","..",ROUND('FIRE1102b raw'!E36,0))</f>
        <v>58</v>
      </c>
      <c r="F36" s="49">
        <f ca="1">IF('FIRE1102b raw'!F36="..","..",ROUND('FIRE1102b raw'!F36,0))</f>
        <v>207</v>
      </c>
      <c r="G36" s="14">
        <f ca="1">IF('FIRE1102b raw'!G36="..","..",ROUND('FIRE1102b raw'!G36,0))</f>
        <v>289</v>
      </c>
      <c r="H36" s="4"/>
      <c r="J36" s="10"/>
      <c r="K36" s="10"/>
      <c r="M36" s="10"/>
      <c r="N36" s="10"/>
      <c r="P36" s="12"/>
      <c r="Q36" s="12"/>
      <c r="R36" s="12"/>
      <c r="S36" s="12"/>
      <c r="T36" s="12"/>
      <c r="V36" s="11"/>
      <c r="W36" s="11"/>
      <c r="X36" s="11"/>
      <c r="Y36" s="11"/>
      <c r="Z36" s="11"/>
      <c r="AA36" s="11"/>
      <c r="AB36" s="11"/>
      <c r="AC36" s="11"/>
      <c r="AD36" s="11"/>
      <c r="AE36" s="11"/>
      <c r="AF36" s="11"/>
    </row>
    <row r="37" spans="1:32" s="5" customFormat="1" ht="15" customHeight="1" x14ac:dyDescent="0.35">
      <c r="A37" s="5" t="s">
        <v>39</v>
      </c>
      <c r="B37" s="49">
        <f ca="1">IF('FIRE1102b raw'!B37="..","..",ROUND('FIRE1102b raw'!B37,0))</f>
        <v>0</v>
      </c>
      <c r="C37" s="49">
        <f ca="1">IF('FIRE1102b raw'!C37="..","..",ROUND('FIRE1102b raw'!C37,0))</f>
        <v>0</v>
      </c>
      <c r="D37" s="49">
        <f ca="1">IF('FIRE1102b raw'!D37="..","..",ROUND('FIRE1102b raw'!D37,0))</f>
        <v>10</v>
      </c>
      <c r="E37" s="49">
        <f ca="1">IF('FIRE1102b raw'!E37="..","..",ROUND('FIRE1102b raw'!E37,0))</f>
        <v>24</v>
      </c>
      <c r="F37" s="49">
        <f ca="1">IF('FIRE1102b raw'!F37="..","..",ROUND('FIRE1102b raw'!F37,0))</f>
        <v>123</v>
      </c>
      <c r="G37" s="14">
        <f ca="1">IF('FIRE1102b raw'!G37="..","..",ROUND('FIRE1102b raw'!G37,0))</f>
        <v>156</v>
      </c>
      <c r="H37" s="4"/>
      <c r="J37" s="10"/>
      <c r="K37" s="10"/>
      <c r="M37" s="10"/>
      <c r="N37" s="10"/>
      <c r="P37" s="12"/>
      <c r="Q37" s="12"/>
      <c r="R37" s="12"/>
      <c r="S37" s="12"/>
      <c r="T37" s="12"/>
      <c r="V37" s="11"/>
      <c r="W37" s="11"/>
      <c r="X37" s="11"/>
      <c r="Y37" s="11"/>
      <c r="Z37" s="11"/>
      <c r="AA37" s="11"/>
      <c r="AB37" s="11"/>
      <c r="AC37" s="11"/>
      <c r="AD37" s="11"/>
      <c r="AE37" s="11"/>
      <c r="AF37" s="11"/>
    </row>
    <row r="38" spans="1:32" s="5" customFormat="1" ht="15" customHeight="1" x14ac:dyDescent="0.35">
      <c r="A38" s="5" t="s">
        <v>40</v>
      </c>
      <c r="B38" s="49">
        <f ca="1">IF('FIRE1102b raw'!B38="..","..",ROUND('FIRE1102b raw'!B38,0))</f>
        <v>0</v>
      </c>
      <c r="C38" s="49">
        <f ca="1">IF('FIRE1102b raw'!C38="..","..",ROUND('FIRE1102b raw'!C38,0))</f>
        <v>0</v>
      </c>
      <c r="D38" s="49">
        <f ca="1">IF('FIRE1102b raw'!D38="..","..",ROUND('FIRE1102b raw'!D38,0))</f>
        <v>12</v>
      </c>
      <c r="E38" s="49">
        <f ca="1">IF('FIRE1102b raw'!E38="..","..",ROUND('FIRE1102b raw'!E38,0))</f>
        <v>28</v>
      </c>
      <c r="F38" s="49">
        <f ca="1">IF('FIRE1102b raw'!F38="..","..",ROUND('FIRE1102b raw'!F38,0))</f>
        <v>84</v>
      </c>
      <c r="G38" s="14">
        <f ca="1">IF('FIRE1102b raw'!G38="..","..",ROUND('FIRE1102b raw'!G38,0))</f>
        <v>123</v>
      </c>
      <c r="H38" s="4"/>
      <c r="J38" s="10"/>
      <c r="K38" s="10"/>
      <c r="M38" s="10"/>
      <c r="N38" s="10"/>
      <c r="P38" s="12"/>
      <c r="Q38" s="12"/>
      <c r="R38" s="12"/>
      <c r="S38" s="12"/>
      <c r="T38" s="12"/>
      <c r="V38" s="11"/>
      <c r="W38" s="11"/>
      <c r="X38" s="11"/>
      <c r="Y38" s="11"/>
      <c r="Z38" s="11"/>
      <c r="AA38" s="11"/>
      <c r="AB38" s="11"/>
      <c r="AC38" s="11"/>
      <c r="AD38" s="11"/>
      <c r="AE38" s="11"/>
      <c r="AF38" s="11"/>
    </row>
    <row r="39" spans="1:32" s="5" customFormat="1" ht="15" customHeight="1" x14ac:dyDescent="0.35">
      <c r="A39" s="4" t="s">
        <v>41</v>
      </c>
      <c r="B39" s="49">
        <f ca="1">IF('FIRE1102b raw'!B39="..","..",ROUND('FIRE1102b raw'!B39,0))</f>
        <v>0</v>
      </c>
      <c r="C39" s="49">
        <f ca="1">IF('FIRE1102b raw'!C39="..","..",ROUND('FIRE1102b raw'!C39,0))</f>
        <v>0</v>
      </c>
      <c r="D39" s="49">
        <f ca="1">IF('FIRE1102b raw'!D39="..","..",ROUND('FIRE1102b raw'!D39,0))</f>
        <v>17</v>
      </c>
      <c r="E39" s="49">
        <f ca="1">IF('FIRE1102b raw'!E39="..","..",ROUND('FIRE1102b raw'!E39,0))</f>
        <v>25</v>
      </c>
      <c r="F39" s="49">
        <f ca="1">IF('FIRE1102b raw'!F39="..","..",ROUND('FIRE1102b raw'!F39,0))</f>
        <v>98</v>
      </c>
      <c r="G39" s="14">
        <f ca="1">IF('FIRE1102b raw'!G39="..","..",ROUND('FIRE1102b raw'!G39,0))</f>
        <v>139</v>
      </c>
      <c r="H39" s="4"/>
      <c r="J39" s="10"/>
      <c r="K39" s="10"/>
      <c r="M39" s="10"/>
      <c r="N39" s="10"/>
      <c r="P39" s="12"/>
      <c r="Q39" s="12"/>
      <c r="R39" s="12"/>
      <c r="S39" s="12"/>
      <c r="T39" s="12"/>
      <c r="V39" s="11"/>
      <c r="W39" s="11"/>
      <c r="X39" s="11"/>
      <c r="Y39" s="11"/>
      <c r="Z39" s="11"/>
      <c r="AA39" s="11"/>
      <c r="AB39" s="11"/>
      <c r="AC39" s="11"/>
      <c r="AD39" s="11"/>
      <c r="AE39" s="11"/>
      <c r="AF39" s="11"/>
    </row>
    <row r="40" spans="1:32" s="5" customFormat="1" ht="15" customHeight="1" x14ac:dyDescent="0.35">
      <c r="A40" s="4" t="s">
        <v>42</v>
      </c>
      <c r="B40" s="49">
        <f ca="1">IF('FIRE1102b raw'!B40="..","..",ROUND('FIRE1102b raw'!B40,0))</f>
        <v>0</v>
      </c>
      <c r="C40" s="49">
        <f ca="1">IF('FIRE1102b raw'!C40="..","..",ROUND('FIRE1102b raw'!C40,0))</f>
        <v>0</v>
      </c>
      <c r="D40" s="49">
        <f ca="1">IF('FIRE1102b raw'!D40="..","..",ROUND('FIRE1102b raw'!D40,0))</f>
        <v>24</v>
      </c>
      <c r="E40" s="49">
        <f ca="1">IF('FIRE1102b raw'!E40="..","..",ROUND('FIRE1102b raw'!E40,0))</f>
        <v>39</v>
      </c>
      <c r="F40" s="49">
        <f ca="1">IF('FIRE1102b raw'!F40="..","..",ROUND('FIRE1102b raw'!F40,0))</f>
        <v>141</v>
      </c>
      <c r="G40" s="14">
        <f ca="1">IF('FIRE1102b raw'!G40="..","..",ROUND('FIRE1102b raw'!G40,0))</f>
        <v>204</v>
      </c>
      <c r="H40" s="4"/>
      <c r="J40" s="10"/>
      <c r="K40" s="10"/>
      <c r="M40" s="10"/>
      <c r="N40" s="10"/>
      <c r="P40" s="12"/>
      <c r="Q40" s="12"/>
      <c r="R40" s="12"/>
      <c r="S40" s="12"/>
      <c r="T40" s="12"/>
      <c r="V40" s="11"/>
      <c r="W40" s="11"/>
      <c r="X40" s="11"/>
      <c r="Y40" s="11"/>
      <c r="Z40" s="11"/>
      <c r="AA40" s="11"/>
      <c r="AB40" s="11"/>
      <c r="AC40" s="11"/>
      <c r="AD40" s="11"/>
      <c r="AE40" s="11"/>
      <c r="AF40" s="11"/>
    </row>
    <row r="41" spans="1:32" s="5" customFormat="1" ht="15" customHeight="1" x14ac:dyDescent="0.35">
      <c r="A41" s="4" t="s">
        <v>43</v>
      </c>
      <c r="B41" s="49">
        <f ca="1">IF('FIRE1102b raw'!B41="..","..",ROUND('FIRE1102b raw'!B41,0))</f>
        <v>0</v>
      </c>
      <c r="C41" s="49">
        <f ca="1">IF('FIRE1102b raw'!C41="..","..",ROUND('FIRE1102b raw'!C41,0))</f>
        <v>0</v>
      </c>
      <c r="D41" s="49">
        <f ca="1">IF('FIRE1102b raw'!D41="..","..",ROUND('FIRE1102b raw'!D41,0))</f>
        <v>23</v>
      </c>
      <c r="E41" s="49">
        <f ca="1">IF('FIRE1102b raw'!E41="..","..",ROUND('FIRE1102b raw'!E41,0))</f>
        <v>65</v>
      </c>
      <c r="F41" s="49">
        <f ca="1">IF('FIRE1102b raw'!F41="..","..",ROUND('FIRE1102b raw'!F41,0))</f>
        <v>235</v>
      </c>
      <c r="G41" s="14">
        <f ca="1">IF('FIRE1102b raw'!G41="..","..",ROUND('FIRE1102b raw'!G41,0))</f>
        <v>323</v>
      </c>
      <c r="H41" s="4"/>
      <c r="J41" s="10"/>
      <c r="K41" s="10"/>
      <c r="M41" s="10"/>
      <c r="N41" s="10"/>
      <c r="P41" s="12"/>
      <c r="Q41" s="12"/>
      <c r="R41" s="12"/>
      <c r="S41" s="12"/>
      <c r="T41" s="12"/>
      <c r="V41" s="11"/>
      <c r="W41" s="11"/>
      <c r="X41" s="11"/>
      <c r="Y41" s="11"/>
      <c r="Z41" s="11"/>
      <c r="AA41" s="11"/>
      <c r="AB41" s="11"/>
      <c r="AC41" s="11"/>
      <c r="AD41" s="11"/>
      <c r="AE41" s="11"/>
      <c r="AF41" s="11"/>
    </row>
    <row r="42" spans="1:32" s="5" customFormat="1" ht="15" customHeight="1" x14ac:dyDescent="0.35">
      <c r="A42" s="4" t="s">
        <v>45</v>
      </c>
      <c r="B42" s="49">
        <f ca="1">IF('FIRE1102b raw'!B42="..","..",ROUND('FIRE1102b raw'!B42,0))</f>
        <v>0</v>
      </c>
      <c r="C42" s="49">
        <f ca="1">IF('FIRE1102b raw'!C42="..","..",ROUND('FIRE1102b raw'!C42,0))</f>
        <v>0</v>
      </c>
      <c r="D42" s="49">
        <f ca="1">IF('FIRE1102b raw'!D42="..","..",ROUND('FIRE1102b raw'!D42,0))</f>
        <v>28</v>
      </c>
      <c r="E42" s="49">
        <f ca="1">IF('FIRE1102b raw'!E42="..","..",ROUND('FIRE1102b raw'!E42,0))</f>
        <v>65</v>
      </c>
      <c r="F42" s="49">
        <f ca="1">IF('FIRE1102b raw'!F42="..","..",ROUND('FIRE1102b raw'!F42,0))</f>
        <v>278</v>
      </c>
      <c r="G42" s="14">
        <f ca="1">IF('FIRE1102b raw'!G42="..","..",ROUND('FIRE1102b raw'!G42,0))</f>
        <v>371</v>
      </c>
      <c r="H42" s="4"/>
      <c r="J42" s="10"/>
      <c r="K42" s="10"/>
      <c r="M42" s="10"/>
      <c r="N42" s="10"/>
      <c r="P42" s="12"/>
      <c r="Q42" s="12"/>
      <c r="R42" s="12"/>
      <c r="S42" s="12"/>
      <c r="T42" s="12"/>
      <c r="V42" s="11"/>
      <c r="W42" s="11"/>
      <c r="X42" s="11"/>
      <c r="Y42" s="11"/>
      <c r="Z42" s="11"/>
      <c r="AA42" s="11"/>
      <c r="AB42" s="11"/>
      <c r="AC42" s="11"/>
      <c r="AD42" s="11"/>
      <c r="AE42" s="11"/>
      <c r="AF42" s="11"/>
    </row>
    <row r="43" spans="1:32" s="5" customFormat="1" ht="15" customHeight="1" x14ac:dyDescent="0.35">
      <c r="A43" s="4" t="s">
        <v>46</v>
      </c>
      <c r="B43" s="49">
        <f ca="1">IF('FIRE1102b raw'!B43="..","..",ROUND('FIRE1102b raw'!B43,0))</f>
        <v>0</v>
      </c>
      <c r="C43" s="49">
        <f ca="1">IF('FIRE1102b raw'!C43="..","..",ROUND('FIRE1102b raw'!C43,0))</f>
        <v>0</v>
      </c>
      <c r="D43" s="49">
        <f ca="1">IF('FIRE1102b raw'!D43="..","..",ROUND('FIRE1102b raw'!D43,0))</f>
        <v>33</v>
      </c>
      <c r="E43" s="49">
        <f ca="1">IF('FIRE1102b raw'!E43="..","..",ROUND('FIRE1102b raw'!E43,0))</f>
        <v>68</v>
      </c>
      <c r="F43" s="49">
        <f ca="1">IF('FIRE1102b raw'!F43="..","..",ROUND('FIRE1102b raw'!F43,0))</f>
        <v>239</v>
      </c>
      <c r="G43" s="14">
        <f ca="1">IF('FIRE1102b raw'!G43="..","..",ROUND('FIRE1102b raw'!G43,0))</f>
        <v>340</v>
      </c>
      <c r="H43" s="4"/>
      <c r="J43" s="10"/>
      <c r="K43" s="10"/>
      <c r="M43" s="10"/>
      <c r="N43" s="10"/>
      <c r="P43" s="12"/>
      <c r="Q43" s="12"/>
      <c r="R43" s="12"/>
      <c r="S43" s="12"/>
      <c r="T43" s="12"/>
      <c r="V43" s="11"/>
      <c r="W43" s="11"/>
      <c r="X43" s="11"/>
      <c r="Y43" s="11"/>
      <c r="Z43" s="11"/>
      <c r="AA43" s="11"/>
      <c r="AB43" s="11"/>
      <c r="AC43" s="11"/>
      <c r="AD43" s="11"/>
      <c r="AE43" s="11"/>
      <c r="AF43" s="11"/>
    </row>
    <row r="44" spans="1:32" s="5" customFormat="1" ht="15" customHeight="1" x14ac:dyDescent="0.35">
      <c r="A44" s="4" t="s">
        <v>47</v>
      </c>
      <c r="B44" s="49">
        <f ca="1">IF('FIRE1102b raw'!B44="..","..",ROUND('FIRE1102b raw'!B44,0))</f>
        <v>0</v>
      </c>
      <c r="C44" s="49">
        <f ca="1">IF('FIRE1102b raw'!C44="..","..",ROUND('FIRE1102b raw'!C44,0))</f>
        <v>0</v>
      </c>
      <c r="D44" s="49">
        <f ca="1">IF('FIRE1102b raw'!D44="..","..",ROUND('FIRE1102b raw'!D44,0))</f>
        <v>12</v>
      </c>
      <c r="E44" s="49">
        <f ca="1">IF('FIRE1102b raw'!E44="..","..",ROUND('FIRE1102b raw'!E44,0))</f>
        <v>17</v>
      </c>
      <c r="F44" s="49">
        <f ca="1">IF('FIRE1102b raw'!F44="..","..",ROUND('FIRE1102b raw'!F44,0))</f>
        <v>59</v>
      </c>
      <c r="G44" s="14">
        <f ca="1">IF('FIRE1102b raw'!G44="..","..",ROUND('FIRE1102b raw'!G44,0))</f>
        <v>88</v>
      </c>
      <c r="H44" s="4"/>
      <c r="J44" s="10"/>
      <c r="K44" s="10"/>
      <c r="M44" s="10"/>
      <c r="N44" s="10"/>
      <c r="P44" s="12"/>
      <c r="Q44" s="12"/>
      <c r="R44" s="12"/>
      <c r="S44" s="12"/>
      <c r="T44" s="12"/>
      <c r="V44" s="11"/>
      <c r="W44" s="11"/>
      <c r="X44" s="11"/>
      <c r="Y44" s="11"/>
      <c r="Z44" s="11"/>
      <c r="AA44" s="11"/>
      <c r="AB44" s="11"/>
      <c r="AC44" s="11"/>
      <c r="AD44" s="11"/>
      <c r="AE44" s="11"/>
      <c r="AF44" s="11"/>
    </row>
    <row r="45" spans="1:32" s="5" customFormat="1" ht="15" customHeight="1" x14ac:dyDescent="0.35">
      <c r="A45" s="4" t="s">
        <v>49</v>
      </c>
      <c r="B45" s="49">
        <f ca="1">IF('FIRE1102b raw'!B45="..","..",ROUND('FIRE1102b raw'!B45,0))</f>
        <v>0</v>
      </c>
      <c r="C45" s="49">
        <f ca="1">IF('FIRE1102b raw'!C45="..","..",ROUND('FIRE1102b raw'!C45,0))</f>
        <v>0</v>
      </c>
      <c r="D45" s="49">
        <f ca="1">IF('FIRE1102b raw'!D45="..","..",ROUND('FIRE1102b raw'!D45,0))</f>
        <v>12</v>
      </c>
      <c r="E45" s="49">
        <f ca="1">IF('FIRE1102b raw'!E45="..","..",ROUND('FIRE1102b raw'!E45,0))</f>
        <v>18</v>
      </c>
      <c r="F45" s="49">
        <f ca="1">IF('FIRE1102b raw'!F45="..","..",ROUND('FIRE1102b raw'!F45,0))</f>
        <v>49</v>
      </c>
      <c r="G45" s="14">
        <f ca="1">IF('FIRE1102b raw'!G45="..","..",ROUND('FIRE1102b raw'!G45,0))</f>
        <v>79</v>
      </c>
      <c r="H45" s="4"/>
      <c r="J45" s="10"/>
      <c r="K45" s="10"/>
      <c r="M45" s="10"/>
      <c r="N45" s="10"/>
      <c r="P45" s="12"/>
      <c r="Q45" s="12"/>
      <c r="R45" s="12"/>
      <c r="S45" s="12"/>
      <c r="T45" s="12"/>
      <c r="V45" s="11"/>
      <c r="W45" s="11"/>
      <c r="X45" s="11"/>
      <c r="Y45" s="11"/>
      <c r="Z45" s="11"/>
      <c r="AA45" s="11"/>
      <c r="AB45" s="11"/>
      <c r="AC45" s="11"/>
      <c r="AD45" s="11"/>
      <c r="AE45" s="11"/>
      <c r="AF45" s="11"/>
    </row>
    <row r="46" spans="1:32" s="5" customFormat="1" ht="15" customHeight="1" x14ac:dyDescent="0.35">
      <c r="A46" s="4" t="s">
        <v>51</v>
      </c>
      <c r="B46" s="49">
        <f ca="1">IF('FIRE1102b raw'!B46="..","..",ROUND('FIRE1102b raw'!B46,0))</f>
        <v>0</v>
      </c>
      <c r="C46" s="49">
        <f ca="1">IF('FIRE1102b raw'!C46="..","..",ROUND('FIRE1102b raw'!C46,0))</f>
        <v>0</v>
      </c>
      <c r="D46" s="49">
        <f ca="1">IF('FIRE1102b raw'!D46="..","..",ROUND('FIRE1102b raw'!D46,0))</f>
        <v>13</v>
      </c>
      <c r="E46" s="49">
        <f ca="1">IF('FIRE1102b raw'!E46="..","..",ROUND('FIRE1102b raw'!E46,0))</f>
        <v>32</v>
      </c>
      <c r="F46" s="49">
        <f ca="1">IF('FIRE1102b raw'!F46="..","..",ROUND('FIRE1102b raw'!F46,0))</f>
        <v>106</v>
      </c>
      <c r="G46" s="14">
        <f ca="1">IF('FIRE1102b raw'!G46="..","..",ROUND('FIRE1102b raw'!G46,0))</f>
        <v>150</v>
      </c>
      <c r="H46" s="4"/>
      <c r="J46" s="10"/>
      <c r="K46" s="10"/>
      <c r="M46" s="10"/>
      <c r="N46" s="10"/>
      <c r="P46" s="12"/>
      <c r="Q46" s="12"/>
      <c r="R46" s="12"/>
      <c r="S46" s="12"/>
      <c r="T46" s="12"/>
      <c r="V46" s="11"/>
      <c r="W46" s="11"/>
      <c r="X46" s="11"/>
      <c r="Y46" s="11"/>
      <c r="Z46" s="11"/>
      <c r="AA46" s="11"/>
      <c r="AB46" s="11"/>
      <c r="AC46" s="11"/>
      <c r="AD46" s="11"/>
      <c r="AE46" s="11"/>
      <c r="AF46" s="11"/>
    </row>
    <row r="47" spans="1:32" s="5" customFormat="1" ht="15" customHeight="1" x14ac:dyDescent="0.35">
      <c r="A47" s="4" t="s">
        <v>30</v>
      </c>
      <c r="B47" s="49">
        <f ca="1">IF('FIRE1102b raw'!B47="..","..",ROUND('FIRE1102b raw'!B47,0))</f>
        <v>0</v>
      </c>
      <c r="C47" s="49">
        <f ca="1">IF('FIRE1102b raw'!C47="..","..",ROUND('FIRE1102b raw'!C47,0))</f>
        <v>1</v>
      </c>
      <c r="D47" s="49">
        <f ca="1">IF('FIRE1102b raw'!D47="..","..",ROUND('FIRE1102b raw'!D47,0))</f>
        <v>5</v>
      </c>
      <c r="E47" s="49">
        <f ca="1">IF('FIRE1102b raw'!E47="..","..",ROUND('FIRE1102b raw'!E47,0))</f>
        <v>6</v>
      </c>
      <c r="F47" s="49">
        <f ca="1">IF('FIRE1102b raw'!F47="..","..",ROUND('FIRE1102b raw'!F47,0))</f>
        <v>30</v>
      </c>
      <c r="G47" s="14">
        <f ca="1">IF('FIRE1102b raw'!G47="..","..",ROUND('FIRE1102b raw'!G47,0))</f>
        <v>42</v>
      </c>
      <c r="H47" s="4"/>
      <c r="J47" s="10"/>
      <c r="K47" s="10"/>
      <c r="M47" s="10"/>
      <c r="N47" s="10"/>
      <c r="P47" s="12"/>
      <c r="Q47" s="12"/>
      <c r="R47" s="12"/>
      <c r="S47" s="12"/>
      <c r="T47" s="12"/>
      <c r="V47" s="11"/>
      <c r="W47" s="11"/>
      <c r="X47" s="11"/>
      <c r="Y47" s="11"/>
      <c r="Z47" s="11"/>
      <c r="AA47" s="11"/>
      <c r="AB47" s="11"/>
      <c r="AC47" s="11"/>
      <c r="AD47" s="11"/>
      <c r="AE47" s="11"/>
      <c r="AF47" s="11"/>
    </row>
    <row r="48" spans="1:32" s="5" customFormat="1" ht="15" customHeight="1" x14ac:dyDescent="0.35">
      <c r="A48" s="33" t="s">
        <v>5</v>
      </c>
      <c r="B48" s="14">
        <f ca="1">IF('FIRE1102b raw'!B48="..","..",ROUND('FIRE1102b raw'!B48,0))</f>
        <v>0</v>
      </c>
      <c r="C48" s="14">
        <f ca="1">IF('FIRE1102b raw'!C48="..","..",ROUND('FIRE1102b raw'!C48,0))</f>
        <v>1</v>
      </c>
      <c r="D48" s="14">
        <f ca="1">IF('FIRE1102b raw'!D48="..","..",ROUND('FIRE1102b raw'!D48,0))</f>
        <v>36</v>
      </c>
      <c r="E48" s="14">
        <f ca="1">IF('FIRE1102b raw'!E48="..","..",ROUND('FIRE1102b raw'!E48,0))</f>
        <v>33</v>
      </c>
      <c r="F48" s="14">
        <f ca="1">IF('FIRE1102b raw'!F48="..","..",ROUND('FIRE1102b raw'!F48,0))</f>
        <v>175</v>
      </c>
      <c r="G48" s="14">
        <f ca="1">IF('FIRE1102b raw'!G48="..","..",ROUND('FIRE1102b raw'!G48,0))</f>
        <v>245</v>
      </c>
      <c r="H48" s="4"/>
      <c r="J48" s="10"/>
      <c r="K48" s="10"/>
      <c r="M48" s="10"/>
      <c r="N48" s="10"/>
      <c r="P48" s="12"/>
      <c r="Q48" s="12"/>
      <c r="R48" s="12"/>
      <c r="S48" s="12"/>
      <c r="T48" s="12"/>
      <c r="V48" s="11"/>
      <c r="W48" s="11"/>
      <c r="X48" s="11"/>
      <c r="Y48" s="11"/>
      <c r="Z48" s="11"/>
      <c r="AA48" s="11"/>
      <c r="AB48" s="11"/>
      <c r="AC48" s="11"/>
      <c r="AD48" s="11"/>
      <c r="AE48" s="11"/>
      <c r="AF48" s="11"/>
    </row>
    <row r="49" spans="1:32" s="5" customFormat="1" ht="15" customHeight="1" x14ac:dyDescent="0.35">
      <c r="A49" s="4" t="s">
        <v>24</v>
      </c>
      <c r="B49" s="49">
        <f ca="1">IF('FIRE1102b raw'!B49="..","..",ROUND('FIRE1102b raw'!B49,0))</f>
        <v>0</v>
      </c>
      <c r="C49" s="49">
        <f ca="1">IF('FIRE1102b raw'!C49="..","..",ROUND('FIRE1102b raw'!C49,0))</f>
        <v>0</v>
      </c>
      <c r="D49" s="49">
        <f ca="1">IF('FIRE1102b raw'!D49="..","..",ROUND('FIRE1102b raw'!D49,0))</f>
        <v>0</v>
      </c>
      <c r="E49" s="49">
        <f ca="1">IF('FIRE1102b raw'!E49="..","..",ROUND('FIRE1102b raw'!E49,0))</f>
        <v>0</v>
      </c>
      <c r="F49" s="49">
        <f ca="1">IF('FIRE1102b raw'!F49="..","..",ROUND('FIRE1102b raw'!F49,0))</f>
        <v>4</v>
      </c>
      <c r="G49" s="14">
        <f ca="1">IF('FIRE1102b raw'!G49="..","..",ROUND('FIRE1102b raw'!G49,0))</f>
        <v>4</v>
      </c>
      <c r="H49" s="4"/>
      <c r="J49" s="10"/>
      <c r="K49" s="10"/>
      <c r="M49" s="10"/>
      <c r="N49" s="10"/>
      <c r="P49" s="12"/>
      <c r="Q49" s="12"/>
      <c r="R49" s="12"/>
      <c r="S49" s="12"/>
      <c r="T49" s="12"/>
      <c r="V49" s="11"/>
      <c r="W49" s="11"/>
      <c r="X49" s="11"/>
      <c r="Y49" s="11"/>
      <c r="Z49" s="11"/>
      <c r="AA49" s="11"/>
      <c r="AB49" s="11"/>
      <c r="AC49" s="11"/>
      <c r="AD49" s="11"/>
      <c r="AE49" s="11"/>
      <c r="AF49" s="11"/>
    </row>
    <row r="50" spans="1:32" s="5" customFormat="1" ht="15" customHeight="1" x14ac:dyDescent="0.35">
      <c r="A50" s="4" t="s">
        <v>35</v>
      </c>
      <c r="B50" s="49">
        <f ca="1">IF('FIRE1102b raw'!B50="..","..",ROUND('FIRE1102b raw'!B50,0))</f>
        <v>0</v>
      </c>
      <c r="C50" s="49">
        <f ca="1">IF('FIRE1102b raw'!C50="..","..",ROUND('FIRE1102b raw'!C50,0))</f>
        <v>0</v>
      </c>
      <c r="D50" s="49">
        <f ca="1">IF('FIRE1102b raw'!D50="..","..",ROUND('FIRE1102b raw'!D50,0))</f>
        <v>15</v>
      </c>
      <c r="E50" s="49">
        <f ca="1">IF('FIRE1102b raw'!E50="..","..",ROUND('FIRE1102b raw'!E50,0))</f>
        <v>6</v>
      </c>
      <c r="F50" s="49">
        <f ca="1">IF('FIRE1102b raw'!F50="..","..",ROUND('FIRE1102b raw'!F50,0))</f>
        <v>46</v>
      </c>
      <c r="G50" s="14">
        <f ca="1">IF('FIRE1102b raw'!G50="..","..",ROUND('FIRE1102b raw'!G50,0))</f>
        <v>67</v>
      </c>
      <c r="H50" s="4"/>
      <c r="J50" s="10"/>
      <c r="K50" s="10"/>
      <c r="M50" s="10"/>
      <c r="N50" s="10"/>
      <c r="P50" s="12"/>
      <c r="Q50" s="12"/>
      <c r="R50" s="12"/>
      <c r="S50" s="12"/>
      <c r="T50" s="12"/>
      <c r="V50" s="11"/>
      <c r="W50" s="11"/>
      <c r="X50" s="11"/>
      <c r="Y50" s="11"/>
      <c r="Z50" s="11"/>
      <c r="AA50" s="11"/>
      <c r="AB50" s="11"/>
      <c r="AC50" s="11"/>
      <c r="AD50" s="11"/>
      <c r="AE50" s="11"/>
      <c r="AF50" s="11"/>
    </row>
    <row r="51" spans="1:32" s="5" customFormat="1" ht="15" customHeight="1" x14ac:dyDescent="0.35">
      <c r="A51" s="4" t="s">
        <v>44</v>
      </c>
      <c r="B51" s="49">
        <f ca="1">IF('FIRE1102b raw'!B51="..","..",ROUND('FIRE1102b raw'!B51,0))</f>
        <v>0</v>
      </c>
      <c r="C51" s="49">
        <f ca="1">IF('FIRE1102b raw'!C51="..","..",ROUND('FIRE1102b raw'!C51,0))</f>
        <v>0</v>
      </c>
      <c r="D51" s="49">
        <f ca="1">IF('FIRE1102b raw'!D51="..","..",ROUND('FIRE1102b raw'!D51,0))</f>
        <v>7</v>
      </c>
      <c r="E51" s="49">
        <f ca="1">IF('FIRE1102b raw'!E51="..","..",ROUND('FIRE1102b raw'!E51,0))</f>
        <v>17</v>
      </c>
      <c r="F51" s="49">
        <f ca="1">IF('FIRE1102b raw'!F51="..","..",ROUND('FIRE1102b raw'!F51,0))</f>
        <v>56</v>
      </c>
      <c r="G51" s="14">
        <f ca="1">IF('FIRE1102b raw'!G51="..","..",ROUND('FIRE1102b raw'!G51,0))</f>
        <v>80</v>
      </c>
      <c r="H51" s="4"/>
      <c r="J51" s="10"/>
      <c r="K51" s="10"/>
      <c r="M51" s="10"/>
      <c r="N51" s="10"/>
      <c r="P51" s="12"/>
      <c r="Q51" s="12"/>
      <c r="R51" s="12"/>
      <c r="S51" s="12"/>
      <c r="T51" s="12"/>
      <c r="V51" s="11"/>
      <c r="W51" s="11"/>
      <c r="X51" s="11"/>
      <c r="Y51" s="11"/>
      <c r="Z51" s="11"/>
      <c r="AA51" s="11"/>
      <c r="AB51" s="11"/>
      <c r="AC51" s="11"/>
      <c r="AD51" s="11"/>
      <c r="AE51" s="11"/>
      <c r="AF51" s="11"/>
    </row>
    <row r="52" spans="1:32" s="5" customFormat="1" ht="15" customHeight="1" x14ac:dyDescent="0.35">
      <c r="A52" s="4" t="s">
        <v>48</v>
      </c>
      <c r="B52" s="49">
        <f ca="1">IF('FIRE1102b raw'!B52="..","..",ROUND('FIRE1102b raw'!B52,0))</f>
        <v>0</v>
      </c>
      <c r="C52" s="49">
        <f ca="1">IF('FIRE1102b raw'!C52="..","..",ROUND('FIRE1102b raw'!C52,0))</f>
        <v>0</v>
      </c>
      <c r="D52" s="49">
        <f ca="1">IF('FIRE1102b raw'!D52="..","..",ROUND('FIRE1102b raw'!D52,0))</f>
        <v>1</v>
      </c>
      <c r="E52" s="49">
        <f ca="1">IF('FIRE1102b raw'!E52="..","..",ROUND('FIRE1102b raw'!E52,0))</f>
        <v>1</v>
      </c>
      <c r="F52" s="49">
        <f ca="1">IF('FIRE1102b raw'!F52="..","..",ROUND('FIRE1102b raw'!F52,0))</f>
        <v>8</v>
      </c>
      <c r="G52" s="14">
        <f ca="1">IF('FIRE1102b raw'!G52="..","..",ROUND('FIRE1102b raw'!G52,0))</f>
        <v>10</v>
      </c>
      <c r="H52" s="4"/>
      <c r="J52" s="10"/>
      <c r="K52" s="10"/>
      <c r="M52" s="10"/>
      <c r="N52" s="10"/>
      <c r="P52" s="12"/>
      <c r="Q52" s="12"/>
      <c r="R52" s="12"/>
      <c r="S52" s="12"/>
      <c r="T52" s="12"/>
      <c r="V52" s="11"/>
      <c r="W52" s="11"/>
      <c r="X52" s="11"/>
      <c r="Y52" s="11"/>
      <c r="Z52" s="11"/>
      <c r="AA52" s="11"/>
      <c r="AB52" s="11"/>
      <c r="AC52" s="11"/>
      <c r="AD52" s="11"/>
      <c r="AE52" s="11"/>
      <c r="AF52" s="11"/>
    </row>
    <row r="53" spans="1:32" s="5" customFormat="1" ht="15" customHeight="1" x14ac:dyDescent="0.35">
      <c r="A53" s="4" t="s">
        <v>50</v>
      </c>
      <c r="B53" s="49">
        <f ca="1">IF('FIRE1102b raw'!B53="..","..",ROUND('FIRE1102b raw'!B53,0))</f>
        <v>0</v>
      </c>
      <c r="C53" s="49">
        <f ca="1">IF('FIRE1102b raw'!C53="..","..",ROUND('FIRE1102b raw'!C53,0))</f>
        <v>1</v>
      </c>
      <c r="D53" s="49">
        <f ca="1">IF('FIRE1102b raw'!D53="..","..",ROUND('FIRE1102b raw'!D53,0))</f>
        <v>6</v>
      </c>
      <c r="E53" s="49">
        <f ca="1">IF('FIRE1102b raw'!E53="..","..",ROUND('FIRE1102b raw'!E53,0))</f>
        <v>0</v>
      </c>
      <c r="F53" s="49">
        <f ca="1">IF('FIRE1102b raw'!F53="..","..",ROUND('FIRE1102b raw'!F53,0))</f>
        <v>0</v>
      </c>
      <c r="G53" s="14">
        <f ca="1">IF('FIRE1102b raw'!G53="..","..",ROUND('FIRE1102b raw'!G53,0))</f>
        <v>7</v>
      </c>
      <c r="H53" s="4"/>
      <c r="J53" s="10"/>
      <c r="K53" s="10"/>
      <c r="M53" s="10"/>
      <c r="N53" s="10"/>
      <c r="P53" s="12"/>
      <c r="Q53" s="12"/>
      <c r="R53" s="12"/>
      <c r="S53" s="12"/>
      <c r="T53" s="12"/>
      <c r="V53" s="11"/>
      <c r="W53" s="11"/>
      <c r="X53" s="11"/>
      <c r="Y53" s="11"/>
      <c r="Z53" s="11"/>
      <c r="AA53" s="11"/>
      <c r="AB53" s="11"/>
      <c r="AC53" s="11"/>
      <c r="AD53" s="11"/>
      <c r="AE53" s="11"/>
      <c r="AF53" s="11"/>
    </row>
    <row r="54" spans="1:32" s="5" customFormat="1" ht="15" customHeight="1" x14ac:dyDescent="0.35">
      <c r="A54" s="4" t="s">
        <v>52</v>
      </c>
      <c r="B54" s="49">
        <f ca="1">IF('FIRE1102b raw'!B54="..","..",ROUND('FIRE1102b raw'!B54,0))</f>
        <v>0</v>
      </c>
      <c r="C54" s="49">
        <f ca="1">IF('FIRE1102b raw'!C54="..","..",ROUND('FIRE1102b raw'!C54,0))</f>
        <v>0</v>
      </c>
      <c r="D54" s="49">
        <f ca="1">IF('FIRE1102b raw'!D54="..","..",ROUND('FIRE1102b raw'!D54,0))</f>
        <v>7</v>
      </c>
      <c r="E54" s="49">
        <f ca="1">IF('FIRE1102b raw'!E54="..","..",ROUND('FIRE1102b raw'!E54,0))</f>
        <v>9</v>
      </c>
      <c r="F54" s="49">
        <f ca="1">IF('FIRE1102b raw'!F54="..","..",ROUND('FIRE1102b raw'!F54,0))</f>
        <v>61</v>
      </c>
      <c r="G54" s="14">
        <f ca="1">IF('FIRE1102b raw'!G54="..","..",ROUND('FIRE1102b raw'!G54,0))</f>
        <v>77</v>
      </c>
      <c r="H54" s="4"/>
      <c r="J54" s="10"/>
      <c r="K54" s="10"/>
      <c r="L54" s="4"/>
      <c r="M54" s="10"/>
      <c r="N54" s="10"/>
      <c r="P54" s="12"/>
      <c r="Q54" s="12"/>
      <c r="R54" s="12"/>
      <c r="S54" s="12"/>
      <c r="T54" s="12"/>
      <c r="V54" s="11"/>
      <c r="W54" s="11"/>
      <c r="X54" s="11"/>
      <c r="Y54" s="11"/>
      <c r="Z54" s="11"/>
      <c r="AA54" s="11"/>
      <c r="AB54" s="11"/>
      <c r="AC54" s="11"/>
      <c r="AD54" s="11"/>
      <c r="AE54" s="11"/>
      <c r="AF54" s="11"/>
    </row>
    <row r="55" spans="1:32" s="5" customFormat="1" ht="15" customHeight="1" thickBot="1" x14ac:dyDescent="0.4">
      <c r="A55" s="15" t="s">
        <v>23</v>
      </c>
      <c r="B55" s="49">
        <f ca="1">IF('FIRE1102b raw'!B55="..","..",ROUND('FIRE1102b raw'!B55,0))</f>
        <v>0</v>
      </c>
      <c r="C55" s="49">
        <f ca="1">IF('FIRE1102b raw'!C55="..","..",ROUND('FIRE1102b raw'!C55,0))</f>
        <v>0</v>
      </c>
      <c r="D55" s="49">
        <f ca="1">IF('FIRE1102b raw'!D55="..","..",ROUND('FIRE1102b raw'!D55,0))</f>
        <v>0</v>
      </c>
      <c r="E55" s="49">
        <f ca="1">IF('FIRE1102b raw'!E55="..","..",ROUND('FIRE1102b raw'!E55,0))</f>
        <v>0</v>
      </c>
      <c r="F55" s="49">
        <f ca="1">IF('FIRE1102b raw'!F55="..","..",ROUND('FIRE1102b raw'!F55,0))</f>
        <v>0</v>
      </c>
      <c r="G55" s="14">
        <f ca="1">IF('FIRE1102b raw'!G55="..","..",ROUND('FIRE1102b raw'!G55,0))</f>
        <v>0</v>
      </c>
      <c r="H55" s="4"/>
      <c r="J55" s="10"/>
      <c r="K55" s="10"/>
      <c r="L55" s="4"/>
      <c r="M55" s="10"/>
      <c r="N55" s="10"/>
      <c r="P55" s="12"/>
      <c r="Q55" s="12"/>
      <c r="R55" s="12"/>
      <c r="S55" s="12"/>
      <c r="T55" s="12"/>
      <c r="V55" s="11"/>
      <c r="W55" s="11"/>
      <c r="X55" s="11"/>
      <c r="Y55" s="11"/>
      <c r="Z55" s="11"/>
      <c r="AA55" s="11"/>
      <c r="AB55" s="11"/>
      <c r="AC55" s="11"/>
      <c r="AD55" s="11"/>
      <c r="AE55" s="11"/>
      <c r="AF55" s="11"/>
    </row>
    <row r="56" spans="1:32" s="5" customFormat="1" ht="15" customHeight="1" x14ac:dyDescent="0.35">
      <c r="B56" s="116"/>
      <c r="C56" s="116"/>
      <c r="D56" s="116"/>
      <c r="E56" s="116"/>
      <c r="F56" s="116"/>
      <c r="G56" s="113"/>
      <c r="H56" s="4"/>
      <c r="J56" s="10"/>
      <c r="K56" s="10"/>
      <c r="L56" s="4"/>
      <c r="M56" s="10"/>
      <c r="N56" s="10"/>
      <c r="P56" s="12"/>
      <c r="Q56" s="12"/>
      <c r="R56" s="12"/>
      <c r="S56" s="12"/>
      <c r="T56" s="12"/>
      <c r="V56" s="11"/>
      <c r="W56" s="11"/>
      <c r="X56" s="11"/>
      <c r="Y56" s="11"/>
      <c r="Z56" s="11"/>
      <c r="AA56" s="11"/>
      <c r="AB56" s="11"/>
      <c r="AC56" s="11"/>
      <c r="AD56" s="11"/>
      <c r="AE56" s="11"/>
      <c r="AF56" s="11"/>
    </row>
    <row r="57" spans="1:32" x14ac:dyDescent="0.35">
      <c r="A57" s="101" t="s">
        <v>111</v>
      </c>
    </row>
    <row r="58" spans="1:32" x14ac:dyDescent="0.35">
      <c r="A58" s="106" t="s">
        <v>112</v>
      </c>
    </row>
    <row r="59" spans="1:32" ht="15" customHeight="1" x14ac:dyDescent="0.35">
      <c r="A59" s="159" t="s">
        <v>144</v>
      </c>
      <c r="B59" s="159"/>
      <c r="C59" s="159"/>
      <c r="D59" s="159"/>
      <c r="E59" s="159"/>
      <c r="F59" s="159"/>
      <c r="G59" s="159"/>
      <c r="H59" s="2"/>
      <c r="I59" s="2"/>
    </row>
    <row r="60" spans="1:32" ht="15" customHeight="1" x14ac:dyDescent="0.35">
      <c r="A60" s="106"/>
    </row>
    <row r="61" spans="1:32" x14ac:dyDescent="0.35">
      <c r="A61" s="4" t="s">
        <v>2</v>
      </c>
    </row>
    <row r="62" spans="1:32" x14ac:dyDescent="0.35">
      <c r="A62" s="162" t="s">
        <v>3</v>
      </c>
      <c r="B62" s="162"/>
      <c r="K62" s="5"/>
    </row>
    <row r="63" spans="1:32" x14ac:dyDescent="0.35">
      <c r="A63" s="17"/>
    </row>
    <row r="64" spans="1:32" x14ac:dyDescent="0.35">
      <c r="A64" s="159" t="s">
        <v>70</v>
      </c>
      <c r="B64" s="159"/>
      <c r="C64" s="159"/>
      <c r="D64" s="159"/>
      <c r="E64" s="159"/>
      <c r="F64" s="159"/>
    </row>
    <row r="66" spans="1:10" x14ac:dyDescent="0.35">
      <c r="A66" s="4" t="s">
        <v>4</v>
      </c>
      <c r="E66" s="161" t="s">
        <v>199</v>
      </c>
      <c r="F66" s="161"/>
      <c r="G66" s="161"/>
    </row>
    <row r="67" spans="1:10" ht="15" customHeight="1" x14ac:dyDescent="0.35">
      <c r="A67" s="147" t="s">
        <v>194</v>
      </c>
      <c r="D67" s="146"/>
      <c r="E67" s="161" t="s">
        <v>193</v>
      </c>
      <c r="F67" s="161"/>
      <c r="G67" s="161"/>
    </row>
    <row r="71" spans="1:10" x14ac:dyDescent="0.35">
      <c r="J71" s="4">
        <v>2011</v>
      </c>
    </row>
    <row r="72" spans="1:10" x14ac:dyDescent="0.35">
      <c r="J72" s="4">
        <v>2012</v>
      </c>
    </row>
    <row r="73" spans="1:10" x14ac:dyDescent="0.35">
      <c r="J73" s="4">
        <v>2013</v>
      </c>
    </row>
    <row r="74" spans="1:10" x14ac:dyDescent="0.35">
      <c r="J74" s="4">
        <v>2014</v>
      </c>
    </row>
    <row r="75" spans="1:10" x14ac:dyDescent="0.35">
      <c r="J75" s="4">
        <v>2015</v>
      </c>
    </row>
    <row r="76" spans="1:10" x14ac:dyDescent="0.35">
      <c r="J76" s="4">
        <v>2016</v>
      </c>
    </row>
    <row r="77" spans="1:10" x14ac:dyDescent="0.35">
      <c r="J77" s="4">
        <v>2017</v>
      </c>
    </row>
    <row r="78" spans="1:10" x14ac:dyDescent="0.35">
      <c r="J78" s="4">
        <v>2018</v>
      </c>
    </row>
    <row r="79" spans="1:10" x14ac:dyDescent="0.35">
      <c r="J79" s="4">
        <v>2019</v>
      </c>
    </row>
  </sheetData>
  <mergeCells count="8">
    <mergeCell ref="E67:G67"/>
    <mergeCell ref="A62:B62"/>
    <mergeCell ref="A59:G59"/>
    <mergeCell ref="A1:G1"/>
    <mergeCell ref="B5:G5"/>
    <mergeCell ref="A64:F64"/>
    <mergeCell ref="E66:G66"/>
    <mergeCell ref="A4:F4"/>
  </mergeCells>
  <dataValidations count="1">
    <dataValidation type="list" allowBlank="1" showInputMessage="1" showErrorMessage="1" sqref="A4" xr:uid="{00000000-0002-0000-1D00-000000000000}">
      <formula1>$J$71:$J$79</formula1>
    </dataValidation>
  </dataValidations>
  <hyperlinks>
    <hyperlink ref="A67" r:id="rId1" xr:uid="{00000000-0004-0000-1D00-000001000000}"/>
    <hyperlink ref="A62" r:id="rId2" xr:uid="{00000000-0004-0000-1D00-000002000000}"/>
    <hyperlink ref="E66" r:id="rId3" display="Updated alongside Fire and rescue workforce and pensions statistics" xr:uid="{A09D29ED-AB30-4CFA-B4B9-FEAEB262D840}"/>
    <hyperlink ref="E67:G67" r:id="rId4" display="Next Update: Autumn 2020" xr:uid="{59FF144F-8D6C-4746-8A4D-C10D004A12B2}"/>
  </hyperlinks>
  <pageMargins left="0.7" right="0.7" top="0.75" bottom="0.75" header="0.3" footer="0.3"/>
  <pageSetup paperSize="9" orientation="portrait" r:id="rId5"/>
  <ignoredErrors>
    <ignoredError sqref="B47:G55" evalError="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
  <dimension ref="A1:AG71"/>
  <sheetViews>
    <sheetView zoomScaleNormal="100" workbookViewId="0">
      <pane ySplit="7" topLeftCell="A8" activePane="bottomLeft" state="frozen"/>
      <selection pane="bottomLeft" activeCell="A4" sqref="A4:F4"/>
    </sheetView>
  </sheetViews>
  <sheetFormatPr defaultColWidth="9.1796875" defaultRowHeight="14.5" x14ac:dyDescent="0.35"/>
  <cols>
    <col min="1" max="1" width="50.7265625" style="4" customWidth="1"/>
    <col min="2" max="7" width="12.7265625" style="4" customWidth="1"/>
    <col min="8" max="9" width="9.1796875" style="4" customWidth="1"/>
    <col min="10" max="10" width="9.1796875" style="4" hidden="1" customWidth="1"/>
    <col min="11" max="11" width="9.1796875" style="4" customWidth="1"/>
    <col min="12" max="12" width="10" style="4" bestFit="1" customWidth="1"/>
    <col min="13" max="13" width="11.81640625" style="4" customWidth="1"/>
    <col min="14" max="18" width="9.1796875" style="4"/>
    <col min="19" max="19" width="11" style="4" customWidth="1"/>
    <col min="20" max="16384" width="9.1796875" style="4"/>
  </cols>
  <sheetData>
    <row r="1" spans="1:33" s="3" customFormat="1" ht="33" customHeight="1" x14ac:dyDescent="0.5">
      <c r="A1" s="163" t="s">
        <v>114</v>
      </c>
      <c r="B1" s="163"/>
      <c r="C1" s="163"/>
      <c r="D1" s="163"/>
      <c r="E1" s="163"/>
      <c r="F1" s="163"/>
      <c r="G1" s="163"/>
      <c r="H1" s="1"/>
      <c r="I1" s="1"/>
      <c r="J1" s="2"/>
      <c r="K1" s="2"/>
    </row>
    <row r="2" spans="1:33" s="5" customFormat="1" ht="15" customHeight="1" x14ac:dyDescent="0.35">
      <c r="A2" s="4"/>
      <c r="B2" s="4"/>
      <c r="C2" s="4"/>
      <c r="D2" s="4"/>
      <c r="E2" s="4"/>
      <c r="F2" s="4"/>
      <c r="G2" s="4"/>
      <c r="H2" s="4"/>
      <c r="I2" s="4"/>
      <c r="J2" s="4"/>
      <c r="K2" s="4"/>
    </row>
    <row r="3" spans="1:33" s="5" customFormat="1" ht="15" customHeight="1" x14ac:dyDescent="0.35">
      <c r="A3" s="31" t="s">
        <v>62</v>
      </c>
      <c r="B3" s="32"/>
      <c r="C3" s="32"/>
      <c r="D3" s="32"/>
      <c r="E3" s="32"/>
      <c r="F3" s="32"/>
      <c r="G3" s="32"/>
      <c r="H3" s="4"/>
      <c r="I3" s="4"/>
      <c r="J3" s="4"/>
      <c r="K3" s="4"/>
    </row>
    <row r="4" spans="1:33" s="5" customFormat="1" ht="15" customHeight="1" x14ac:dyDescent="0.35">
      <c r="A4" s="158">
        <v>2019</v>
      </c>
      <c r="B4" s="158"/>
      <c r="C4" s="158"/>
      <c r="D4" s="158"/>
      <c r="E4" s="158"/>
      <c r="F4" s="158"/>
      <c r="G4" s="32"/>
      <c r="H4" s="4"/>
      <c r="I4" s="4"/>
      <c r="J4" s="4"/>
      <c r="K4" s="4"/>
      <c r="L4" s="4"/>
    </row>
    <row r="5" spans="1:33" s="5" customFormat="1" ht="15" thickBot="1" x14ac:dyDescent="0.4">
      <c r="A5" s="4"/>
      <c r="B5" s="157"/>
      <c r="C5" s="157"/>
      <c r="D5" s="157"/>
      <c r="E5" s="157"/>
      <c r="F5" s="157"/>
      <c r="G5" s="157"/>
      <c r="H5" s="4"/>
      <c r="I5" s="4"/>
      <c r="J5" s="6"/>
      <c r="K5" s="6"/>
      <c r="M5" s="6"/>
      <c r="N5" s="6"/>
      <c r="P5" s="6"/>
      <c r="Q5" s="6"/>
      <c r="R5" s="6"/>
      <c r="S5" s="6"/>
      <c r="T5" s="6"/>
      <c r="W5" s="7"/>
    </row>
    <row r="6" spans="1:33" s="9" customFormat="1" ht="29.5" thickBot="1" x14ac:dyDescent="0.4">
      <c r="A6" s="8" t="s">
        <v>142</v>
      </c>
      <c r="B6" s="64" t="s">
        <v>74</v>
      </c>
      <c r="C6" s="64" t="s">
        <v>75</v>
      </c>
      <c r="D6" s="64" t="s">
        <v>76</v>
      </c>
      <c r="E6" s="64" t="s">
        <v>77</v>
      </c>
      <c r="F6" s="64" t="s">
        <v>119</v>
      </c>
      <c r="G6" s="64" t="s">
        <v>1</v>
      </c>
      <c r="L6" s="4"/>
    </row>
    <row r="7" spans="1:33" s="5" customFormat="1" ht="15" customHeight="1" x14ac:dyDescent="0.35">
      <c r="A7" s="34" t="s">
        <v>0</v>
      </c>
      <c r="B7" s="14">
        <f ca="1">IF('FIRE1102c raw'!B7="..","..",ROUND('FIRE1102c raw'!B7,0))</f>
        <v>12</v>
      </c>
      <c r="C7" s="14">
        <f ca="1">IF('FIRE1102c raw'!C7="..","..",ROUND('FIRE1102c raw'!C7,0))</f>
        <v>48</v>
      </c>
      <c r="D7" s="14">
        <f ca="1">IF('FIRE1102c raw'!D7="..","..",ROUND('FIRE1102c raw'!D7,0))</f>
        <v>215</v>
      </c>
      <c r="E7" s="14">
        <f ca="1">IF('FIRE1102c raw'!E7="..","..",ROUND('FIRE1102c raw'!E7,0))</f>
        <v>244</v>
      </c>
      <c r="F7" s="14">
        <f ca="1">IF('FIRE1102c raw'!F7="..","..",ROUND('FIRE1102c raw'!F7,0))</f>
        <v>545</v>
      </c>
      <c r="G7" s="14">
        <f ca="1">IF('FIRE1102c raw'!G7="..","..",ROUND('FIRE1102c raw'!G7,0))</f>
        <v>1064</v>
      </c>
      <c r="H7" s="4"/>
      <c r="I7" s="4"/>
      <c r="J7" s="10"/>
      <c r="K7" s="10"/>
      <c r="M7" s="10"/>
      <c r="N7" s="10"/>
      <c r="P7" s="10"/>
      <c r="Q7" s="10"/>
      <c r="R7" s="10"/>
      <c r="S7" s="10"/>
      <c r="T7" s="10"/>
      <c r="V7" s="11"/>
      <c r="W7" s="11"/>
      <c r="X7" s="11"/>
      <c r="Y7" s="11"/>
      <c r="Z7" s="11"/>
      <c r="AA7" s="11"/>
      <c r="AB7" s="11"/>
      <c r="AC7" s="11"/>
      <c r="AD7" s="11"/>
      <c r="AE7" s="11"/>
      <c r="AF7" s="11"/>
      <c r="AG7" s="12"/>
    </row>
    <row r="8" spans="1:33" s="5" customFormat="1" ht="15" customHeight="1" x14ac:dyDescent="0.35">
      <c r="A8" s="35" t="s">
        <v>6</v>
      </c>
      <c r="B8" s="14">
        <f ca="1">IF('FIRE1102c raw'!B8="..","..",ROUND('FIRE1102c raw'!B8,0))</f>
        <v>9</v>
      </c>
      <c r="C8" s="14">
        <f ca="1">IF('FIRE1102c raw'!C8="..","..",ROUND('FIRE1102c raw'!C8,0))</f>
        <v>39</v>
      </c>
      <c r="D8" s="14">
        <f ca="1">IF('FIRE1102c raw'!D8="..","..",ROUND('FIRE1102c raw'!D8,0))</f>
        <v>163</v>
      </c>
      <c r="E8" s="14">
        <f ca="1">IF('FIRE1102c raw'!E8="..","..",ROUND('FIRE1102c raw'!E8,0))</f>
        <v>179</v>
      </c>
      <c r="F8" s="14">
        <f ca="1">IF('FIRE1102c raw'!F8="..","..",ROUND('FIRE1102c raw'!F8,0))</f>
        <v>383</v>
      </c>
      <c r="G8" s="14">
        <f ca="1">IF('FIRE1102c raw'!G8="..","..",ROUND('FIRE1102c raw'!G8,0))</f>
        <v>774</v>
      </c>
      <c r="H8" s="4"/>
      <c r="J8" s="10"/>
      <c r="K8" s="10"/>
      <c r="M8" s="10"/>
      <c r="N8" s="10"/>
      <c r="P8" s="12"/>
      <c r="Q8" s="12"/>
      <c r="R8" s="12"/>
      <c r="S8" s="12"/>
      <c r="T8" s="12"/>
      <c r="V8" s="11"/>
      <c r="W8" s="11"/>
      <c r="X8" s="11"/>
      <c r="Y8" s="11"/>
      <c r="Z8" s="11"/>
      <c r="AA8" s="11"/>
      <c r="AB8" s="11"/>
      <c r="AC8" s="11"/>
      <c r="AD8" s="11"/>
      <c r="AE8" s="11"/>
      <c r="AF8" s="11"/>
    </row>
    <row r="9" spans="1:33" s="5" customFormat="1" ht="15" customHeight="1" x14ac:dyDescent="0.35">
      <c r="A9" s="4" t="s">
        <v>7</v>
      </c>
      <c r="B9" s="49">
        <f ca="1">IF('FIRE1102c raw'!B9="..","..",ROUND('FIRE1102c raw'!B9,0))</f>
        <v>1</v>
      </c>
      <c r="C9" s="49">
        <f ca="1">IF('FIRE1102c raw'!C9="..","..",ROUND('FIRE1102c raw'!C9,0))</f>
        <v>2</v>
      </c>
      <c r="D9" s="49">
        <f ca="1">IF('FIRE1102c raw'!D9="..","..",ROUND('FIRE1102c raw'!D9,0))</f>
        <v>10</v>
      </c>
      <c r="E9" s="49">
        <f ca="1">IF('FIRE1102c raw'!E9="..","..",ROUND('FIRE1102c raw'!E9,0))</f>
        <v>9</v>
      </c>
      <c r="F9" s="49">
        <f ca="1">IF('FIRE1102c raw'!F9="..","..",ROUND('FIRE1102c raw'!F9,0))</f>
        <v>15</v>
      </c>
      <c r="G9" s="14">
        <f ca="1">IF('FIRE1102c raw'!G9="..","..",ROUND('FIRE1102c raw'!G9,0))</f>
        <v>37</v>
      </c>
      <c r="H9" s="4"/>
      <c r="J9" s="10"/>
      <c r="K9" s="10"/>
      <c r="M9" s="10"/>
      <c r="N9" s="10"/>
      <c r="P9" s="12"/>
      <c r="Q9" s="12"/>
      <c r="R9" s="12"/>
      <c r="S9" s="12"/>
      <c r="T9" s="12"/>
      <c r="V9" s="11"/>
      <c r="W9" s="11"/>
      <c r="X9" s="11"/>
      <c r="Y9" s="11"/>
      <c r="Z9" s="11"/>
      <c r="AA9" s="11"/>
      <c r="AB9" s="11"/>
      <c r="AC9" s="11"/>
      <c r="AD9" s="11"/>
      <c r="AE9" s="11"/>
      <c r="AF9" s="11"/>
    </row>
    <row r="10" spans="1:33" s="5" customFormat="1" ht="15" customHeight="1" x14ac:dyDescent="0.35">
      <c r="A10" s="4" t="s">
        <v>8</v>
      </c>
      <c r="B10" s="49">
        <f ca="1">IF('FIRE1102c raw'!B10="..","..",ROUND('FIRE1102c raw'!B10,0))</f>
        <v>0</v>
      </c>
      <c r="C10" s="49">
        <f ca="1">IF('FIRE1102c raw'!C10="..","..",ROUND('FIRE1102c raw'!C10,0))</f>
        <v>1</v>
      </c>
      <c r="D10" s="49">
        <f ca="1">IF('FIRE1102c raw'!D10="..","..",ROUND('FIRE1102c raw'!D10,0))</f>
        <v>7</v>
      </c>
      <c r="E10" s="49">
        <f ca="1">IF('FIRE1102c raw'!E10="..","..",ROUND('FIRE1102c raw'!E10,0))</f>
        <v>4</v>
      </c>
      <c r="F10" s="49">
        <f ca="1">IF('FIRE1102c raw'!F10="..","..",ROUND('FIRE1102c raw'!F10,0))</f>
        <v>12</v>
      </c>
      <c r="G10" s="14">
        <f ca="1">IF('FIRE1102c raw'!G10="..","..",ROUND('FIRE1102c raw'!G10,0))</f>
        <v>24</v>
      </c>
      <c r="H10" s="4"/>
      <c r="J10" s="10"/>
      <c r="K10" s="10"/>
      <c r="M10" s="10"/>
      <c r="N10" s="10"/>
      <c r="P10" s="12"/>
      <c r="Q10" s="12"/>
      <c r="R10" s="12"/>
      <c r="S10" s="12"/>
      <c r="T10" s="12"/>
      <c r="V10" s="11"/>
      <c r="W10" s="11"/>
      <c r="X10" s="11"/>
      <c r="Y10" s="11"/>
      <c r="Z10" s="11"/>
      <c r="AA10" s="11"/>
      <c r="AB10" s="11"/>
      <c r="AC10" s="11"/>
      <c r="AD10" s="11"/>
      <c r="AE10" s="11"/>
      <c r="AF10" s="11"/>
    </row>
    <row r="11" spans="1:33" s="5" customFormat="1" ht="15" customHeight="1" x14ac:dyDescent="0.35">
      <c r="A11" s="4" t="s">
        <v>9</v>
      </c>
      <c r="B11" s="49">
        <f ca="1">IF('FIRE1102c raw'!B11="..","..",ROUND('FIRE1102c raw'!B11,0))</f>
        <v>1</v>
      </c>
      <c r="C11" s="49">
        <f ca="1">IF('FIRE1102c raw'!C11="..","..",ROUND('FIRE1102c raw'!C11,0))</f>
        <v>2</v>
      </c>
      <c r="D11" s="49">
        <f ca="1">IF('FIRE1102c raw'!D11="..","..",ROUND('FIRE1102c raw'!D11,0))</f>
        <v>5</v>
      </c>
      <c r="E11" s="49">
        <f ca="1">IF('FIRE1102c raw'!E11="..","..",ROUND('FIRE1102c raw'!E11,0))</f>
        <v>12</v>
      </c>
      <c r="F11" s="49">
        <f ca="1">IF('FIRE1102c raw'!F11="..","..",ROUND('FIRE1102c raw'!F11,0))</f>
        <v>19</v>
      </c>
      <c r="G11" s="14">
        <f ca="1">IF('FIRE1102c raw'!G11="..","..",ROUND('FIRE1102c raw'!G11,0))</f>
        <v>39</v>
      </c>
      <c r="H11" s="4"/>
      <c r="J11" s="10"/>
      <c r="K11" s="10"/>
      <c r="M11" s="10"/>
      <c r="N11" s="10"/>
      <c r="P11" s="12"/>
      <c r="Q11" s="12"/>
      <c r="R11" s="12"/>
      <c r="S11" s="12"/>
      <c r="T11" s="12"/>
      <c r="V11" s="11"/>
      <c r="W11" s="11"/>
      <c r="X11" s="11"/>
      <c r="Y11" s="11"/>
      <c r="Z11" s="11"/>
      <c r="AA11" s="11"/>
      <c r="AB11" s="11"/>
      <c r="AC11" s="11"/>
      <c r="AD11" s="11"/>
      <c r="AE11" s="11"/>
      <c r="AF11" s="11"/>
    </row>
    <row r="12" spans="1:33" s="5" customFormat="1" ht="15" customHeight="1" x14ac:dyDescent="0.35">
      <c r="A12" s="4" t="s">
        <v>10</v>
      </c>
      <c r="B12" s="49">
        <f ca="1">IF('FIRE1102c raw'!B12="..","..",ROUND('FIRE1102c raw'!B12,0))</f>
        <v>0</v>
      </c>
      <c r="C12" s="49">
        <f ca="1">IF('FIRE1102c raw'!C12="..","..",ROUND('FIRE1102c raw'!C12,0))</f>
        <v>0</v>
      </c>
      <c r="D12" s="49">
        <f ca="1">IF('FIRE1102c raw'!D12="..","..",ROUND('FIRE1102c raw'!D12,0))</f>
        <v>0</v>
      </c>
      <c r="E12" s="49">
        <f ca="1">IF('FIRE1102c raw'!E12="..","..",ROUND('FIRE1102c raw'!E12,0))</f>
        <v>0</v>
      </c>
      <c r="F12" s="49">
        <f ca="1">IF('FIRE1102c raw'!F12="..","..",ROUND('FIRE1102c raw'!F12,0))</f>
        <v>0</v>
      </c>
      <c r="G12" s="14">
        <f ca="1">IF('FIRE1102c raw'!G12="..","..",ROUND('FIRE1102c raw'!G12,0))</f>
        <v>0</v>
      </c>
      <c r="H12" s="4"/>
      <c r="J12" s="10"/>
      <c r="K12" s="10"/>
      <c r="M12" s="10"/>
      <c r="N12" s="10"/>
      <c r="P12" s="12"/>
      <c r="Q12" s="12"/>
      <c r="R12" s="12"/>
      <c r="S12" s="12"/>
      <c r="T12" s="12"/>
      <c r="V12" s="11"/>
      <c r="W12" s="11"/>
      <c r="X12" s="11"/>
      <c r="Y12" s="11"/>
      <c r="Z12" s="11"/>
      <c r="AA12" s="11"/>
      <c r="AB12" s="11"/>
      <c r="AC12" s="11"/>
      <c r="AD12" s="11"/>
      <c r="AE12" s="11"/>
      <c r="AF12" s="11"/>
    </row>
    <row r="13" spans="1:33" s="5" customFormat="1" ht="15" customHeight="1" x14ac:dyDescent="0.35">
      <c r="A13" s="4" t="s">
        <v>11</v>
      </c>
      <c r="B13" s="49">
        <f ca="1">IF('FIRE1102c raw'!B13="..","..",ROUND('FIRE1102c raw'!B13,0))</f>
        <v>0</v>
      </c>
      <c r="C13" s="49">
        <f ca="1">IF('FIRE1102c raw'!C13="..","..",ROUND('FIRE1102c raw'!C13,0))</f>
        <v>2</v>
      </c>
      <c r="D13" s="49">
        <f ca="1">IF('FIRE1102c raw'!D13="..","..",ROUND('FIRE1102c raw'!D13,0))</f>
        <v>6</v>
      </c>
      <c r="E13" s="49">
        <f ca="1">IF('FIRE1102c raw'!E13="..","..",ROUND('FIRE1102c raw'!E13,0))</f>
        <v>10</v>
      </c>
      <c r="F13" s="49">
        <f ca="1">IF('FIRE1102c raw'!F13="..","..",ROUND('FIRE1102c raw'!F13,0))</f>
        <v>23</v>
      </c>
      <c r="G13" s="14">
        <f ca="1">IF('FIRE1102c raw'!G13="..","..",ROUND('FIRE1102c raw'!G13,0))</f>
        <v>41</v>
      </c>
      <c r="H13" s="4"/>
      <c r="J13" s="10"/>
      <c r="K13" s="10"/>
      <c r="M13" s="10"/>
      <c r="N13" s="10"/>
      <c r="P13" s="12"/>
      <c r="Q13" s="12"/>
      <c r="R13" s="12"/>
      <c r="S13" s="12"/>
      <c r="T13" s="12"/>
      <c r="V13" s="11"/>
      <c r="W13" s="11"/>
      <c r="X13" s="11"/>
      <c r="Y13" s="11"/>
      <c r="Z13" s="11"/>
      <c r="AA13" s="11"/>
      <c r="AB13" s="11"/>
      <c r="AC13" s="11"/>
      <c r="AD13" s="11"/>
      <c r="AE13" s="11"/>
      <c r="AF13" s="11"/>
    </row>
    <row r="14" spans="1:33" s="5" customFormat="1" ht="15" customHeight="1" x14ac:dyDescent="0.35">
      <c r="A14" s="4" t="s">
        <v>12</v>
      </c>
      <c r="B14" s="49">
        <f ca="1">IF('FIRE1102c raw'!B14="..","..",ROUND('FIRE1102c raw'!B14,0))</f>
        <v>0</v>
      </c>
      <c r="C14" s="49">
        <f ca="1">IF('FIRE1102c raw'!C14="..","..",ROUND('FIRE1102c raw'!C14,0))</f>
        <v>0</v>
      </c>
      <c r="D14" s="49">
        <f ca="1">IF('FIRE1102c raw'!D14="..","..",ROUND('FIRE1102c raw'!D14,0))</f>
        <v>0</v>
      </c>
      <c r="E14" s="49">
        <f ca="1">IF('FIRE1102c raw'!E14="..","..",ROUND('FIRE1102c raw'!E14,0))</f>
        <v>0</v>
      </c>
      <c r="F14" s="49">
        <f ca="1">IF('FIRE1102c raw'!F14="..","..",ROUND('FIRE1102c raw'!F14,0))</f>
        <v>0</v>
      </c>
      <c r="G14" s="14">
        <f ca="1">IF('FIRE1102c raw'!G14="..","..",ROUND('FIRE1102c raw'!G14,0))</f>
        <v>0</v>
      </c>
      <c r="H14" s="4"/>
      <c r="J14" s="10"/>
      <c r="K14" s="10"/>
      <c r="M14" s="10"/>
      <c r="N14" s="10"/>
      <c r="P14" s="12"/>
      <c r="Q14" s="12"/>
      <c r="R14" s="12"/>
      <c r="S14" s="12"/>
      <c r="T14" s="12"/>
      <c r="V14" s="11"/>
      <c r="W14" s="11"/>
      <c r="X14" s="11"/>
      <c r="Y14" s="11"/>
      <c r="Z14" s="11"/>
      <c r="AA14" s="11"/>
      <c r="AB14" s="11"/>
      <c r="AC14" s="11"/>
      <c r="AD14" s="11"/>
      <c r="AE14" s="11"/>
      <c r="AF14" s="11"/>
    </row>
    <row r="15" spans="1:33" s="5" customFormat="1" ht="15" customHeight="1" x14ac:dyDescent="0.35">
      <c r="A15" s="4" t="s">
        <v>13</v>
      </c>
      <c r="B15" s="49">
        <f ca="1">IF('FIRE1102c raw'!B15="..","..",ROUND('FIRE1102c raw'!B15,0))</f>
        <v>0</v>
      </c>
      <c r="C15" s="49">
        <f ca="1">IF('FIRE1102c raw'!C15="..","..",ROUND('FIRE1102c raw'!C15,0))</f>
        <v>0</v>
      </c>
      <c r="D15" s="49">
        <f ca="1">IF('FIRE1102c raw'!D15="..","..",ROUND('FIRE1102c raw'!D15,0))</f>
        <v>5</v>
      </c>
      <c r="E15" s="49">
        <f ca="1">IF('FIRE1102c raw'!E15="..","..",ROUND('FIRE1102c raw'!E15,0))</f>
        <v>7</v>
      </c>
      <c r="F15" s="49">
        <f ca="1">IF('FIRE1102c raw'!F15="..","..",ROUND('FIRE1102c raw'!F15,0))</f>
        <v>8</v>
      </c>
      <c r="G15" s="14">
        <f ca="1">IF('FIRE1102c raw'!G15="..","..",ROUND('FIRE1102c raw'!G15,0))</f>
        <v>20</v>
      </c>
      <c r="H15" s="4"/>
      <c r="J15" s="10"/>
      <c r="K15" s="10"/>
      <c r="M15" s="10"/>
      <c r="N15" s="10"/>
      <c r="P15" s="12"/>
      <c r="Q15" s="12"/>
      <c r="R15" s="12"/>
      <c r="S15" s="12"/>
      <c r="T15" s="12"/>
      <c r="V15" s="11"/>
      <c r="W15" s="11"/>
      <c r="X15" s="11"/>
      <c r="Y15" s="11"/>
      <c r="Z15" s="11"/>
      <c r="AA15" s="11"/>
      <c r="AB15" s="11"/>
      <c r="AC15" s="11"/>
      <c r="AD15" s="11"/>
      <c r="AE15" s="11"/>
      <c r="AF15" s="11"/>
    </row>
    <row r="16" spans="1:33" s="5" customFormat="1" ht="15" customHeight="1" x14ac:dyDescent="0.35">
      <c r="A16" s="4" t="s">
        <v>14</v>
      </c>
      <c r="B16" s="49">
        <f ca="1">IF('FIRE1102c raw'!B16="..","..",ROUND('FIRE1102c raw'!B16,0))</f>
        <v>0</v>
      </c>
      <c r="C16" s="49">
        <f ca="1">IF('FIRE1102c raw'!C16="..","..",ROUND('FIRE1102c raw'!C16,0))</f>
        <v>0</v>
      </c>
      <c r="D16" s="49">
        <f ca="1">IF('FIRE1102c raw'!D16="..","..",ROUND('FIRE1102c raw'!D16,0))</f>
        <v>2</v>
      </c>
      <c r="E16" s="49">
        <f ca="1">IF('FIRE1102c raw'!E16="..","..",ROUND('FIRE1102c raw'!E16,0))</f>
        <v>6</v>
      </c>
      <c r="F16" s="49">
        <f ca="1">IF('FIRE1102c raw'!F16="..","..",ROUND('FIRE1102c raw'!F16,0))</f>
        <v>8</v>
      </c>
      <c r="G16" s="14">
        <f ca="1">IF('FIRE1102c raw'!G16="..","..",ROUND('FIRE1102c raw'!G16,0))</f>
        <v>16</v>
      </c>
      <c r="H16" s="4"/>
      <c r="J16" s="10"/>
      <c r="K16" s="10"/>
      <c r="M16" s="10"/>
      <c r="N16" s="10"/>
      <c r="P16" s="12"/>
      <c r="Q16" s="12"/>
      <c r="R16" s="12"/>
      <c r="S16" s="12"/>
      <c r="T16" s="12"/>
      <c r="V16" s="11"/>
      <c r="W16" s="11"/>
      <c r="X16" s="11"/>
      <c r="Y16" s="11"/>
      <c r="Z16" s="11"/>
      <c r="AA16" s="11"/>
      <c r="AB16" s="11"/>
      <c r="AC16" s="11"/>
      <c r="AD16" s="11"/>
      <c r="AE16" s="11"/>
      <c r="AF16" s="11"/>
    </row>
    <row r="17" spans="1:32" s="5" customFormat="1" ht="15" customHeight="1" x14ac:dyDescent="0.35">
      <c r="A17" s="4" t="s">
        <v>15</v>
      </c>
      <c r="B17" s="49">
        <f ca="1">IF('FIRE1102c raw'!B17="..","..",ROUND('FIRE1102c raw'!B17,0))</f>
        <v>0</v>
      </c>
      <c r="C17" s="49">
        <f ca="1">IF('FIRE1102c raw'!C17="..","..",ROUND('FIRE1102c raw'!C17,0))</f>
        <v>0</v>
      </c>
      <c r="D17" s="49">
        <f ca="1">IF('FIRE1102c raw'!D17="..","..",ROUND('FIRE1102c raw'!D17,0))</f>
        <v>0</v>
      </c>
      <c r="E17" s="49">
        <f ca="1">IF('FIRE1102c raw'!E17="..","..",ROUND('FIRE1102c raw'!E17,0))</f>
        <v>0</v>
      </c>
      <c r="F17" s="49">
        <f ca="1">IF('FIRE1102c raw'!F17="..","..",ROUND('FIRE1102c raw'!F17,0))</f>
        <v>0</v>
      </c>
      <c r="G17" s="14">
        <f ca="1">IF('FIRE1102c raw'!G17="..","..",ROUND('FIRE1102c raw'!G17,0))</f>
        <v>0</v>
      </c>
      <c r="H17" s="4"/>
      <c r="J17" s="10"/>
      <c r="K17" s="10"/>
      <c r="M17" s="10"/>
      <c r="N17" s="10"/>
      <c r="P17" s="12"/>
      <c r="Q17" s="12"/>
      <c r="R17" s="12"/>
      <c r="S17" s="12"/>
      <c r="T17" s="12"/>
      <c r="V17" s="11"/>
      <c r="W17" s="11"/>
      <c r="X17" s="11"/>
      <c r="Y17" s="11"/>
      <c r="Z17" s="11"/>
      <c r="AA17" s="11"/>
      <c r="AB17" s="11"/>
      <c r="AC17" s="11"/>
      <c r="AD17" s="11"/>
      <c r="AE17" s="11"/>
      <c r="AF17" s="11"/>
    </row>
    <row r="18" spans="1:32" s="5" customFormat="1" ht="15" customHeight="1" x14ac:dyDescent="0.35">
      <c r="A18" s="19" t="s">
        <v>16</v>
      </c>
      <c r="B18" s="49">
        <f ca="1">IF('FIRE1102c raw'!B18="..","..",ROUND('FIRE1102c raw'!B18,0))</f>
        <v>0</v>
      </c>
      <c r="C18" s="49">
        <f ca="1">IF('FIRE1102c raw'!C18="..","..",ROUND('FIRE1102c raw'!C18,0))</f>
        <v>1</v>
      </c>
      <c r="D18" s="49">
        <f ca="1">IF('FIRE1102c raw'!D18="..","..",ROUND('FIRE1102c raw'!D18,0))</f>
        <v>6</v>
      </c>
      <c r="E18" s="49">
        <f ca="1">IF('FIRE1102c raw'!E18="..","..",ROUND('FIRE1102c raw'!E18,0))</f>
        <v>4</v>
      </c>
      <c r="F18" s="49">
        <f ca="1">IF('FIRE1102c raw'!F18="..","..",ROUND('FIRE1102c raw'!F18,0))</f>
        <v>17</v>
      </c>
      <c r="G18" s="14">
        <f ca="1">IF('FIRE1102c raw'!G18="..","..",ROUND('FIRE1102c raw'!G18,0))</f>
        <v>28</v>
      </c>
      <c r="H18" s="4"/>
      <c r="J18" s="10"/>
      <c r="K18" s="10"/>
      <c r="M18" s="10"/>
      <c r="N18" s="10"/>
      <c r="P18" s="12"/>
      <c r="Q18" s="12"/>
      <c r="R18" s="12"/>
      <c r="S18" s="12"/>
      <c r="T18" s="12"/>
      <c r="V18" s="11"/>
      <c r="W18" s="11"/>
      <c r="X18" s="11"/>
      <c r="Y18" s="11"/>
      <c r="Z18" s="11"/>
      <c r="AA18" s="11"/>
      <c r="AB18" s="11"/>
      <c r="AC18" s="11"/>
      <c r="AD18" s="11"/>
      <c r="AE18" s="11"/>
      <c r="AF18" s="11"/>
    </row>
    <row r="19" spans="1:32" s="5" customFormat="1" ht="15" customHeight="1" x14ac:dyDescent="0.35">
      <c r="A19" s="19" t="s">
        <v>17</v>
      </c>
      <c r="B19" s="49">
        <f ca="1">IF('FIRE1102c raw'!B19="..","..",ROUND('FIRE1102c raw'!B19,0))</f>
        <v>0</v>
      </c>
      <c r="C19" s="49">
        <f ca="1">IF('FIRE1102c raw'!C19="..","..",ROUND('FIRE1102c raw'!C19,0))</f>
        <v>2</v>
      </c>
      <c r="D19" s="49">
        <f ca="1">IF('FIRE1102c raw'!D19="..","..",ROUND('FIRE1102c raw'!D19,0))</f>
        <v>7</v>
      </c>
      <c r="E19" s="49">
        <f ca="1">IF('FIRE1102c raw'!E19="..","..",ROUND('FIRE1102c raw'!E19,0))</f>
        <v>11</v>
      </c>
      <c r="F19" s="49">
        <f ca="1">IF('FIRE1102c raw'!F19="..","..",ROUND('FIRE1102c raw'!F19,0))</f>
        <v>13</v>
      </c>
      <c r="G19" s="14">
        <f ca="1">IF('FIRE1102c raw'!G19="..","..",ROUND('FIRE1102c raw'!G19,0))</f>
        <v>33</v>
      </c>
      <c r="H19" s="4"/>
      <c r="J19" s="10"/>
      <c r="K19" s="10"/>
      <c r="M19" s="10"/>
      <c r="N19" s="10"/>
      <c r="P19" s="12"/>
      <c r="Q19" s="12"/>
      <c r="R19" s="12"/>
      <c r="S19" s="12"/>
      <c r="T19" s="12"/>
      <c r="V19" s="11"/>
      <c r="W19" s="11"/>
      <c r="X19" s="11"/>
      <c r="Y19" s="11"/>
      <c r="Z19" s="11"/>
      <c r="AA19" s="11"/>
      <c r="AB19" s="11"/>
      <c r="AC19" s="11"/>
      <c r="AD19" s="11"/>
      <c r="AE19" s="11"/>
      <c r="AF19" s="11"/>
    </row>
    <row r="20" spans="1:32" s="5" customFormat="1" ht="15" customHeight="1" x14ac:dyDescent="0.35">
      <c r="A20" s="4" t="s">
        <v>115</v>
      </c>
      <c r="B20" s="49">
        <f ca="1">IF('FIRE1102c raw'!B20="..","..",ROUND('FIRE1102c raw'!B20,0))</f>
        <v>1</v>
      </c>
      <c r="C20" s="49">
        <f ca="1">IF('FIRE1102c raw'!C20="..","..",ROUND('FIRE1102c raw'!C20,0))</f>
        <v>3</v>
      </c>
      <c r="D20" s="49">
        <f ca="1">IF('FIRE1102c raw'!D20="..","..",ROUND('FIRE1102c raw'!D20,0))</f>
        <v>7</v>
      </c>
      <c r="E20" s="49">
        <f ca="1">IF('FIRE1102c raw'!E20="..","..",ROUND('FIRE1102c raw'!E20,0))</f>
        <v>7</v>
      </c>
      <c r="F20" s="49">
        <f ca="1">IF('FIRE1102c raw'!F20="..","..",ROUND('FIRE1102c raw'!F20,0))</f>
        <v>16</v>
      </c>
      <c r="G20" s="14">
        <f ca="1">IF('FIRE1102c raw'!G20="..","..",ROUND('FIRE1102c raw'!G20,0))</f>
        <v>34</v>
      </c>
      <c r="H20" s="4"/>
      <c r="J20" s="10"/>
      <c r="K20" s="10"/>
      <c r="M20" s="10"/>
      <c r="N20" s="10"/>
      <c r="P20" s="12"/>
      <c r="Q20" s="12"/>
      <c r="R20" s="12"/>
      <c r="S20" s="12"/>
      <c r="T20" s="12"/>
      <c r="V20" s="11"/>
      <c r="W20" s="11"/>
      <c r="X20" s="11"/>
      <c r="Y20" s="11"/>
      <c r="Z20" s="11"/>
      <c r="AA20" s="11"/>
      <c r="AB20" s="11"/>
      <c r="AC20" s="11"/>
      <c r="AD20" s="11"/>
      <c r="AE20" s="11"/>
      <c r="AF20" s="11"/>
    </row>
    <row r="21" spans="1:32" s="5" customFormat="1" ht="15" customHeight="1" x14ac:dyDescent="0.35">
      <c r="A21" s="4" t="s">
        <v>19</v>
      </c>
      <c r="B21" s="49">
        <f ca="1">IF('FIRE1102c raw'!B21="..","..",ROUND('FIRE1102c raw'!B21,0))</f>
        <v>0</v>
      </c>
      <c r="C21" s="49">
        <f ca="1">IF('FIRE1102c raw'!C21="..","..",ROUND('FIRE1102c raw'!C21,0))</f>
        <v>1</v>
      </c>
      <c r="D21" s="49">
        <f ca="1">IF('FIRE1102c raw'!D21="..","..",ROUND('FIRE1102c raw'!D21,0))</f>
        <v>8</v>
      </c>
      <c r="E21" s="49">
        <f ca="1">IF('FIRE1102c raw'!E21="..","..",ROUND('FIRE1102c raw'!E21,0))</f>
        <v>4</v>
      </c>
      <c r="F21" s="49">
        <f ca="1">IF('FIRE1102c raw'!F21="..","..",ROUND('FIRE1102c raw'!F21,0))</f>
        <v>8</v>
      </c>
      <c r="G21" s="14">
        <f ca="1">IF('FIRE1102c raw'!G21="..","..",ROUND('FIRE1102c raw'!G21,0))</f>
        <v>21</v>
      </c>
      <c r="H21" s="4"/>
      <c r="J21" s="10"/>
      <c r="K21" s="10"/>
      <c r="M21" s="10"/>
      <c r="N21" s="10"/>
      <c r="P21" s="12"/>
      <c r="Q21" s="12"/>
      <c r="R21" s="12"/>
      <c r="S21" s="12"/>
      <c r="T21" s="12"/>
      <c r="V21" s="11"/>
      <c r="W21" s="11"/>
      <c r="X21" s="11"/>
      <c r="Y21" s="11"/>
      <c r="Z21" s="11"/>
      <c r="AA21" s="11"/>
      <c r="AB21" s="11"/>
      <c r="AC21" s="11"/>
      <c r="AD21" s="11"/>
      <c r="AE21" s="11"/>
      <c r="AF21" s="11"/>
    </row>
    <row r="22" spans="1:32" s="5" customFormat="1" ht="15" customHeight="1" x14ac:dyDescent="0.35">
      <c r="A22" s="4" t="s">
        <v>20</v>
      </c>
      <c r="B22" s="49">
        <f ca="1">IF('FIRE1102c raw'!B22="..","..",ROUND('FIRE1102c raw'!B22,0))</f>
        <v>1</v>
      </c>
      <c r="C22" s="49">
        <f ca="1">IF('FIRE1102c raw'!C22="..","..",ROUND('FIRE1102c raw'!C22,0))</f>
        <v>1</v>
      </c>
      <c r="D22" s="49">
        <f ca="1">IF('FIRE1102c raw'!D22="..","..",ROUND('FIRE1102c raw'!D22,0))</f>
        <v>7</v>
      </c>
      <c r="E22" s="49">
        <f ca="1">IF('FIRE1102c raw'!E22="..","..",ROUND('FIRE1102c raw'!E22,0))</f>
        <v>14</v>
      </c>
      <c r="F22" s="49">
        <f ca="1">IF('FIRE1102c raw'!F22="..","..",ROUND('FIRE1102c raw'!F22,0))</f>
        <v>22</v>
      </c>
      <c r="G22" s="14">
        <f ca="1">IF('FIRE1102c raw'!G22="..","..",ROUND('FIRE1102c raw'!G22,0))</f>
        <v>45</v>
      </c>
      <c r="H22" s="4"/>
      <c r="J22" s="10"/>
      <c r="K22" s="10"/>
      <c r="M22" s="10"/>
      <c r="N22" s="10"/>
      <c r="P22" s="12"/>
      <c r="Q22" s="12"/>
      <c r="R22" s="12"/>
      <c r="S22" s="12"/>
      <c r="T22" s="12"/>
      <c r="V22" s="11"/>
      <c r="W22" s="11"/>
      <c r="X22" s="11"/>
      <c r="Y22" s="11"/>
      <c r="Z22" s="11"/>
      <c r="AA22" s="11"/>
      <c r="AB22" s="11"/>
      <c r="AC22" s="11"/>
      <c r="AD22" s="11"/>
      <c r="AE22" s="11"/>
      <c r="AF22" s="11"/>
    </row>
    <row r="23" spans="1:32" s="5" customFormat="1" ht="15" customHeight="1" x14ac:dyDescent="0.35">
      <c r="A23" s="4" t="s">
        <v>21</v>
      </c>
      <c r="B23" s="49">
        <f ca="1">IF('FIRE1102c raw'!B23="..","..",ROUND('FIRE1102c raw'!B23,0))</f>
        <v>1</v>
      </c>
      <c r="C23" s="49">
        <f ca="1">IF('FIRE1102c raw'!C23="..","..",ROUND('FIRE1102c raw'!C23,0))</f>
        <v>0</v>
      </c>
      <c r="D23" s="49">
        <f ca="1">IF('FIRE1102c raw'!D23="..","..",ROUND('FIRE1102c raw'!D23,0))</f>
        <v>10</v>
      </c>
      <c r="E23" s="49">
        <f ca="1">IF('FIRE1102c raw'!E23="..","..",ROUND('FIRE1102c raw'!E23,0))</f>
        <v>3</v>
      </c>
      <c r="F23" s="49">
        <f ca="1">IF('FIRE1102c raw'!F23="..","..",ROUND('FIRE1102c raw'!F23,0))</f>
        <v>17</v>
      </c>
      <c r="G23" s="14">
        <f ca="1">IF('FIRE1102c raw'!G23="..","..",ROUND('FIRE1102c raw'!G23,0))</f>
        <v>31</v>
      </c>
      <c r="H23" s="4"/>
      <c r="J23" s="10"/>
      <c r="K23" s="10"/>
      <c r="M23" s="10"/>
      <c r="N23" s="10"/>
      <c r="P23" s="12"/>
      <c r="Q23" s="12"/>
      <c r="R23" s="12"/>
      <c r="S23" s="12"/>
      <c r="T23" s="12"/>
      <c r="V23" s="11"/>
      <c r="W23" s="11"/>
      <c r="X23" s="11"/>
      <c r="Y23" s="11"/>
      <c r="Z23" s="11"/>
      <c r="AA23" s="11"/>
      <c r="AB23" s="11"/>
      <c r="AC23" s="11"/>
      <c r="AD23" s="11"/>
      <c r="AE23" s="11"/>
      <c r="AF23" s="11"/>
    </row>
    <row r="24" spans="1:32" s="5" customFormat="1" ht="15" customHeight="1" x14ac:dyDescent="0.35">
      <c r="A24" s="4" t="s">
        <v>22</v>
      </c>
      <c r="B24" s="49">
        <f ca="1">IF('FIRE1102c raw'!B24="..","..",ROUND('FIRE1102c raw'!B24,0))</f>
        <v>0</v>
      </c>
      <c r="C24" s="49">
        <f ca="1">IF('FIRE1102c raw'!C24="..","..",ROUND('FIRE1102c raw'!C24,0))</f>
        <v>2</v>
      </c>
      <c r="D24" s="49">
        <f ca="1">IF('FIRE1102c raw'!D24="..","..",ROUND('FIRE1102c raw'!D24,0))</f>
        <v>4</v>
      </c>
      <c r="E24" s="49">
        <f ca="1">IF('FIRE1102c raw'!E24="..","..",ROUND('FIRE1102c raw'!E24,0))</f>
        <v>4</v>
      </c>
      <c r="F24" s="49">
        <f ca="1">IF('FIRE1102c raw'!F24="..","..",ROUND('FIRE1102c raw'!F24,0))</f>
        <v>8</v>
      </c>
      <c r="G24" s="14">
        <f ca="1">IF('FIRE1102c raw'!G24="..","..",ROUND('FIRE1102c raw'!G24,0))</f>
        <v>18</v>
      </c>
      <c r="H24" s="4"/>
      <c r="J24" s="10"/>
      <c r="K24" s="10"/>
      <c r="M24" s="10"/>
      <c r="N24" s="10"/>
      <c r="P24" s="12"/>
      <c r="Q24" s="12"/>
      <c r="R24" s="12"/>
      <c r="S24" s="12"/>
      <c r="T24" s="12"/>
      <c r="V24" s="11"/>
      <c r="W24" s="11"/>
      <c r="X24" s="11"/>
      <c r="Y24" s="11"/>
      <c r="Z24" s="11"/>
      <c r="AA24" s="11"/>
      <c r="AB24" s="11"/>
      <c r="AC24" s="11"/>
      <c r="AD24" s="11"/>
      <c r="AE24" s="11"/>
      <c r="AF24" s="11"/>
    </row>
    <row r="25" spans="1:32" s="5" customFormat="1" ht="15" customHeight="1" x14ac:dyDescent="0.35">
      <c r="A25" s="4" t="s">
        <v>25</v>
      </c>
      <c r="B25" s="49">
        <f ca="1">IF('FIRE1102c raw'!B25="..","..",ROUND('FIRE1102c raw'!B25,0))</f>
        <v>1</v>
      </c>
      <c r="C25" s="49">
        <f ca="1">IF('FIRE1102c raw'!C25="..","..",ROUND('FIRE1102c raw'!C25,0))</f>
        <v>3</v>
      </c>
      <c r="D25" s="49">
        <f ca="1">IF('FIRE1102c raw'!D25="..","..",ROUND('FIRE1102c raw'!D25,0))</f>
        <v>4</v>
      </c>
      <c r="E25" s="49">
        <f ca="1">IF('FIRE1102c raw'!E25="..","..",ROUND('FIRE1102c raw'!E25,0))</f>
        <v>9</v>
      </c>
      <c r="F25" s="49">
        <f ca="1">IF('FIRE1102c raw'!F25="..","..",ROUND('FIRE1102c raw'!F25,0))</f>
        <v>16</v>
      </c>
      <c r="G25" s="14">
        <f ca="1">IF('FIRE1102c raw'!G25="..","..",ROUND('FIRE1102c raw'!G25,0))</f>
        <v>33</v>
      </c>
      <c r="H25" s="4"/>
      <c r="J25" s="10"/>
      <c r="K25" s="10"/>
      <c r="M25" s="10"/>
      <c r="N25" s="10"/>
      <c r="P25" s="12"/>
      <c r="Q25" s="12"/>
      <c r="R25" s="12"/>
      <c r="S25" s="12"/>
      <c r="T25" s="12"/>
      <c r="V25" s="11"/>
      <c r="W25" s="11"/>
      <c r="X25" s="11"/>
      <c r="Y25" s="11"/>
      <c r="Z25" s="11"/>
      <c r="AA25" s="11"/>
      <c r="AB25" s="11"/>
      <c r="AC25" s="11"/>
      <c r="AD25" s="11"/>
      <c r="AE25" s="11"/>
      <c r="AF25" s="11"/>
    </row>
    <row r="26" spans="1:32" s="5" customFormat="1" ht="15" customHeight="1" x14ac:dyDescent="0.35">
      <c r="A26" s="4" t="s">
        <v>26</v>
      </c>
      <c r="B26" s="49">
        <f ca="1">IF('FIRE1102c raw'!B26="..","..",ROUND('FIRE1102c raw'!B26,0))</f>
        <v>0</v>
      </c>
      <c r="C26" s="49">
        <f ca="1">IF('FIRE1102c raw'!C26="..","..",ROUND('FIRE1102c raw'!C26,0))</f>
        <v>1</v>
      </c>
      <c r="D26" s="49">
        <f ca="1">IF('FIRE1102c raw'!D26="..","..",ROUND('FIRE1102c raw'!D26,0))</f>
        <v>2</v>
      </c>
      <c r="E26" s="49">
        <f ca="1">IF('FIRE1102c raw'!E26="..","..",ROUND('FIRE1102c raw'!E26,0))</f>
        <v>5</v>
      </c>
      <c r="F26" s="49">
        <f ca="1">IF('FIRE1102c raw'!F26="..","..",ROUND('FIRE1102c raw'!F26,0))</f>
        <v>8</v>
      </c>
      <c r="G26" s="14">
        <f ca="1">IF('FIRE1102c raw'!G26="..","..",ROUND('FIRE1102c raw'!G26,0))</f>
        <v>16</v>
      </c>
      <c r="H26" s="4"/>
      <c r="J26" s="10"/>
      <c r="K26" s="10"/>
      <c r="M26" s="10"/>
      <c r="N26" s="10"/>
      <c r="P26" s="12"/>
      <c r="Q26" s="12"/>
      <c r="R26" s="12"/>
      <c r="S26" s="12"/>
      <c r="T26" s="12"/>
      <c r="V26" s="11"/>
      <c r="W26" s="11"/>
      <c r="X26" s="11"/>
      <c r="Y26" s="11"/>
      <c r="Z26" s="11"/>
      <c r="AA26" s="11"/>
      <c r="AB26" s="11"/>
      <c r="AC26" s="11"/>
      <c r="AD26" s="11"/>
      <c r="AE26" s="11"/>
      <c r="AF26" s="11"/>
    </row>
    <row r="27" spans="1:32" s="5" customFormat="1" ht="15" customHeight="1" x14ac:dyDescent="0.35">
      <c r="A27" s="4" t="s">
        <v>27</v>
      </c>
      <c r="B27" s="49">
        <f ca="1">IF('FIRE1102c raw'!B27="..","..",ROUND('FIRE1102c raw'!B27,0))</f>
        <v>1</v>
      </c>
      <c r="C27" s="49">
        <f ca="1">IF('FIRE1102c raw'!C27="..","..",ROUND('FIRE1102c raw'!C27,0))</f>
        <v>1</v>
      </c>
      <c r="D27" s="49">
        <f ca="1">IF('FIRE1102c raw'!D27="..","..",ROUND('FIRE1102c raw'!D27,0))</f>
        <v>8</v>
      </c>
      <c r="E27" s="49">
        <f ca="1">IF('FIRE1102c raw'!E27="..","..",ROUND('FIRE1102c raw'!E27,0))</f>
        <v>1</v>
      </c>
      <c r="F27" s="49">
        <f ca="1">IF('FIRE1102c raw'!F27="..","..",ROUND('FIRE1102c raw'!F27,0))</f>
        <v>15</v>
      </c>
      <c r="G27" s="14">
        <f ca="1">IF('FIRE1102c raw'!G27="..","..",ROUND('FIRE1102c raw'!G27,0))</f>
        <v>26</v>
      </c>
      <c r="H27" s="4"/>
      <c r="J27" s="10"/>
      <c r="K27" s="10"/>
      <c r="M27" s="10"/>
      <c r="N27" s="10"/>
      <c r="P27" s="12"/>
      <c r="Q27" s="12"/>
      <c r="R27" s="12"/>
      <c r="S27" s="12"/>
      <c r="T27" s="12"/>
      <c r="V27" s="11"/>
      <c r="W27" s="11"/>
      <c r="X27" s="11"/>
      <c r="Y27" s="11"/>
      <c r="Z27" s="11"/>
      <c r="AA27" s="11"/>
      <c r="AB27" s="11"/>
      <c r="AC27" s="11"/>
      <c r="AD27" s="11"/>
      <c r="AE27" s="11"/>
      <c r="AF27" s="11"/>
    </row>
    <row r="28" spans="1:32" s="5" customFormat="1" ht="15" customHeight="1" x14ac:dyDescent="0.35">
      <c r="A28" s="4" t="s">
        <v>28</v>
      </c>
      <c r="B28" s="49">
        <f ca="1">IF('FIRE1102c raw'!B28="..","..",ROUND('FIRE1102c raw'!B28,0))</f>
        <v>0</v>
      </c>
      <c r="C28" s="49">
        <f ca="1">IF('FIRE1102c raw'!C28="..","..",ROUND('FIRE1102c raw'!C28,0))</f>
        <v>0</v>
      </c>
      <c r="D28" s="49">
        <f ca="1">IF('FIRE1102c raw'!D28="..","..",ROUND('FIRE1102c raw'!D28,0))</f>
        <v>7</v>
      </c>
      <c r="E28" s="49">
        <f ca="1">IF('FIRE1102c raw'!E28="..","..",ROUND('FIRE1102c raw'!E28,0))</f>
        <v>9</v>
      </c>
      <c r="F28" s="49">
        <f ca="1">IF('FIRE1102c raw'!F28="..","..",ROUND('FIRE1102c raw'!F28,0))</f>
        <v>11</v>
      </c>
      <c r="G28" s="14">
        <f ca="1">IF('FIRE1102c raw'!G28="..","..",ROUND('FIRE1102c raw'!G28,0))</f>
        <v>27</v>
      </c>
      <c r="H28" s="4"/>
      <c r="J28" s="10"/>
      <c r="K28" s="10"/>
      <c r="M28" s="10"/>
      <c r="N28" s="10"/>
      <c r="P28" s="12"/>
      <c r="Q28" s="12"/>
      <c r="R28" s="12"/>
      <c r="S28" s="12"/>
      <c r="T28" s="12"/>
      <c r="V28" s="11"/>
      <c r="W28" s="11"/>
      <c r="X28" s="11"/>
      <c r="Y28" s="11"/>
      <c r="Z28" s="11"/>
      <c r="AA28" s="11"/>
      <c r="AB28" s="11"/>
      <c r="AC28" s="11"/>
      <c r="AD28" s="11"/>
      <c r="AE28" s="11"/>
      <c r="AF28" s="11"/>
    </row>
    <row r="29" spans="1:32" s="5" customFormat="1" ht="15" customHeight="1" x14ac:dyDescent="0.35">
      <c r="A29" s="4" t="s">
        <v>29</v>
      </c>
      <c r="B29" s="49">
        <f ca="1">IF('FIRE1102c raw'!B29="..","..",ROUND('FIRE1102c raw'!B29,0))</f>
        <v>0</v>
      </c>
      <c r="C29" s="49">
        <f ca="1">IF('FIRE1102c raw'!C29="..","..",ROUND('FIRE1102c raw'!C29,0))</f>
        <v>0</v>
      </c>
      <c r="D29" s="49">
        <f ca="1">IF('FIRE1102c raw'!D29="..","..",ROUND('FIRE1102c raw'!D29,0))</f>
        <v>0</v>
      </c>
      <c r="E29" s="49">
        <f ca="1">IF('FIRE1102c raw'!E29="..","..",ROUND('FIRE1102c raw'!E29,0))</f>
        <v>0</v>
      </c>
      <c r="F29" s="49">
        <f ca="1">IF('FIRE1102c raw'!F29="..","..",ROUND('FIRE1102c raw'!F29,0))</f>
        <v>0</v>
      </c>
      <c r="G29" s="14">
        <f ca="1">IF('FIRE1102c raw'!G29="..","..",ROUND('FIRE1102c raw'!G29,0))</f>
        <v>0</v>
      </c>
      <c r="H29" s="4"/>
      <c r="J29" s="10"/>
      <c r="K29" s="10"/>
      <c r="M29" s="10"/>
      <c r="N29" s="10"/>
      <c r="P29" s="12"/>
      <c r="Q29" s="12"/>
      <c r="R29" s="12"/>
      <c r="S29" s="12"/>
      <c r="T29" s="12"/>
      <c r="V29" s="11"/>
      <c r="W29" s="11"/>
      <c r="X29" s="11"/>
      <c r="Y29" s="11"/>
      <c r="Z29" s="11"/>
      <c r="AA29" s="11"/>
      <c r="AB29" s="11"/>
      <c r="AC29" s="11"/>
      <c r="AD29" s="11"/>
      <c r="AE29" s="11"/>
      <c r="AF29" s="11"/>
    </row>
    <row r="30" spans="1:32" s="5" customFormat="1" ht="15" customHeight="1" x14ac:dyDescent="0.35">
      <c r="A30" s="5" t="s">
        <v>31</v>
      </c>
      <c r="B30" s="49">
        <f ca="1">IF('FIRE1102c raw'!B30="..","..",ROUND('FIRE1102c raw'!B30,0))</f>
        <v>0</v>
      </c>
      <c r="C30" s="49">
        <f ca="1">IF('FIRE1102c raw'!C30="..","..",ROUND('FIRE1102c raw'!C30,0))</f>
        <v>2</v>
      </c>
      <c r="D30" s="49">
        <f ca="1">IF('FIRE1102c raw'!D30="..","..",ROUND('FIRE1102c raw'!D30,0))</f>
        <v>4</v>
      </c>
      <c r="E30" s="49">
        <f ca="1">IF('FIRE1102c raw'!E30="..","..",ROUND('FIRE1102c raw'!E30,0))</f>
        <v>15</v>
      </c>
      <c r="F30" s="49">
        <f ca="1">IF('FIRE1102c raw'!F30="..","..",ROUND('FIRE1102c raw'!F30,0))</f>
        <v>19</v>
      </c>
      <c r="G30" s="14">
        <f ca="1">IF('FIRE1102c raw'!G30="..","..",ROUND('FIRE1102c raw'!G30,0))</f>
        <v>40</v>
      </c>
      <c r="H30" s="4"/>
      <c r="J30" s="10"/>
      <c r="K30" s="10"/>
      <c r="M30" s="10"/>
      <c r="N30" s="10"/>
      <c r="P30" s="12"/>
      <c r="Q30" s="12"/>
      <c r="R30" s="12"/>
      <c r="S30" s="12"/>
      <c r="T30" s="12"/>
      <c r="V30" s="11"/>
      <c r="W30" s="11"/>
      <c r="X30" s="11"/>
      <c r="Y30" s="11"/>
      <c r="Z30" s="11"/>
      <c r="AA30" s="11"/>
      <c r="AB30" s="11"/>
      <c r="AC30" s="11"/>
      <c r="AD30" s="11"/>
      <c r="AE30" s="11"/>
      <c r="AF30" s="11"/>
    </row>
    <row r="31" spans="1:32" s="5" customFormat="1" ht="15" customHeight="1" x14ac:dyDescent="0.35">
      <c r="A31" s="5" t="s">
        <v>32</v>
      </c>
      <c r="B31" s="49">
        <f ca="1">IF('FIRE1102c raw'!B31="..","..",ROUND('FIRE1102c raw'!B31,0))</f>
        <v>0</v>
      </c>
      <c r="C31" s="49">
        <f ca="1">IF('FIRE1102c raw'!C31="..","..",ROUND('FIRE1102c raw'!C31,0))</f>
        <v>0</v>
      </c>
      <c r="D31" s="49">
        <f ca="1">IF('FIRE1102c raw'!D31="..","..",ROUND('FIRE1102c raw'!D31,0))</f>
        <v>0</v>
      </c>
      <c r="E31" s="49">
        <f ca="1">IF('FIRE1102c raw'!E31="..","..",ROUND('FIRE1102c raw'!E31,0))</f>
        <v>1</v>
      </c>
      <c r="F31" s="49">
        <f ca="1">IF('FIRE1102c raw'!F31="..","..",ROUND('FIRE1102c raw'!F31,0))</f>
        <v>0</v>
      </c>
      <c r="G31" s="14">
        <f ca="1">IF('FIRE1102c raw'!G31="..","..",ROUND('FIRE1102c raw'!G31,0))</f>
        <v>1</v>
      </c>
      <c r="H31" s="4"/>
      <c r="J31" s="10"/>
      <c r="K31" s="10"/>
      <c r="M31" s="10"/>
      <c r="N31" s="10"/>
      <c r="P31" s="12"/>
      <c r="Q31" s="12"/>
      <c r="R31" s="12"/>
      <c r="S31" s="12"/>
      <c r="T31" s="12"/>
      <c r="V31" s="11"/>
      <c r="W31" s="11"/>
      <c r="X31" s="11"/>
      <c r="Y31" s="11"/>
      <c r="Z31" s="11"/>
      <c r="AA31" s="11"/>
      <c r="AB31" s="11"/>
      <c r="AC31" s="11"/>
      <c r="AD31" s="11"/>
      <c r="AE31" s="11"/>
      <c r="AF31" s="11"/>
    </row>
    <row r="32" spans="1:32" s="5" customFormat="1" ht="15" customHeight="1" x14ac:dyDescent="0.35">
      <c r="A32" s="4" t="s">
        <v>33</v>
      </c>
      <c r="B32" s="49">
        <f ca="1">IF('FIRE1102c raw'!B32="..","..",ROUND('FIRE1102c raw'!B32,0))</f>
        <v>0</v>
      </c>
      <c r="C32" s="49">
        <f ca="1">IF('FIRE1102c raw'!C32="..","..",ROUND('FIRE1102c raw'!C32,0))</f>
        <v>1</v>
      </c>
      <c r="D32" s="49">
        <f ca="1">IF('FIRE1102c raw'!D32="..","..",ROUND('FIRE1102c raw'!D32,0))</f>
        <v>5</v>
      </c>
      <c r="E32" s="49">
        <f ca="1">IF('FIRE1102c raw'!E32="..","..",ROUND('FIRE1102c raw'!E32,0))</f>
        <v>8</v>
      </c>
      <c r="F32" s="49">
        <f ca="1">IF('FIRE1102c raw'!F32="..","..",ROUND('FIRE1102c raw'!F32,0))</f>
        <v>12</v>
      </c>
      <c r="G32" s="14">
        <f ca="1">IF('FIRE1102c raw'!G32="..","..",ROUND('FIRE1102c raw'!G32,0))</f>
        <v>26</v>
      </c>
      <c r="H32" s="4"/>
      <c r="J32" s="10"/>
      <c r="K32" s="10"/>
      <c r="M32" s="10"/>
      <c r="N32" s="10"/>
      <c r="P32" s="12"/>
      <c r="Q32" s="12"/>
      <c r="R32" s="12"/>
      <c r="S32" s="12"/>
      <c r="T32" s="12"/>
      <c r="V32" s="11"/>
      <c r="W32" s="11"/>
      <c r="X32" s="11"/>
      <c r="Y32" s="11"/>
      <c r="Z32" s="11"/>
      <c r="AA32" s="11"/>
      <c r="AB32" s="11"/>
      <c r="AC32" s="11"/>
      <c r="AD32" s="11"/>
      <c r="AE32" s="11"/>
      <c r="AF32" s="11"/>
    </row>
    <row r="33" spans="1:32" s="5" customFormat="1" ht="15" customHeight="1" x14ac:dyDescent="0.35">
      <c r="A33" s="5" t="s">
        <v>34</v>
      </c>
      <c r="B33" s="49">
        <f ca="1">IF('FIRE1102c raw'!B33="..","..",ROUND('FIRE1102c raw'!B33,0))</f>
        <v>0</v>
      </c>
      <c r="C33" s="49">
        <f ca="1">IF('FIRE1102c raw'!C33="..","..",ROUND('FIRE1102c raw'!C33,0))</f>
        <v>1</v>
      </c>
      <c r="D33" s="49">
        <f ca="1">IF('FIRE1102c raw'!D33="..","..",ROUND('FIRE1102c raw'!D33,0))</f>
        <v>4</v>
      </c>
      <c r="E33" s="49">
        <f ca="1">IF('FIRE1102c raw'!E33="..","..",ROUND('FIRE1102c raw'!E33,0))</f>
        <v>3</v>
      </c>
      <c r="F33" s="49">
        <f ca="1">IF('FIRE1102c raw'!F33="..","..",ROUND('FIRE1102c raw'!F33,0))</f>
        <v>9</v>
      </c>
      <c r="G33" s="14">
        <f ca="1">IF('FIRE1102c raw'!G33="..","..",ROUND('FIRE1102c raw'!G33,0))</f>
        <v>17</v>
      </c>
      <c r="H33" s="4"/>
      <c r="J33" s="10"/>
      <c r="K33" s="10"/>
      <c r="M33" s="10"/>
      <c r="N33" s="10"/>
      <c r="P33" s="12"/>
      <c r="Q33" s="12"/>
      <c r="R33" s="12"/>
      <c r="S33" s="12"/>
      <c r="T33" s="12"/>
      <c r="V33" s="11"/>
      <c r="W33" s="11"/>
      <c r="X33" s="11"/>
      <c r="Y33" s="11"/>
      <c r="Z33" s="11"/>
      <c r="AA33" s="11"/>
      <c r="AB33" s="11"/>
      <c r="AC33" s="11"/>
      <c r="AD33" s="11"/>
      <c r="AE33" s="11"/>
      <c r="AF33" s="11"/>
    </row>
    <row r="34" spans="1:32" s="5" customFormat="1" ht="15" customHeight="1" x14ac:dyDescent="0.35">
      <c r="A34" s="5" t="s">
        <v>36</v>
      </c>
      <c r="B34" s="49">
        <f ca="1">IF('FIRE1102c raw'!B34="..","..",ROUND('FIRE1102c raw'!B34,0))</f>
        <v>0</v>
      </c>
      <c r="C34" s="49">
        <f ca="1">IF('FIRE1102c raw'!C34="..","..",ROUND('FIRE1102c raw'!C34,0))</f>
        <v>1</v>
      </c>
      <c r="D34" s="49">
        <f ca="1">IF('FIRE1102c raw'!D34="..","..",ROUND('FIRE1102c raw'!D34,0))</f>
        <v>4</v>
      </c>
      <c r="E34" s="49">
        <f ca="1">IF('FIRE1102c raw'!E34="..","..",ROUND('FIRE1102c raw'!E34,0))</f>
        <v>4</v>
      </c>
      <c r="F34" s="49">
        <f ca="1">IF('FIRE1102c raw'!F34="..","..",ROUND('FIRE1102c raw'!F34,0))</f>
        <v>15</v>
      </c>
      <c r="G34" s="14">
        <f ca="1">IF('FIRE1102c raw'!G34="..","..",ROUND('FIRE1102c raw'!G34,0))</f>
        <v>24</v>
      </c>
      <c r="H34" s="4"/>
      <c r="J34" s="10"/>
      <c r="K34" s="10"/>
      <c r="M34" s="10"/>
      <c r="N34" s="10"/>
      <c r="P34" s="12"/>
      <c r="Q34" s="12"/>
      <c r="R34" s="12"/>
      <c r="S34" s="12"/>
      <c r="T34" s="12"/>
      <c r="V34" s="11"/>
      <c r="W34" s="11"/>
      <c r="X34" s="11"/>
      <c r="Y34" s="11"/>
      <c r="Z34" s="11"/>
      <c r="AA34" s="11"/>
      <c r="AB34" s="11"/>
      <c r="AC34" s="11"/>
      <c r="AD34" s="11"/>
      <c r="AE34" s="11"/>
      <c r="AF34" s="11"/>
    </row>
    <row r="35" spans="1:32" s="5" customFormat="1" ht="15" customHeight="1" x14ac:dyDescent="0.35">
      <c r="A35" s="4" t="s">
        <v>37</v>
      </c>
      <c r="B35" s="49">
        <f ca="1">IF('FIRE1102c raw'!B35="..","..",ROUND('FIRE1102c raw'!B35,0))</f>
        <v>1</v>
      </c>
      <c r="C35" s="49">
        <f ca="1">IF('FIRE1102c raw'!C35="..","..",ROUND('FIRE1102c raw'!C35,0))</f>
        <v>5</v>
      </c>
      <c r="D35" s="49">
        <f ca="1">IF('FIRE1102c raw'!D35="..","..",ROUND('FIRE1102c raw'!D35,0))</f>
        <v>15</v>
      </c>
      <c r="E35" s="49">
        <f ca="1">IF('FIRE1102c raw'!E35="..","..",ROUND('FIRE1102c raw'!E35,0))</f>
        <v>0</v>
      </c>
      <c r="F35" s="49">
        <f ca="1">IF('FIRE1102c raw'!F35="..","..",ROUND('FIRE1102c raw'!F35,0))</f>
        <v>36</v>
      </c>
      <c r="G35" s="14">
        <f ca="1">IF('FIRE1102c raw'!G35="..","..",ROUND('FIRE1102c raw'!G35,0))</f>
        <v>57</v>
      </c>
      <c r="H35" s="4"/>
      <c r="J35" s="10"/>
      <c r="K35" s="10"/>
      <c r="M35" s="10"/>
      <c r="N35" s="10"/>
      <c r="P35" s="12"/>
      <c r="Q35" s="12"/>
      <c r="R35" s="12"/>
      <c r="S35" s="12"/>
      <c r="T35" s="12"/>
      <c r="V35" s="11"/>
      <c r="W35" s="11"/>
      <c r="X35" s="11"/>
      <c r="Y35" s="11"/>
      <c r="Z35" s="11"/>
      <c r="AA35" s="11"/>
      <c r="AB35" s="11"/>
      <c r="AC35" s="11"/>
      <c r="AD35" s="11"/>
      <c r="AE35" s="11"/>
      <c r="AF35" s="11"/>
    </row>
    <row r="36" spans="1:32" s="5" customFormat="1" ht="15" customHeight="1" x14ac:dyDescent="0.35">
      <c r="A36" s="5" t="s">
        <v>38</v>
      </c>
      <c r="B36" s="49">
        <f ca="1">IF('FIRE1102c raw'!B36="..","..",ROUND('FIRE1102c raw'!B36,0))</f>
        <v>0</v>
      </c>
      <c r="C36" s="49">
        <f ca="1">IF('FIRE1102c raw'!C36="..","..",ROUND('FIRE1102c raw'!C36,0))</f>
        <v>1</v>
      </c>
      <c r="D36" s="49">
        <f ca="1">IF('FIRE1102c raw'!D36="..","..",ROUND('FIRE1102c raw'!D36,0))</f>
        <v>2</v>
      </c>
      <c r="E36" s="49">
        <f ca="1">IF('FIRE1102c raw'!E36="..","..",ROUND('FIRE1102c raw'!E36,0))</f>
        <v>6</v>
      </c>
      <c r="F36" s="49">
        <f ca="1">IF('FIRE1102c raw'!F36="..","..",ROUND('FIRE1102c raw'!F36,0))</f>
        <v>6</v>
      </c>
      <c r="G36" s="14">
        <f ca="1">IF('FIRE1102c raw'!G36="..","..",ROUND('FIRE1102c raw'!G36,0))</f>
        <v>15</v>
      </c>
      <c r="H36" s="4"/>
      <c r="J36" s="10"/>
      <c r="K36" s="10"/>
      <c r="M36" s="10"/>
      <c r="N36" s="10"/>
      <c r="P36" s="12"/>
      <c r="Q36" s="12"/>
      <c r="R36" s="12"/>
      <c r="S36" s="12"/>
      <c r="T36" s="12"/>
      <c r="V36" s="11"/>
      <c r="W36" s="11"/>
      <c r="X36" s="11"/>
      <c r="Y36" s="11"/>
      <c r="Z36" s="11"/>
      <c r="AA36" s="11"/>
      <c r="AB36" s="11"/>
      <c r="AC36" s="11"/>
      <c r="AD36" s="11"/>
      <c r="AE36" s="11"/>
      <c r="AF36" s="11"/>
    </row>
    <row r="37" spans="1:32" s="5" customFormat="1" ht="15" customHeight="1" x14ac:dyDescent="0.35">
      <c r="A37" s="5" t="s">
        <v>39</v>
      </c>
      <c r="B37" s="49">
        <f ca="1">IF('FIRE1102c raw'!B37="..","..",ROUND('FIRE1102c raw'!B37,0))</f>
        <v>0</v>
      </c>
      <c r="C37" s="49">
        <f ca="1">IF('FIRE1102c raw'!C37="..","..",ROUND('FIRE1102c raw'!C37,0))</f>
        <v>0</v>
      </c>
      <c r="D37" s="49">
        <f ca="1">IF('FIRE1102c raw'!D37="..","..",ROUND('FIRE1102c raw'!D37,0))</f>
        <v>4</v>
      </c>
      <c r="E37" s="49">
        <f ca="1">IF('FIRE1102c raw'!E37="..","..",ROUND('FIRE1102c raw'!E37,0))</f>
        <v>3</v>
      </c>
      <c r="F37" s="49">
        <f ca="1">IF('FIRE1102c raw'!F37="..","..",ROUND('FIRE1102c raw'!F37,0))</f>
        <v>10</v>
      </c>
      <c r="G37" s="14">
        <f ca="1">IF('FIRE1102c raw'!G37="..","..",ROUND('FIRE1102c raw'!G37,0))</f>
        <v>17</v>
      </c>
      <c r="H37" s="4"/>
      <c r="J37" s="10"/>
      <c r="K37" s="10"/>
      <c r="M37" s="10"/>
      <c r="N37" s="10"/>
      <c r="P37" s="12"/>
      <c r="Q37" s="12"/>
      <c r="R37" s="12"/>
      <c r="S37" s="12"/>
      <c r="T37" s="12"/>
      <c r="V37" s="11"/>
      <c r="W37" s="11"/>
      <c r="X37" s="11"/>
      <c r="Y37" s="11"/>
      <c r="Z37" s="11"/>
      <c r="AA37" s="11"/>
      <c r="AB37" s="11"/>
      <c r="AC37" s="11"/>
      <c r="AD37" s="11"/>
      <c r="AE37" s="11"/>
      <c r="AF37" s="11"/>
    </row>
    <row r="38" spans="1:32" s="5" customFormat="1" ht="15" customHeight="1" x14ac:dyDescent="0.35">
      <c r="A38" s="5" t="s">
        <v>40</v>
      </c>
      <c r="B38" s="49">
        <f ca="1">IF('FIRE1102c raw'!B38="..","..",ROUND('FIRE1102c raw'!B38,0))</f>
        <v>0</v>
      </c>
      <c r="C38" s="49">
        <f ca="1">IF('FIRE1102c raw'!C38="..","..",ROUND('FIRE1102c raw'!C38,0))</f>
        <v>0</v>
      </c>
      <c r="D38" s="49">
        <f ca="1">IF('FIRE1102c raw'!D38="..","..",ROUND('FIRE1102c raw'!D38,0))</f>
        <v>1</v>
      </c>
      <c r="E38" s="49">
        <f ca="1">IF('FIRE1102c raw'!E38="..","..",ROUND('FIRE1102c raw'!E38,0))</f>
        <v>4</v>
      </c>
      <c r="F38" s="49">
        <f ca="1">IF('FIRE1102c raw'!F38="..","..",ROUND('FIRE1102c raw'!F38,0))</f>
        <v>4</v>
      </c>
      <c r="G38" s="14">
        <f ca="1">IF('FIRE1102c raw'!G38="..","..",ROUND('FIRE1102c raw'!G38,0))</f>
        <v>9</v>
      </c>
      <c r="H38" s="4"/>
      <c r="J38" s="10"/>
      <c r="K38" s="10"/>
      <c r="M38" s="10"/>
      <c r="N38" s="10"/>
      <c r="P38" s="12"/>
      <c r="Q38" s="12"/>
      <c r="R38" s="12"/>
      <c r="S38" s="12"/>
      <c r="T38" s="12"/>
      <c r="V38" s="11"/>
      <c r="W38" s="11"/>
      <c r="X38" s="11"/>
      <c r="Y38" s="11"/>
      <c r="Z38" s="11"/>
      <c r="AA38" s="11"/>
      <c r="AB38" s="11"/>
      <c r="AC38" s="11"/>
      <c r="AD38" s="11"/>
      <c r="AE38" s="11"/>
      <c r="AF38" s="11"/>
    </row>
    <row r="39" spans="1:32" s="5" customFormat="1" ht="15" customHeight="1" x14ac:dyDescent="0.35">
      <c r="A39" s="4" t="s">
        <v>41</v>
      </c>
      <c r="B39" s="49">
        <f ca="1">IF('FIRE1102c raw'!B39="..","..",ROUND('FIRE1102c raw'!B39,0))</f>
        <v>1</v>
      </c>
      <c r="C39" s="49">
        <f ca="1">IF('FIRE1102c raw'!C39="..","..",ROUND('FIRE1102c raw'!C39,0))</f>
        <v>2</v>
      </c>
      <c r="D39" s="49">
        <f ca="1">IF('FIRE1102c raw'!D39="..","..",ROUND('FIRE1102c raw'!D39,0))</f>
        <v>7</v>
      </c>
      <c r="E39" s="49">
        <f ca="1">IF('FIRE1102c raw'!E39="..","..",ROUND('FIRE1102c raw'!E39,0))</f>
        <v>5</v>
      </c>
      <c r="F39" s="49">
        <f ca="1">IF('FIRE1102c raw'!F39="..","..",ROUND('FIRE1102c raw'!F39,0))</f>
        <v>11</v>
      </c>
      <c r="G39" s="14">
        <f ca="1">IF('FIRE1102c raw'!G39="..","..",ROUND('FIRE1102c raw'!G39,0))</f>
        <v>26</v>
      </c>
      <c r="H39" s="4"/>
      <c r="J39" s="10"/>
      <c r="K39" s="10"/>
      <c r="M39" s="10"/>
      <c r="N39" s="10"/>
      <c r="P39" s="12"/>
      <c r="Q39" s="12"/>
      <c r="R39" s="12"/>
      <c r="S39" s="12"/>
      <c r="T39" s="12"/>
      <c r="V39" s="11"/>
      <c r="W39" s="11"/>
      <c r="X39" s="11"/>
      <c r="Y39" s="11"/>
      <c r="Z39" s="11"/>
      <c r="AA39" s="11"/>
      <c r="AB39" s="11"/>
      <c r="AC39" s="11"/>
      <c r="AD39" s="11"/>
      <c r="AE39" s="11"/>
      <c r="AF39" s="11"/>
    </row>
    <row r="40" spans="1:32" s="5" customFormat="1" ht="15" customHeight="1" x14ac:dyDescent="0.35">
      <c r="A40" s="4" t="s">
        <v>42</v>
      </c>
      <c r="B40" s="49">
        <f ca="1">IF('FIRE1102c raw'!B40="..","..",ROUND('FIRE1102c raw'!B40,0))</f>
        <v>0</v>
      </c>
      <c r="C40" s="49">
        <f ca="1">IF('FIRE1102c raw'!C40="..","..",ROUND('FIRE1102c raw'!C40,0))</f>
        <v>0</v>
      </c>
      <c r="D40" s="49">
        <f ca="1">IF('FIRE1102c raw'!D40="..","..",ROUND('FIRE1102c raw'!D40,0))</f>
        <v>0</v>
      </c>
      <c r="E40" s="49">
        <f ca="1">IF('FIRE1102c raw'!E40="..","..",ROUND('FIRE1102c raw'!E40,0))</f>
        <v>0</v>
      </c>
      <c r="F40" s="49">
        <f ca="1">IF('FIRE1102c raw'!F40="..","..",ROUND('FIRE1102c raw'!F40,0))</f>
        <v>0</v>
      </c>
      <c r="G40" s="14">
        <f ca="1">IF('FIRE1102c raw'!G40="..","..",ROUND('FIRE1102c raw'!G40,0))</f>
        <v>0</v>
      </c>
      <c r="H40" s="4"/>
      <c r="J40" s="10"/>
      <c r="K40" s="10"/>
      <c r="M40" s="10"/>
      <c r="N40" s="10"/>
      <c r="P40" s="12"/>
      <c r="Q40" s="12"/>
      <c r="R40" s="12"/>
      <c r="S40" s="12"/>
      <c r="T40" s="12"/>
      <c r="V40" s="11"/>
      <c r="W40" s="11"/>
      <c r="X40" s="11"/>
      <c r="Y40" s="11"/>
      <c r="Z40" s="11"/>
      <c r="AA40" s="11"/>
      <c r="AB40" s="11"/>
      <c r="AC40" s="11"/>
      <c r="AD40" s="11"/>
      <c r="AE40" s="11"/>
      <c r="AF40" s="11"/>
    </row>
    <row r="41" spans="1:32" s="5" customFormat="1" ht="15" customHeight="1" x14ac:dyDescent="0.35">
      <c r="A41" s="4" t="s">
        <v>43</v>
      </c>
      <c r="B41" s="49">
        <f ca="1">IF('FIRE1102c raw'!B41="..","..",ROUND('FIRE1102c raw'!B41,0))</f>
        <v>0</v>
      </c>
      <c r="C41" s="49">
        <f ca="1">IF('FIRE1102c raw'!C41="..","..",ROUND('FIRE1102c raw'!C41,0))</f>
        <v>1</v>
      </c>
      <c r="D41" s="49">
        <f ca="1">IF('FIRE1102c raw'!D41="..","..",ROUND('FIRE1102c raw'!D41,0))</f>
        <v>5</v>
      </c>
      <c r="E41" s="49">
        <f ca="1">IF('FIRE1102c raw'!E41="..","..",ROUND('FIRE1102c raw'!E41,0))</f>
        <v>4</v>
      </c>
      <c r="F41" s="49">
        <f ca="1">IF('FIRE1102c raw'!F41="..","..",ROUND('FIRE1102c raw'!F41,0))</f>
        <v>9</v>
      </c>
      <c r="G41" s="14">
        <f ca="1">IF('FIRE1102c raw'!G41="..","..",ROUND('FIRE1102c raw'!G41,0))</f>
        <v>19</v>
      </c>
      <c r="H41" s="4"/>
      <c r="J41" s="10"/>
      <c r="K41" s="10"/>
      <c r="M41" s="10"/>
      <c r="N41" s="10"/>
      <c r="P41" s="12"/>
      <c r="Q41" s="12"/>
      <c r="R41" s="12"/>
      <c r="S41" s="12"/>
      <c r="T41" s="12"/>
      <c r="V41" s="11"/>
      <c r="W41" s="11"/>
      <c r="X41" s="11"/>
      <c r="Y41" s="11"/>
      <c r="Z41" s="11"/>
      <c r="AA41" s="11"/>
      <c r="AB41" s="11"/>
      <c r="AC41" s="11"/>
      <c r="AD41" s="11"/>
      <c r="AE41" s="11"/>
      <c r="AF41" s="11"/>
    </row>
    <row r="42" spans="1:32" s="5" customFormat="1" ht="15" customHeight="1" x14ac:dyDescent="0.35">
      <c r="A42" s="4" t="s">
        <v>45</v>
      </c>
      <c r="B42" s="49">
        <f ca="1">IF('FIRE1102c raw'!B42="..","..",ROUND('FIRE1102c raw'!B42,0))</f>
        <v>0</v>
      </c>
      <c r="C42" s="49">
        <f ca="1">IF('FIRE1102c raw'!C42="..","..",ROUND('FIRE1102c raw'!C42,0))</f>
        <v>0</v>
      </c>
      <c r="D42" s="49">
        <f ca="1">IF('FIRE1102c raw'!D42="..","..",ROUND('FIRE1102c raw'!D42,0))</f>
        <v>0</v>
      </c>
      <c r="E42" s="49">
        <f ca="1">IF('FIRE1102c raw'!E42="..","..",ROUND('FIRE1102c raw'!E42,0))</f>
        <v>0</v>
      </c>
      <c r="F42" s="49">
        <f ca="1">IF('FIRE1102c raw'!F42="..","..",ROUND('FIRE1102c raw'!F42,0))</f>
        <v>0</v>
      </c>
      <c r="G42" s="14">
        <f ca="1">IF('FIRE1102c raw'!G42="..","..",ROUND('FIRE1102c raw'!G42,0))</f>
        <v>0</v>
      </c>
      <c r="H42" s="4"/>
      <c r="J42" s="10"/>
      <c r="K42" s="10"/>
      <c r="M42" s="10"/>
      <c r="N42" s="10"/>
      <c r="P42" s="12"/>
      <c r="Q42" s="12"/>
      <c r="R42" s="12"/>
      <c r="S42" s="12"/>
      <c r="T42" s="12"/>
      <c r="V42" s="11"/>
      <c r="W42" s="11"/>
      <c r="X42" s="11"/>
      <c r="Y42" s="11"/>
      <c r="Z42" s="11"/>
      <c r="AA42" s="11"/>
      <c r="AB42" s="11"/>
      <c r="AC42" s="11"/>
      <c r="AD42" s="11"/>
      <c r="AE42" s="11"/>
      <c r="AF42" s="11"/>
    </row>
    <row r="43" spans="1:32" s="5" customFormat="1" ht="15" customHeight="1" x14ac:dyDescent="0.35">
      <c r="A43" s="4" t="s">
        <v>46</v>
      </c>
      <c r="B43" s="49">
        <f ca="1">IF('FIRE1102c raw'!B43="..","..",ROUND('FIRE1102c raw'!B43,0))</f>
        <v>0</v>
      </c>
      <c r="C43" s="49">
        <f ca="1">IF('FIRE1102c raw'!C43="..","..",ROUND('FIRE1102c raw'!C43,0))</f>
        <v>0</v>
      </c>
      <c r="D43" s="49">
        <f ca="1">IF('FIRE1102c raw'!D43="..","..",ROUND('FIRE1102c raw'!D43,0))</f>
        <v>0</v>
      </c>
      <c r="E43" s="49">
        <f ca="1">IF('FIRE1102c raw'!E43="..","..",ROUND('FIRE1102c raw'!E43,0))</f>
        <v>0</v>
      </c>
      <c r="F43" s="49">
        <f ca="1">IF('FIRE1102c raw'!F43="..","..",ROUND('FIRE1102c raw'!F43,0))</f>
        <v>0</v>
      </c>
      <c r="G43" s="14">
        <f ca="1">IF('FIRE1102c raw'!G43="..","..",ROUND('FIRE1102c raw'!G43,0))</f>
        <v>0</v>
      </c>
      <c r="H43" s="4"/>
      <c r="J43" s="10"/>
      <c r="K43" s="10"/>
      <c r="M43" s="10"/>
      <c r="N43" s="10"/>
      <c r="P43" s="12"/>
      <c r="Q43" s="12"/>
      <c r="R43" s="12"/>
      <c r="S43" s="12"/>
      <c r="T43" s="12"/>
      <c r="V43" s="11"/>
      <c r="W43" s="11"/>
      <c r="X43" s="11"/>
      <c r="Y43" s="11"/>
      <c r="Z43" s="11"/>
      <c r="AA43" s="11"/>
      <c r="AB43" s="11"/>
      <c r="AC43" s="11"/>
      <c r="AD43" s="11"/>
      <c r="AE43" s="11"/>
      <c r="AF43" s="11"/>
    </row>
    <row r="44" spans="1:32" s="5" customFormat="1" ht="15" customHeight="1" x14ac:dyDescent="0.35">
      <c r="A44" s="4" t="s">
        <v>47</v>
      </c>
      <c r="B44" s="49">
        <f ca="1">IF('FIRE1102c raw'!B44="..","..",ROUND('FIRE1102c raw'!B44,0))</f>
        <v>0</v>
      </c>
      <c r="C44" s="49">
        <f ca="1">IF('FIRE1102c raw'!C44="..","..",ROUND('FIRE1102c raw'!C44,0))</f>
        <v>2</v>
      </c>
      <c r="D44" s="49">
        <f ca="1">IF('FIRE1102c raw'!D44="..","..",ROUND('FIRE1102c raw'!D44,0))</f>
        <v>4</v>
      </c>
      <c r="E44" s="49">
        <f ca="1">IF('FIRE1102c raw'!E44="..","..",ROUND('FIRE1102c raw'!E44,0))</f>
        <v>5</v>
      </c>
      <c r="F44" s="49">
        <f ca="1">IF('FIRE1102c raw'!F44="..","..",ROUND('FIRE1102c raw'!F44,0))</f>
        <v>10</v>
      </c>
      <c r="G44" s="14">
        <f ca="1">IF('FIRE1102c raw'!G44="..","..",ROUND('FIRE1102c raw'!G44,0))</f>
        <v>21</v>
      </c>
      <c r="H44" s="4"/>
      <c r="J44" s="10"/>
      <c r="K44" s="10"/>
      <c r="M44" s="10"/>
      <c r="N44" s="10"/>
      <c r="P44" s="12"/>
      <c r="Q44" s="12"/>
      <c r="R44" s="12"/>
      <c r="S44" s="12"/>
      <c r="T44" s="12"/>
      <c r="V44" s="11"/>
      <c r="W44" s="11"/>
      <c r="X44" s="11"/>
      <c r="Y44" s="11"/>
      <c r="Z44" s="11"/>
      <c r="AA44" s="11"/>
      <c r="AB44" s="11"/>
      <c r="AC44" s="11"/>
      <c r="AD44" s="11"/>
      <c r="AE44" s="11"/>
      <c r="AF44" s="11"/>
    </row>
    <row r="45" spans="1:32" s="5" customFormat="1" ht="15" customHeight="1" x14ac:dyDescent="0.35">
      <c r="A45" s="4" t="s">
        <v>49</v>
      </c>
      <c r="B45" s="49">
        <f ca="1">IF('FIRE1102c raw'!B45="..","..",ROUND('FIRE1102c raw'!B45,0))</f>
        <v>0</v>
      </c>
      <c r="C45" s="49">
        <f ca="1">IF('FIRE1102c raw'!C45="..","..",ROUND('FIRE1102c raw'!C45,0))</f>
        <v>1</v>
      </c>
      <c r="D45" s="49">
        <f ca="1">IF('FIRE1102c raw'!D45="..","..",ROUND('FIRE1102c raw'!D45,0))</f>
        <v>4</v>
      </c>
      <c r="E45" s="49">
        <f ca="1">IF('FIRE1102c raw'!E45="..","..",ROUND('FIRE1102c raw'!E45,0))</f>
        <v>4</v>
      </c>
      <c r="F45" s="49">
        <f ca="1">IF('FIRE1102c raw'!F45="..","..",ROUND('FIRE1102c raw'!F45,0))</f>
        <v>8</v>
      </c>
      <c r="G45" s="14">
        <f ca="1">IF('FIRE1102c raw'!G45="..","..",ROUND('FIRE1102c raw'!G45,0))</f>
        <v>17</v>
      </c>
      <c r="H45" s="4"/>
      <c r="J45" s="10"/>
      <c r="K45" s="10"/>
      <c r="M45" s="10"/>
      <c r="N45" s="10"/>
      <c r="P45" s="12"/>
      <c r="Q45" s="12"/>
      <c r="R45" s="12"/>
      <c r="S45" s="12"/>
      <c r="T45" s="12"/>
      <c r="V45" s="11"/>
      <c r="W45" s="11"/>
      <c r="X45" s="11"/>
      <c r="Y45" s="11"/>
      <c r="Z45" s="11"/>
      <c r="AA45" s="11"/>
      <c r="AB45" s="11"/>
      <c r="AC45" s="11"/>
      <c r="AD45" s="11"/>
      <c r="AE45" s="11"/>
      <c r="AF45" s="11"/>
    </row>
    <row r="46" spans="1:32" s="5" customFormat="1" ht="15" customHeight="1" x14ac:dyDescent="0.35">
      <c r="A46" s="4" t="s">
        <v>51</v>
      </c>
      <c r="B46" s="49">
        <f ca="1">IF('FIRE1102c raw'!B46="..","..",ROUND('FIRE1102c raw'!B46,0))</f>
        <v>0</v>
      </c>
      <c r="C46" s="49">
        <f ca="1">IF('FIRE1102c raw'!C46="..","..",ROUND('FIRE1102c raw'!C46,0))</f>
        <v>0</v>
      </c>
      <c r="D46" s="49">
        <f ca="1">IF('FIRE1102c raw'!D46="..","..",ROUND('FIRE1102c raw'!D46,0))</f>
        <v>0</v>
      </c>
      <c r="E46" s="49">
        <f ca="1">IF('FIRE1102c raw'!E46="..","..",ROUND('FIRE1102c raw'!E46,0))</f>
        <v>0</v>
      </c>
      <c r="F46" s="49">
        <f ca="1">IF('FIRE1102c raw'!F46="..","..",ROUND('FIRE1102c raw'!F46,0))</f>
        <v>0</v>
      </c>
      <c r="G46" s="14">
        <f ca="1">IF('FIRE1102c raw'!G46="..","..",ROUND('FIRE1102c raw'!G46,0))</f>
        <v>0</v>
      </c>
      <c r="H46" s="4"/>
      <c r="J46" s="10"/>
      <c r="K46" s="10"/>
      <c r="M46" s="10"/>
      <c r="N46" s="10"/>
      <c r="P46" s="12"/>
      <c r="Q46" s="12"/>
      <c r="R46" s="12"/>
      <c r="S46" s="12"/>
      <c r="T46" s="12"/>
      <c r="V46" s="11"/>
      <c r="W46" s="11"/>
      <c r="X46" s="11"/>
      <c r="Y46" s="11"/>
      <c r="Z46" s="11"/>
      <c r="AA46" s="11"/>
      <c r="AB46" s="11"/>
      <c r="AC46" s="11"/>
      <c r="AD46" s="11"/>
      <c r="AE46" s="11"/>
      <c r="AF46" s="11"/>
    </row>
    <row r="47" spans="1:32" s="5" customFormat="1" ht="15" customHeight="1" x14ac:dyDescent="0.35">
      <c r="A47" s="4" t="s">
        <v>30</v>
      </c>
      <c r="B47" s="49">
        <f ca="1">IF('FIRE1102c raw'!B47="..","..",ROUND('FIRE1102c raw'!B47,0))</f>
        <v>0</v>
      </c>
      <c r="C47" s="49">
        <f ca="1">IF('FIRE1102c raw'!C47="..","..",ROUND('FIRE1102c raw'!C47,0))</f>
        <v>0</v>
      </c>
      <c r="D47" s="49">
        <f ca="1">IF('FIRE1102c raw'!D47="..","..",ROUND('FIRE1102c raw'!D47,0))</f>
        <v>0</v>
      </c>
      <c r="E47" s="49">
        <f ca="1">IF('FIRE1102c raw'!E47="..","..",ROUND('FIRE1102c raw'!E47,0))</f>
        <v>0</v>
      </c>
      <c r="F47" s="49">
        <f ca="1">IF('FIRE1102c raw'!F47="..","..",ROUND('FIRE1102c raw'!F47,0))</f>
        <v>0</v>
      </c>
      <c r="G47" s="14">
        <f ca="1">IF('FIRE1102c raw'!G47="..","..",ROUND('FIRE1102c raw'!G47,0))</f>
        <v>0</v>
      </c>
      <c r="H47" s="4"/>
      <c r="J47" s="10"/>
      <c r="K47" s="10"/>
      <c r="M47" s="10"/>
      <c r="N47" s="10"/>
      <c r="P47" s="12"/>
      <c r="Q47" s="12"/>
      <c r="R47" s="12"/>
      <c r="S47" s="12"/>
      <c r="T47" s="12"/>
      <c r="V47" s="11"/>
      <c r="W47" s="11"/>
      <c r="X47" s="11"/>
      <c r="Y47" s="11"/>
      <c r="Z47" s="11"/>
      <c r="AA47" s="11"/>
      <c r="AB47" s="11"/>
      <c r="AC47" s="11"/>
      <c r="AD47" s="11"/>
      <c r="AE47" s="11"/>
      <c r="AF47" s="11"/>
    </row>
    <row r="48" spans="1:32" s="5" customFormat="1" ht="15" customHeight="1" x14ac:dyDescent="0.35">
      <c r="A48" s="33" t="s">
        <v>5</v>
      </c>
      <c r="B48" s="14">
        <f ca="1">IF('FIRE1102c raw'!B48="..","..",ROUND('FIRE1102c raw'!B48,0))</f>
        <v>3</v>
      </c>
      <c r="C48" s="14">
        <f ca="1">IF('FIRE1102c raw'!C48="..","..",ROUND('FIRE1102c raw'!C48,0))</f>
        <v>9</v>
      </c>
      <c r="D48" s="14">
        <f ca="1">IF('FIRE1102c raw'!D48="..","..",ROUND('FIRE1102c raw'!D48,0))</f>
        <v>52</v>
      </c>
      <c r="E48" s="14">
        <f ca="1">IF('FIRE1102c raw'!E48="..","..",ROUND('FIRE1102c raw'!E48,0))</f>
        <v>65</v>
      </c>
      <c r="F48" s="14">
        <f ca="1">IF('FIRE1102c raw'!F48="..","..",ROUND('FIRE1102c raw'!F48,0))</f>
        <v>162</v>
      </c>
      <c r="G48" s="14">
        <f ca="1">IF('FIRE1102c raw'!G48="..","..",ROUND('FIRE1102c raw'!G48,0))</f>
        <v>290</v>
      </c>
      <c r="H48" s="4"/>
      <c r="J48" s="10"/>
      <c r="K48" s="10"/>
      <c r="M48" s="10"/>
      <c r="N48" s="10"/>
      <c r="P48" s="12"/>
      <c r="Q48" s="12"/>
      <c r="R48" s="12"/>
      <c r="S48" s="12"/>
      <c r="T48" s="12"/>
      <c r="V48" s="11"/>
      <c r="W48" s="11"/>
      <c r="X48" s="11"/>
      <c r="Y48" s="11"/>
      <c r="Z48" s="11"/>
      <c r="AA48" s="11"/>
      <c r="AB48" s="11"/>
      <c r="AC48" s="11"/>
      <c r="AD48" s="11"/>
      <c r="AE48" s="11"/>
      <c r="AF48" s="11"/>
    </row>
    <row r="49" spans="1:32" s="5" customFormat="1" ht="15" customHeight="1" x14ac:dyDescent="0.35">
      <c r="A49" s="4" t="s">
        <v>24</v>
      </c>
      <c r="B49" s="49">
        <f ca="1">IF('FIRE1102c raw'!B49="..","..",ROUND('FIRE1102c raw'!B49,0))</f>
        <v>0</v>
      </c>
      <c r="C49" s="49">
        <f ca="1">IF('FIRE1102c raw'!C49="..","..",ROUND('FIRE1102c raw'!C49,0))</f>
        <v>0</v>
      </c>
      <c r="D49" s="49">
        <f ca="1">IF('FIRE1102c raw'!D49="..","..",ROUND('FIRE1102c raw'!D49,0))</f>
        <v>0</v>
      </c>
      <c r="E49" s="49">
        <f ca="1">IF('FIRE1102c raw'!E49="..","..",ROUND('FIRE1102c raw'!E49,0))</f>
        <v>0</v>
      </c>
      <c r="F49" s="49">
        <f ca="1">IF('FIRE1102c raw'!F49="..","..",ROUND('FIRE1102c raw'!F49,0))</f>
        <v>0</v>
      </c>
      <c r="G49" s="14">
        <f ca="1">IF('FIRE1102c raw'!G49="..","..",ROUND('FIRE1102c raw'!G49,0))</f>
        <v>0</v>
      </c>
      <c r="H49" s="4"/>
      <c r="J49" s="10"/>
      <c r="K49" s="10"/>
      <c r="M49" s="10"/>
      <c r="N49" s="10"/>
      <c r="P49" s="12"/>
      <c r="Q49" s="12"/>
      <c r="R49" s="12"/>
      <c r="S49" s="12"/>
      <c r="T49" s="12"/>
      <c r="V49" s="11"/>
      <c r="W49" s="11"/>
      <c r="X49" s="11"/>
      <c r="Y49" s="11"/>
      <c r="Z49" s="11"/>
      <c r="AA49" s="11"/>
      <c r="AB49" s="11"/>
      <c r="AC49" s="11"/>
      <c r="AD49" s="11"/>
      <c r="AE49" s="11"/>
      <c r="AF49" s="11"/>
    </row>
    <row r="50" spans="1:32" s="5" customFormat="1" ht="15" customHeight="1" x14ac:dyDescent="0.35">
      <c r="A50" s="4" t="s">
        <v>35</v>
      </c>
      <c r="B50" s="49">
        <f ca="1">IF('FIRE1102c raw'!B50="..","..",ROUND('FIRE1102c raw'!B50,0))</f>
        <v>0</v>
      </c>
      <c r="C50" s="49">
        <f ca="1">IF('FIRE1102c raw'!C50="..","..",ROUND('FIRE1102c raw'!C50,0))</f>
        <v>0</v>
      </c>
      <c r="D50" s="49">
        <f ca="1">IF('FIRE1102c raw'!D50="..","..",ROUND('FIRE1102c raw'!D50,0))</f>
        <v>9</v>
      </c>
      <c r="E50" s="49">
        <f ca="1">IF('FIRE1102c raw'!E50="..","..",ROUND('FIRE1102c raw'!E50,0))</f>
        <v>4</v>
      </c>
      <c r="F50" s="49">
        <f ca="1">IF('FIRE1102c raw'!F50="..","..",ROUND('FIRE1102c raw'!F50,0))</f>
        <v>19</v>
      </c>
      <c r="G50" s="14">
        <f ca="1">IF('FIRE1102c raw'!G50="..","..",ROUND('FIRE1102c raw'!G50,0))</f>
        <v>32</v>
      </c>
      <c r="H50" s="4"/>
      <c r="J50" s="10"/>
      <c r="K50" s="10"/>
      <c r="M50" s="10"/>
      <c r="N50" s="10"/>
      <c r="P50" s="12"/>
      <c r="Q50" s="12"/>
      <c r="R50" s="12"/>
      <c r="S50" s="12"/>
      <c r="T50" s="12"/>
      <c r="V50" s="11"/>
      <c r="W50" s="11"/>
      <c r="X50" s="11"/>
      <c r="Y50" s="11"/>
      <c r="Z50" s="11"/>
      <c r="AA50" s="11"/>
      <c r="AB50" s="11"/>
      <c r="AC50" s="11"/>
      <c r="AD50" s="11"/>
      <c r="AE50" s="11"/>
      <c r="AF50" s="11"/>
    </row>
    <row r="51" spans="1:32" s="5" customFormat="1" ht="15" customHeight="1" x14ac:dyDescent="0.35">
      <c r="A51" s="4" t="s">
        <v>44</v>
      </c>
      <c r="B51" s="49">
        <f ca="1">IF('FIRE1102c raw'!B51="..","..",ROUND('FIRE1102c raw'!B51,0))</f>
        <v>0</v>
      </c>
      <c r="C51" s="49">
        <f ca="1">IF('FIRE1102c raw'!C51="..","..",ROUND('FIRE1102c raw'!C51,0))</f>
        <v>3</v>
      </c>
      <c r="D51" s="49">
        <f ca="1">IF('FIRE1102c raw'!D51="..","..",ROUND('FIRE1102c raw'!D51,0))</f>
        <v>6</v>
      </c>
      <c r="E51" s="49">
        <f ca="1">IF('FIRE1102c raw'!E51="..","..",ROUND('FIRE1102c raw'!E51,0))</f>
        <v>8</v>
      </c>
      <c r="F51" s="49">
        <f ca="1">IF('FIRE1102c raw'!F51="..","..",ROUND('FIRE1102c raw'!F51,0))</f>
        <v>11</v>
      </c>
      <c r="G51" s="14">
        <f ca="1">IF('FIRE1102c raw'!G51="..","..",ROUND('FIRE1102c raw'!G51,0))</f>
        <v>28</v>
      </c>
      <c r="H51" s="4"/>
      <c r="J51" s="10"/>
      <c r="K51" s="10"/>
      <c r="M51" s="10"/>
      <c r="N51" s="10"/>
      <c r="P51" s="12"/>
      <c r="Q51" s="12"/>
      <c r="R51" s="12"/>
      <c r="S51" s="12"/>
      <c r="T51" s="12"/>
      <c r="V51" s="11"/>
      <c r="W51" s="11"/>
      <c r="X51" s="11"/>
      <c r="Y51" s="11"/>
      <c r="Z51" s="11"/>
      <c r="AA51" s="11"/>
      <c r="AB51" s="11"/>
      <c r="AC51" s="11"/>
      <c r="AD51" s="11"/>
      <c r="AE51" s="11"/>
      <c r="AF51" s="11"/>
    </row>
    <row r="52" spans="1:32" s="5" customFormat="1" ht="15" customHeight="1" x14ac:dyDescent="0.35">
      <c r="A52" s="4" t="s">
        <v>48</v>
      </c>
      <c r="B52" s="49">
        <f ca="1">IF('FIRE1102c raw'!B52="..","..",ROUND('FIRE1102c raw'!B52,0))</f>
        <v>0</v>
      </c>
      <c r="C52" s="49">
        <f ca="1">IF('FIRE1102c raw'!C52="..","..",ROUND('FIRE1102c raw'!C52,0))</f>
        <v>1</v>
      </c>
      <c r="D52" s="49">
        <f ca="1">IF('FIRE1102c raw'!D52="..","..",ROUND('FIRE1102c raw'!D52,0))</f>
        <v>5</v>
      </c>
      <c r="E52" s="49">
        <f ca="1">IF('FIRE1102c raw'!E52="..","..",ROUND('FIRE1102c raw'!E52,0))</f>
        <v>6</v>
      </c>
      <c r="F52" s="49">
        <f ca="1">IF('FIRE1102c raw'!F52="..","..",ROUND('FIRE1102c raw'!F52,0))</f>
        <v>21</v>
      </c>
      <c r="G52" s="14">
        <f ca="1">IF('FIRE1102c raw'!G52="..","..",ROUND('FIRE1102c raw'!G52,0))</f>
        <v>32</v>
      </c>
      <c r="H52" s="4"/>
      <c r="J52" s="10"/>
      <c r="K52" s="10"/>
      <c r="M52" s="10"/>
      <c r="N52" s="10"/>
      <c r="P52" s="12"/>
      <c r="Q52" s="12"/>
      <c r="R52" s="12"/>
      <c r="S52" s="12"/>
      <c r="T52" s="12"/>
      <c r="V52" s="11"/>
      <c r="W52" s="11"/>
      <c r="X52" s="11"/>
      <c r="Y52" s="11"/>
      <c r="Z52" s="11"/>
      <c r="AA52" s="11"/>
      <c r="AB52" s="11"/>
      <c r="AC52" s="11"/>
      <c r="AD52" s="11"/>
      <c r="AE52" s="11"/>
      <c r="AF52" s="11"/>
    </row>
    <row r="53" spans="1:32" s="5" customFormat="1" ht="15" customHeight="1" x14ac:dyDescent="0.35">
      <c r="A53" s="4" t="s">
        <v>50</v>
      </c>
      <c r="B53" s="49">
        <f ca="1">IF('FIRE1102c raw'!B53="..","..",ROUND('FIRE1102c raw'!B53,0))</f>
        <v>2</v>
      </c>
      <c r="C53" s="49">
        <f ca="1">IF('FIRE1102c raw'!C53="..","..",ROUND('FIRE1102c raw'!C53,0))</f>
        <v>2</v>
      </c>
      <c r="D53" s="49">
        <f ca="1">IF('FIRE1102c raw'!D53="..","..",ROUND('FIRE1102c raw'!D53,0))</f>
        <v>15</v>
      </c>
      <c r="E53" s="49">
        <f ca="1">IF('FIRE1102c raw'!E53="..","..",ROUND('FIRE1102c raw'!E53,0))</f>
        <v>6</v>
      </c>
      <c r="F53" s="49">
        <f ca="1">IF('FIRE1102c raw'!F53="..","..",ROUND('FIRE1102c raw'!F53,0))</f>
        <v>32</v>
      </c>
      <c r="G53" s="14">
        <f ca="1">IF('FIRE1102c raw'!G53="..","..",ROUND('FIRE1102c raw'!G53,0))</f>
        <v>57</v>
      </c>
      <c r="H53" s="4"/>
      <c r="J53" s="10"/>
      <c r="K53" s="10"/>
      <c r="M53" s="10"/>
      <c r="N53" s="10"/>
      <c r="P53" s="12"/>
      <c r="Q53" s="12"/>
      <c r="R53" s="12"/>
      <c r="S53" s="12"/>
      <c r="T53" s="12"/>
      <c r="V53" s="11"/>
      <c r="W53" s="11"/>
      <c r="X53" s="11"/>
      <c r="Y53" s="11"/>
      <c r="Z53" s="11"/>
      <c r="AA53" s="11"/>
      <c r="AB53" s="11"/>
      <c r="AC53" s="11"/>
      <c r="AD53" s="11"/>
      <c r="AE53" s="11"/>
      <c r="AF53" s="11"/>
    </row>
    <row r="54" spans="1:32" s="5" customFormat="1" ht="15" customHeight="1" x14ac:dyDescent="0.35">
      <c r="A54" s="4" t="s">
        <v>52</v>
      </c>
      <c r="B54" s="49">
        <f ca="1">IF('FIRE1102c raw'!B54="..","..",ROUND('FIRE1102c raw'!B54,0))</f>
        <v>0</v>
      </c>
      <c r="C54" s="49">
        <f ca="1">IF('FIRE1102c raw'!C54="..","..",ROUND('FIRE1102c raw'!C54,0))</f>
        <v>1</v>
      </c>
      <c r="D54" s="49">
        <f ca="1">IF('FIRE1102c raw'!D54="..","..",ROUND('FIRE1102c raw'!D54,0))</f>
        <v>8</v>
      </c>
      <c r="E54" s="49">
        <f ca="1">IF('FIRE1102c raw'!E54="..","..",ROUND('FIRE1102c raw'!E54,0))</f>
        <v>11</v>
      </c>
      <c r="F54" s="49">
        <f ca="1">IF('FIRE1102c raw'!F54="..","..",ROUND('FIRE1102c raw'!F54,0))</f>
        <v>22</v>
      </c>
      <c r="G54" s="14">
        <f ca="1">IF('FIRE1102c raw'!G54="..","..",ROUND('FIRE1102c raw'!G54,0))</f>
        <v>41</v>
      </c>
      <c r="H54" s="4"/>
      <c r="J54" s="10"/>
      <c r="K54" s="10"/>
      <c r="L54" s="4"/>
      <c r="M54" s="10"/>
      <c r="N54" s="10"/>
      <c r="P54" s="12"/>
      <c r="Q54" s="12"/>
      <c r="R54" s="12"/>
      <c r="S54" s="12"/>
      <c r="T54" s="12"/>
      <c r="V54" s="11"/>
      <c r="W54" s="11"/>
      <c r="X54" s="11"/>
      <c r="Y54" s="11"/>
      <c r="Z54" s="11"/>
      <c r="AA54" s="11"/>
      <c r="AB54" s="11"/>
      <c r="AC54" s="11"/>
      <c r="AD54" s="11"/>
      <c r="AE54" s="11"/>
      <c r="AF54" s="11"/>
    </row>
    <row r="55" spans="1:32" s="5" customFormat="1" ht="15" customHeight="1" thickBot="1" x14ac:dyDescent="0.4">
      <c r="A55" s="15" t="s">
        <v>23</v>
      </c>
      <c r="B55" s="49">
        <f ca="1">IF('FIRE1102c raw'!B55="..","..",ROUND('FIRE1102c raw'!B55,0))</f>
        <v>1</v>
      </c>
      <c r="C55" s="49">
        <f ca="1">IF('FIRE1102c raw'!C55="..","..",ROUND('FIRE1102c raw'!C55,0))</f>
        <v>2</v>
      </c>
      <c r="D55" s="49">
        <f ca="1">IF('FIRE1102c raw'!D55="..","..",ROUND('FIRE1102c raw'!D55,0))</f>
        <v>9</v>
      </c>
      <c r="E55" s="49">
        <f ca="1">IF('FIRE1102c raw'!E55="..","..",ROUND('FIRE1102c raw'!E55,0))</f>
        <v>30</v>
      </c>
      <c r="F55" s="49">
        <f ca="1">IF('FIRE1102c raw'!F55="..","..",ROUND('FIRE1102c raw'!F55,0))</f>
        <v>57</v>
      </c>
      <c r="G55" s="14">
        <f ca="1">IF('FIRE1102c raw'!G55="..","..",ROUND('FIRE1102c raw'!G55,0))</f>
        <v>100</v>
      </c>
      <c r="H55" s="4"/>
      <c r="J55" s="10"/>
      <c r="K55" s="10"/>
      <c r="L55" s="4"/>
      <c r="M55" s="10"/>
      <c r="N55" s="10"/>
      <c r="P55" s="12"/>
      <c r="Q55" s="12"/>
      <c r="R55" s="12"/>
      <c r="S55" s="12"/>
      <c r="T55" s="12"/>
      <c r="V55" s="11"/>
      <c r="W55" s="11"/>
      <c r="X55" s="11"/>
      <c r="Y55" s="11"/>
      <c r="Z55" s="11"/>
      <c r="AA55" s="11"/>
      <c r="AB55" s="11"/>
      <c r="AC55" s="11"/>
      <c r="AD55" s="11"/>
      <c r="AE55" s="11"/>
      <c r="AF55" s="11"/>
    </row>
    <row r="56" spans="1:32" s="5" customFormat="1" ht="15" customHeight="1" x14ac:dyDescent="0.35">
      <c r="B56" s="116"/>
      <c r="C56" s="116"/>
      <c r="D56" s="116"/>
      <c r="E56" s="116"/>
      <c r="F56" s="116"/>
      <c r="G56" s="113"/>
      <c r="H56" s="4"/>
      <c r="J56" s="10"/>
      <c r="K56" s="10"/>
      <c r="L56" s="4"/>
      <c r="M56" s="10"/>
      <c r="N56" s="10"/>
      <c r="P56" s="12"/>
      <c r="Q56" s="12"/>
      <c r="R56" s="12"/>
      <c r="S56" s="12"/>
      <c r="T56" s="12"/>
      <c r="V56" s="11"/>
      <c r="W56" s="11"/>
      <c r="X56" s="11"/>
      <c r="Y56" s="11"/>
      <c r="Z56" s="11"/>
      <c r="AA56" s="11"/>
      <c r="AB56" s="11"/>
      <c r="AC56" s="11"/>
      <c r="AD56" s="11"/>
      <c r="AE56" s="11"/>
      <c r="AF56" s="11"/>
    </row>
    <row r="57" spans="1:32" x14ac:dyDescent="0.35">
      <c r="A57" s="101" t="s">
        <v>111</v>
      </c>
    </row>
    <row r="58" spans="1:32" x14ac:dyDescent="0.35">
      <c r="A58" s="90" t="s">
        <v>112</v>
      </c>
    </row>
    <row r="59" spans="1:32" ht="15" customHeight="1" x14ac:dyDescent="0.35">
      <c r="A59" s="159" t="s">
        <v>144</v>
      </c>
      <c r="B59" s="159"/>
      <c r="C59" s="159"/>
      <c r="D59" s="159"/>
      <c r="E59" s="159"/>
      <c r="F59" s="159"/>
      <c r="G59" s="159"/>
      <c r="H59" s="2"/>
      <c r="I59" s="2"/>
    </row>
    <row r="60" spans="1:32" x14ac:dyDescent="0.35">
      <c r="A60" s="90"/>
    </row>
    <row r="61" spans="1:32" x14ac:dyDescent="0.35">
      <c r="A61" s="4" t="s">
        <v>2</v>
      </c>
    </row>
    <row r="62" spans="1:32" x14ac:dyDescent="0.35">
      <c r="A62" s="162" t="s">
        <v>3</v>
      </c>
      <c r="B62" s="162"/>
      <c r="J62" s="4">
        <v>2010</v>
      </c>
      <c r="K62" s="5"/>
    </row>
    <row r="63" spans="1:32" x14ac:dyDescent="0.35">
      <c r="A63" s="17"/>
      <c r="J63" s="4">
        <v>2011</v>
      </c>
    </row>
    <row r="64" spans="1:32" x14ac:dyDescent="0.35">
      <c r="A64" s="159" t="s">
        <v>70</v>
      </c>
      <c r="B64" s="159"/>
      <c r="C64" s="159"/>
      <c r="D64" s="159"/>
      <c r="E64" s="159"/>
      <c r="F64" s="159"/>
      <c r="J64" s="4">
        <v>2012</v>
      </c>
    </row>
    <row r="65" spans="1:10" x14ac:dyDescent="0.35">
      <c r="J65" s="4">
        <v>2013</v>
      </c>
    </row>
    <row r="66" spans="1:10" x14ac:dyDescent="0.35">
      <c r="A66" s="4" t="s">
        <v>4</v>
      </c>
      <c r="E66" s="164" t="s">
        <v>199</v>
      </c>
      <c r="F66" s="164"/>
      <c r="G66" s="164"/>
      <c r="J66" s="4">
        <v>2014</v>
      </c>
    </row>
    <row r="67" spans="1:10" ht="14.5" customHeight="1" x14ac:dyDescent="0.35">
      <c r="A67" s="147" t="s">
        <v>194</v>
      </c>
      <c r="D67" s="146"/>
      <c r="E67" s="161" t="s">
        <v>193</v>
      </c>
      <c r="F67" s="161"/>
      <c r="G67" s="161"/>
      <c r="J67" s="4">
        <v>2015</v>
      </c>
    </row>
    <row r="68" spans="1:10" x14ac:dyDescent="0.35">
      <c r="J68" s="4">
        <v>2016</v>
      </c>
    </row>
    <row r="69" spans="1:10" x14ac:dyDescent="0.35">
      <c r="J69" s="4">
        <v>2017</v>
      </c>
    </row>
    <row r="70" spans="1:10" x14ac:dyDescent="0.35">
      <c r="J70" s="4">
        <v>2018</v>
      </c>
    </row>
    <row r="71" spans="1:10" x14ac:dyDescent="0.35">
      <c r="J71" s="4">
        <v>2019</v>
      </c>
    </row>
  </sheetData>
  <mergeCells count="8">
    <mergeCell ref="E67:G67"/>
    <mergeCell ref="A62:B62"/>
    <mergeCell ref="A1:G1"/>
    <mergeCell ref="B5:G5"/>
    <mergeCell ref="A64:F64"/>
    <mergeCell ref="A59:G59"/>
    <mergeCell ref="E66:G66"/>
    <mergeCell ref="A4:F4"/>
  </mergeCells>
  <dataValidations count="1">
    <dataValidation type="list" allowBlank="1" showInputMessage="1" showErrorMessage="1" sqref="A4" xr:uid="{00000000-0002-0000-1E00-000000000000}">
      <formula1>$J$63:$J$71</formula1>
    </dataValidation>
  </dataValidations>
  <hyperlinks>
    <hyperlink ref="A62" r:id="rId1" xr:uid="{00000000-0004-0000-1E00-000000000000}"/>
    <hyperlink ref="A67" r:id="rId2" xr:uid="{00000000-0004-0000-1E00-000001000000}"/>
    <hyperlink ref="E66" r:id="rId3" display="Updated alongside Fire and rescue workforce and pensions statistics" xr:uid="{2907DAC0-C396-48E2-8718-5AD0B156B968}"/>
    <hyperlink ref="E67:G67" r:id="rId4" display="Next Update: Autumn 2020" xr:uid="{1D87100C-3864-49BF-B788-785955F1CFEE}"/>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indexed="22"/>
    <pageSetUpPr fitToPage="1"/>
  </sheetPr>
  <dimension ref="A1:L64"/>
  <sheetViews>
    <sheetView showGridLines="0" zoomScale="85" zoomScaleNormal="85" workbookViewId="0">
      <pane xSplit="2" ySplit="2" topLeftCell="C9" activePane="bottomRight" state="frozen"/>
      <selection activeCell="A4" sqref="A4:H4"/>
      <selection pane="topRight" activeCell="A4" sqref="A4:H4"/>
      <selection pane="bottomLeft" activeCell="A4" sqref="A4:H4"/>
      <selection pane="bottomRight" activeCell="A4" sqref="A4:H4"/>
    </sheetView>
  </sheetViews>
  <sheetFormatPr defaultRowHeight="15.5" x14ac:dyDescent="0.35"/>
  <cols>
    <col min="1" max="1" width="3.453125" style="40" hidden="1" customWidth="1"/>
    <col min="2" max="2" width="22.7265625" style="69" customWidth="1"/>
    <col min="3" max="8" width="13" style="69" customWidth="1"/>
    <col min="9" max="10" width="13.54296875" style="69" customWidth="1"/>
    <col min="11" max="255" width="9.1796875" style="69"/>
    <col min="256" max="256" width="0" style="69" hidden="1" customWidth="1"/>
    <col min="257" max="257" width="3.453125" style="69" customWidth="1"/>
    <col min="258" max="258" width="22.7265625" style="69" customWidth="1"/>
    <col min="259" max="264" width="13" style="69" customWidth="1"/>
    <col min="265" max="266" width="13.54296875" style="69" customWidth="1"/>
    <col min="267" max="511" width="9.1796875" style="69"/>
    <col min="512" max="512" width="0" style="69" hidden="1" customWidth="1"/>
    <col min="513" max="513" width="3.453125" style="69" customWidth="1"/>
    <col min="514" max="514" width="22.7265625" style="69" customWidth="1"/>
    <col min="515" max="520" width="13" style="69" customWidth="1"/>
    <col min="521" max="522" width="13.54296875" style="69" customWidth="1"/>
    <col min="523" max="767" width="9.1796875" style="69"/>
    <col min="768" max="768" width="0" style="69" hidden="1" customWidth="1"/>
    <col min="769" max="769" width="3.453125" style="69" customWidth="1"/>
    <col min="770" max="770" width="22.7265625" style="69" customWidth="1"/>
    <col min="771" max="776" width="13" style="69" customWidth="1"/>
    <col min="777" max="778" width="13.54296875" style="69" customWidth="1"/>
    <col min="779" max="1023" width="9.1796875" style="69"/>
    <col min="1024" max="1024" width="0" style="69" hidden="1" customWidth="1"/>
    <col min="1025" max="1025" width="3.453125" style="69" customWidth="1"/>
    <col min="1026" max="1026" width="22.7265625" style="69" customWidth="1"/>
    <col min="1027" max="1032" width="13" style="69" customWidth="1"/>
    <col min="1033" max="1034" width="13.54296875" style="69" customWidth="1"/>
    <col min="1035" max="1279" width="9.1796875" style="69"/>
    <col min="1280" max="1280" width="0" style="69" hidden="1" customWidth="1"/>
    <col min="1281" max="1281" width="3.453125" style="69" customWidth="1"/>
    <col min="1282" max="1282" width="22.7265625" style="69" customWidth="1"/>
    <col min="1283" max="1288" width="13" style="69" customWidth="1"/>
    <col min="1289" max="1290" width="13.54296875" style="69" customWidth="1"/>
    <col min="1291" max="1535" width="9.1796875" style="69"/>
    <col min="1536" max="1536" width="0" style="69" hidden="1" customWidth="1"/>
    <col min="1537" max="1537" width="3.453125" style="69" customWidth="1"/>
    <col min="1538" max="1538" width="22.7265625" style="69" customWidth="1"/>
    <col min="1539" max="1544" width="13" style="69" customWidth="1"/>
    <col min="1545" max="1546" width="13.54296875" style="69" customWidth="1"/>
    <col min="1547" max="1791" width="9.1796875" style="69"/>
    <col min="1792" max="1792" width="0" style="69" hidden="1" customWidth="1"/>
    <col min="1793" max="1793" width="3.453125" style="69" customWidth="1"/>
    <col min="1794" max="1794" width="22.7265625" style="69" customWidth="1"/>
    <col min="1795" max="1800" width="13" style="69" customWidth="1"/>
    <col min="1801" max="1802" width="13.54296875" style="69" customWidth="1"/>
    <col min="1803" max="2047" width="9.1796875" style="69"/>
    <col min="2048" max="2048" width="0" style="69" hidden="1" customWidth="1"/>
    <col min="2049" max="2049" width="3.453125" style="69" customWidth="1"/>
    <col min="2050" max="2050" width="22.7265625" style="69" customWidth="1"/>
    <col min="2051" max="2056" width="13" style="69" customWidth="1"/>
    <col min="2057" max="2058" width="13.54296875" style="69" customWidth="1"/>
    <col min="2059" max="2303" width="9.1796875" style="69"/>
    <col min="2304" max="2304" width="0" style="69" hidden="1" customWidth="1"/>
    <col min="2305" max="2305" width="3.453125" style="69" customWidth="1"/>
    <col min="2306" max="2306" width="22.7265625" style="69" customWidth="1"/>
    <col min="2307" max="2312" width="13" style="69" customWidth="1"/>
    <col min="2313" max="2314" width="13.54296875" style="69" customWidth="1"/>
    <col min="2315" max="2559" width="9.1796875" style="69"/>
    <col min="2560" max="2560" width="0" style="69" hidden="1" customWidth="1"/>
    <col min="2561" max="2561" width="3.453125" style="69" customWidth="1"/>
    <col min="2562" max="2562" width="22.7265625" style="69" customWidth="1"/>
    <col min="2563" max="2568" width="13" style="69" customWidth="1"/>
    <col min="2569" max="2570" width="13.54296875" style="69" customWidth="1"/>
    <col min="2571" max="2815" width="9.1796875" style="69"/>
    <col min="2816" max="2816" width="0" style="69" hidden="1" customWidth="1"/>
    <col min="2817" max="2817" width="3.453125" style="69" customWidth="1"/>
    <col min="2818" max="2818" width="22.7265625" style="69" customWidth="1"/>
    <col min="2819" max="2824" width="13" style="69" customWidth="1"/>
    <col min="2825" max="2826" width="13.54296875" style="69" customWidth="1"/>
    <col min="2827" max="3071" width="9.1796875" style="69"/>
    <col min="3072" max="3072" width="0" style="69" hidden="1" customWidth="1"/>
    <col min="3073" max="3073" width="3.453125" style="69" customWidth="1"/>
    <col min="3074" max="3074" width="22.7265625" style="69" customWidth="1"/>
    <col min="3075" max="3080" width="13" style="69" customWidth="1"/>
    <col min="3081" max="3082" width="13.54296875" style="69" customWidth="1"/>
    <col min="3083" max="3327" width="9.1796875" style="69"/>
    <col min="3328" max="3328" width="0" style="69" hidden="1" customWidth="1"/>
    <col min="3329" max="3329" width="3.453125" style="69" customWidth="1"/>
    <col min="3330" max="3330" width="22.7265625" style="69" customWidth="1"/>
    <col min="3331" max="3336" width="13" style="69" customWidth="1"/>
    <col min="3337" max="3338" width="13.54296875" style="69" customWidth="1"/>
    <col min="3339" max="3583" width="9.1796875" style="69"/>
    <col min="3584" max="3584" width="0" style="69" hidden="1" customWidth="1"/>
    <col min="3585" max="3585" width="3.453125" style="69" customWidth="1"/>
    <col min="3586" max="3586" width="22.7265625" style="69" customWidth="1"/>
    <col min="3587" max="3592" width="13" style="69" customWidth="1"/>
    <col min="3593" max="3594" width="13.54296875" style="69" customWidth="1"/>
    <col min="3595" max="3839" width="9.1796875" style="69"/>
    <col min="3840" max="3840" width="0" style="69" hidden="1" customWidth="1"/>
    <col min="3841" max="3841" width="3.453125" style="69" customWidth="1"/>
    <col min="3842" max="3842" width="22.7265625" style="69" customWidth="1"/>
    <col min="3843" max="3848" width="13" style="69" customWidth="1"/>
    <col min="3849" max="3850" width="13.54296875" style="69" customWidth="1"/>
    <col min="3851" max="4095" width="9.1796875" style="69"/>
    <col min="4096" max="4096" width="0" style="69" hidden="1" customWidth="1"/>
    <col min="4097" max="4097" width="3.453125" style="69" customWidth="1"/>
    <col min="4098" max="4098" width="22.7265625" style="69" customWidth="1"/>
    <col min="4099" max="4104" width="13" style="69" customWidth="1"/>
    <col min="4105" max="4106" width="13.54296875" style="69" customWidth="1"/>
    <col min="4107" max="4351" width="9.1796875" style="69"/>
    <col min="4352" max="4352" width="0" style="69" hidden="1" customWidth="1"/>
    <col min="4353" max="4353" width="3.453125" style="69" customWidth="1"/>
    <col min="4354" max="4354" width="22.7265625" style="69" customWidth="1"/>
    <col min="4355" max="4360" width="13" style="69" customWidth="1"/>
    <col min="4361" max="4362" width="13.54296875" style="69" customWidth="1"/>
    <col min="4363" max="4607" width="9.1796875" style="69"/>
    <col min="4608" max="4608" width="0" style="69" hidden="1" customWidth="1"/>
    <col min="4609" max="4609" width="3.453125" style="69" customWidth="1"/>
    <col min="4610" max="4610" width="22.7265625" style="69" customWidth="1"/>
    <col min="4611" max="4616" width="13" style="69" customWidth="1"/>
    <col min="4617" max="4618" width="13.54296875" style="69" customWidth="1"/>
    <col min="4619" max="4863" width="9.1796875" style="69"/>
    <col min="4864" max="4864" width="0" style="69" hidden="1" customWidth="1"/>
    <col min="4865" max="4865" width="3.453125" style="69" customWidth="1"/>
    <col min="4866" max="4866" width="22.7265625" style="69" customWidth="1"/>
    <col min="4867" max="4872" width="13" style="69" customWidth="1"/>
    <col min="4873" max="4874" width="13.54296875" style="69" customWidth="1"/>
    <col min="4875" max="5119" width="9.1796875" style="69"/>
    <col min="5120" max="5120" width="0" style="69" hidden="1" customWidth="1"/>
    <col min="5121" max="5121" width="3.453125" style="69" customWidth="1"/>
    <col min="5122" max="5122" width="22.7265625" style="69" customWidth="1"/>
    <col min="5123" max="5128" width="13" style="69" customWidth="1"/>
    <col min="5129" max="5130" width="13.54296875" style="69" customWidth="1"/>
    <col min="5131" max="5375" width="9.1796875" style="69"/>
    <col min="5376" max="5376" width="0" style="69" hidden="1" customWidth="1"/>
    <col min="5377" max="5377" width="3.453125" style="69" customWidth="1"/>
    <col min="5378" max="5378" width="22.7265625" style="69" customWidth="1"/>
    <col min="5379" max="5384" width="13" style="69" customWidth="1"/>
    <col min="5385" max="5386" width="13.54296875" style="69" customWidth="1"/>
    <col min="5387" max="5631" width="9.1796875" style="69"/>
    <col min="5632" max="5632" width="0" style="69" hidden="1" customWidth="1"/>
    <col min="5633" max="5633" width="3.453125" style="69" customWidth="1"/>
    <col min="5634" max="5634" width="22.7265625" style="69" customWidth="1"/>
    <col min="5635" max="5640" width="13" style="69" customWidth="1"/>
    <col min="5641" max="5642" width="13.54296875" style="69" customWidth="1"/>
    <col min="5643" max="5887" width="9.1796875" style="69"/>
    <col min="5888" max="5888" width="0" style="69" hidden="1" customWidth="1"/>
    <col min="5889" max="5889" width="3.453125" style="69" customWidth="1"/>
    <col min="5890" max="5890" width="22.7265625" style="69" customWidth="1"/>
    <col min="5891" max="5896" width="13" style="69" customWidth="1"/>
    <col min="5897" max="5898" width="13.54296875" style="69" customWidth="1"/>
    <col min="5899" max="6143" width="9.1796875" style="69"/>
    <col min="6144" max="6144" width="0" style="69" hidden="1" customWidth="1"/>
    <col min="6145" max="6145" width="3.453125" style="69" customWidth="1"/>
    <col min="6146" max="6146" width="22.7265625" style="69" customWidth="1"/>
    <col min="6147" max="6152" width="13" style="69" customWidth="1"/>
    <col min="6153" max="6154" width="13.54296875" style="69" customWidth="1"/>
    <col min="6155" max="6399" width="9.1796875" style="69"/>
    <col min="6400" max="6400" width="0" style="69" hidden="1" customWidth="1"/>
    <col min="6401" max="6401" width="3.453125" style="69" customWidth="1"/>
    <col min="6402" max="6402" width="22.7265625" style="69" customWidth="1"/>
    <col min="6403" max="6408" width="13" style="69" customWidth="1"/>
    <col min="6409" max="6410" width="13.54296875" style="69" customWidth="1"/>
    <col min="6411" max="6655" width="9.1796875" style="69"/>
    <col min="6656" max="6656" width="0" style="69" hidden="1" customWidth="1"/>
    <col min="6657" max="6657" width="3.453125" style="69" customWidth="1"/>
    <col min="6658" max="6658" width="22.7265625" style="69" customWidth="1"/>
    <col min="6659" max="6664" width="13" style="69" customWidth="1"/>
    <col min="6665" max="6666" width="13.54296875" style="69" customWidth="1"/>
    <col min="6667" max="6911" width="9.1796875" style="69"/>
    <col min="6912" max="6912" width="0" style="69" hidden="1" customWidth="1"/>
    <col min="6913" max="6913" width="3.453125" style="69" customWidth="1"/>
    <col min="6914" max="6914" width="22.7265625" style="69" customWidth="1"/>
    <col min="6915" max="6920" width="13" style="69" customWidth="1"/>
    <col min="6921" max="6922" width="13.54296875" style="69" customWidth="1"/>
    <col min="6923" max="7167" width="9.1796875" style="69"/>
    <col min="7168" max="7168" width="0" style="69" hidden="1" customWidth="1"/>
    <col min="7169" max="7169" width="3.453125" style="69" customWidth="1"/>
    <col min="7170" max="7170" width="22.7265625" style="69" customWidth="1"/>
    <col min="7171" max="7176" width="13" style="69" customWidth="1"/>
    <col min="7177" max="7178" width="13.54296875" style="69" customWidth="1"/>
    <col min="7179" max="7423" width="9.1796875" style="69"/>
    <col min="7424" max="7424" width="0" style="69" hidden="1" customWidth="1"/>
    <col min="7425" max="7425" width="3.453125" style="69" customWidth="1"/>
    <col min="7426" max="7426" width="22.7265625" style="69" customWidth="1"/>
    <col min="7427" max="7432" width="13" style="69" customWidth="1"/>
    <col min="7433" max="7434" width="13.54296875" style="69" customWidth="1"/>
    <col min="7435" max="7679" width="9.1796875" style="69"/>
    <col min="7680" max="7680" width="0" style="69" hidden="1" customWidth="1"/>
    <col min="7681" max="7681" width="3.453125" style="69" customWidth="1"/>
    <col min="7682" max="7682" width="22.7265625" style="69" customWidth="1"/>
    <col min="7683" max="7688" width="13" style="69" customWidth="1"/>
    <col min="7689" max="7690" width="13.54296875" style="69" customWidth="1"/>
    <col min="7691" max="7935" width="9.1796875" style="69"/>
    <col min="7936" max="7936" width="0" style="69" hidden="1" customWidth="1"/>
    <col min="7937" max="7937" width="3.453125" style="69" customWidth="1"/>
    <col min="7938" max="7938" width="22.7265625" style="69" customWidth="1"/>
    <col min="7939" max="7944" width="13" style="69" customWidth="1"/>
    <col min="7945" max="7946" width="13.54296875" style="69" customWidth="1"/>
    <col min="7947" max="8191" width="9.1796875" style="69"/>
    <col min="8192" max="8192" width="0" style="69" hidden="1" customWidth="1"/>
    <col min="8193" max="8193" width="3.453125" style="69" customWidth="1"/>
    <col min="8194" max="8194" width="22.7265625" style="69" customWidth="1"/>
    <col min="8195" max="8200" width="13" style="69" customWidth="1"/>
    <col min="8201" max="8202" width="13.54296875" style="69" customWidth="1"/>
    <col min="8203" max="8447" width="9.1796875" style="69"/>
    <col min="8448" max="8448" width="0" style="69" hidden="1" customWidth="1"/>
    <col min="8449" max="8449" width="3.453125" style="69" customWidth="1"/>
    <col min="8450" max="8450" width="22.7265625" style="69" customWidth="1"/>
    <col min="8451" max="8456" width="13" style="69" customWidth="1"/>
    <col min="8457" max="8458" width="13.54296875" style="69" customWidth="1"/>
    <col min="8459" max="8703" width="9.1796875" style="69"/>
    <col min="8704" max="8704" width="0" style="69" hidden="1" customWidth="1"/>
    <col min="8705" max="8705" width="3.453125" style="69" customWidth="1"/>
    <col min="8706" max="8706" width="22.7265625" style="69" customWidth="1"/>
    <col min="8707" max="8712" width="13" style="69" customWidth="1"/>
    <col min="8713" max="8714" width="13.54296875" style="69" customWidth="1"/>
    <col min="8715" max="8959" width="9.1796875" style="69"/>
    <col min="8960" max="8960" width="0" style="69" hidden="1" customWidth="1"/>
    <col min="8961" max="8961" width="3.453125" style="69" customWidth="1"/>
    <col min="8962" max="8962" width="22.7265625" style="69" customWidth="1"/>
    <col min="8963" max="8968" width="13" style="69" customWidth="1"/>
    <col min="8969" max="8970" width="13.54296875" style="69" customWidth="1"/>
    <col min="8971" max="9215" width="9.1796875" style="69"/>
    <col min="9216" max="9216" width="0" style="69" hidden="1" customWidth="1"/>
    <col min="9217" max="9217" width="3.453125" style="69" customWidth="1"/>
    <col min="9218" max="9218" width="22.7265625" style="69" customWidth="1"/>
    <col min="9219" max="9224" width="13" style="69" customWidth="1"/>
    <col min="9225" max="9226" width="13.54296875" style="69" customWidth="1"/>
    <col min="9227" max="9471" width="9.1796875" style="69"/>
    <col min="9472" max="9472" width="0" style="69" hidden="1" customWidth="1"/>
    <col min="9473" max="9473" width="3.453125" style="69" customWidth="1"/>
    <col min="9474" max="9474" width="22.7265625" style="69" customWidth="1"/>
    <col min="9475" max="9480" width="13" style="69" customWidth="1"/>
    <col min="9481" max="9482" width="13.54296875" style="69" customWidth="1"/>
    <col min="9483" max="9727" width="9.1796875" style="69"/>
    <col min="9728" max="9728" width="0" style="69" hidden="1" customWidth="1"/>
    <col min="9729" max="9729" width="3.453125" style="69" customWidth="1"/>
    <col min="9730" max="9730" width="22.7265625" style="69" customWidth="1"/>
    <col min="9731" max="9736" width="13" style="69" customWidth="1"/>
    <col min="9737" max="9738" width="13.54296875" style="69" customWidth="1"/>
    <col min="9739" max="9983" width="9.1796875" style="69"/>
    <col min="9984" max="9984" width="0" style="69" hidden="1" customWidth="1"/>
    <col min="9985" max="9985" width="3.453125" style="69" customWidth="1"/>
    <col min="9986" max="9986" width="22.7265625" style="69" customWidth="1"/>
    <col min="9987" max="9992" width="13" style="69" customWidth="1"/>
    <col min="9993" max="9994" width="13.54296875" style="69" customWidth="1"/>
    <col min="9995" max="10239" width="9.1796875" style="69"/>
    <col min="10240" max="10240" width="0" style="69" hidden="1" customWidth="1"/>
    <col min="10241" max="10241" width="3.453125" style="69" customWidth="1"/>
    <col min="10242" max="10242" width="22.7265625" style="69" customWidth="1"/>
    <col min="10243" max="10248" width="13" style="69" customWidth="1"/>
    <col min="10249" max="10250" width="13.54296875" style="69" customWidth="1"/>
    <col min="10251" max="10495" width="9.1796875" style="69"/>
    <col min="10496" max="10496" width="0" style="69" hidden="1" customWidth="1"/>
    <col min="10497" max="10497" width="3.453125" style="69" customWidth="1"/>
    <col min="10498" max="10498" width="22.7265625" style="69" customWidth="1"/>
    <col min="10499" max="10504" width="13" style="69" customWidth="1"/>
    <col min="10505" max="10506" width="13.54296875" style="69" customWidth="1"/>
    <col min="10507" max="10751" width="9.1796875" style="69"/>
    <col min="10752" max="10752" width="0" style="69" hidden="1" customWidth="1"/>
    <col min="10753" max="10753" width="3.453125" style="69" customWidth="1"/>
    <col min="10754" max="10754" width="22.7265625" style="69" customWidth="1"/>
    <col min="10755" max="10760" width="13" style="69" customWidth="1"/>
    <col min="10761" max="10762" width="13.54296875" style="69" customWidth="1"/>
    <col min="10763" max="11007" width="9.1796875" style="69"/>
    <col min="11008" max="11008" width="0" style="69" hidden="1" customWidth="1"/>
    <col min="11009" max="11009" width="3.453125" style="69" customWidth="1"/>
    <col min="11010" max="11010" width="22.7265625" style="69" customWidth="1"/>
    <col min="11011" max="11016" width="13" style="69" customWidth="1"/>
    <col min="11017" max="11018" width="13.54296875" style="69" customWidth="1"/>
    <col min="11019" max="11263" width="9.1796875" style="69"/>
    <col min="11264" max="11264" width="0" style="69" hidden="1" customWidth="1"/>
    <col min="11265" max="11265" width="3.453125" style="69" customWidth="1"/>
    <col min="11266" max="11266" width="22.7265625" style="69" customWidth="1"/>
    <col min="11267" max="11272" width="13" style="69" customWidth="1"/>
    <col min="11273" max="11274" width="13.54296875" style="69" customWidth="1"/>
    <col min="11275" max="11519" width="9.1796875" style="69"/>
    <col min="11520" max="11520" width="0" style="69" hidden="1" customWidth="1"/>
    <col min="11521" max="11521" width="3.453125" style="69" customWidth="1"/>
    <col min="11522" max="11522" width="22.7265625" style="69" customWidth="1"/>
    <col min="11523" max="11528" width="13" style="69" customWidth="1"/>
    <col min="11529" max="11530" width="13.54296875" style="69" customWidth="1"/>
    <col min="11531" max="11775" width="9.1796875" style="69"/>
    <col min="11776" max="11776" width="0" style="69" hidden="1" customWidth="1"/>
    <col min="11777" max="11777" width="3.453125" style="69" customWidth="1"/>
    <col min="11778" max="11778" width="22.7265625" style="69" customWidth="1"/>
    <col min="11779" max="11784" width="13" style="69" customWidth="1"/>
    <col min="11785" max="11786" width="13.54296875" style="69" customWidth="1"/>
    <col min="11787" max="12031" width="9.1796875" style="69"/>
    <col min="12032" max="12032" width="0" style="69" hidden="1" customWidth="1"/>
    <col min="12033" max="12033" width="3.453125" style="69" customWidth="1"/>
    <col min="12034" max="12034" width="22.7265625" style="69" customWidth="1"/>
    <col min="12035" max="12040" width="13" style="69" customWidth="1"/>
    <col min="12041" max="12042" width="13.54296875" style="69" customWidth="1"/>
    <col min="12043" max="12287" width="9.1796875" style="69"/>
    <col min="12288" max="12288" width="0" style="69" hidden="1" customWidth="1"/>
    <col min="12289" max="12289" width="3.453125" style="69" customWidth="1"/>
    <col min="12290" max="12290" width="22.7265625" style="69" customWidth="1"/>
    <col min="12291" max="12296" width="13" style="69" customWidth="1"/>
    <col min="12297" max="12298" width="13.54296875" style="69" customWidth="1"/>
    <col min="12299" max="12543" width="9.1796875" style="69"/>
    <col min="12544" max="12544" width="0" style="69" hidden="1" customWidth="1"/>
    <col min="12545" max="12545" width="3.453125" style="69" customWidth="1"/>
    <col min="12546" max="12546" width="22.7265625" style="69" customWidth="1"/>
    <col min="12547" max="12552" width="13" style="69" customWidth="1"/>
    <col min="12553" max="12554" width="13.54296875" style="69" customWidth="1"/>
    <col min="12555" max="12799" width="9.1796875" style="69"/>
    <col min="12800" max="12800" width="0" style="69" hidden="1" customWidth="1"/>
    <col min="12801" max="12801" width="3.453125" style="69" customWidth="1"/>
    <col min="12802" max="12802" width="22.7265625" style="69" customWidth="1"/>
    <col min="12803" max="12808" width="13" style="69" customWidth="1"/>
    <col min="12809" max="12810" width="13.54296875" style="69" customWidth="1"/>
    <col min="12811" max="13055" width="9.1796875" style="69"/>
    <col min="13056" max="13056" width="0" style="69" hidden="1" customWidth="1"/>
    <col min="13057" max="13057" width="3.453125" style="69" customWidth="1"/>
    <col min="13058" max="13058" width="22.7265625" style="69" customWidth="1"/>
    <col min="13059" max="13064" width="13" style="69" customWidth="1"/>
    <col min="13065" max="13066" width="13.54296875" style="69" customWidth="1"/>
    <col min="13067" max="13311" width="9.1796875" style="69"/>
    <col min="13312" max="13312" width="0" style="69" hidden="1" customWidth="1"/>
    <col min="13313" max="13313" width="3.453125" style="69" customWidth="1"/>
    <col min="13314" max="13314" width="22.7265625" style="69" customWidth="1"/>
    <col min="13315" max="13320" width="13" style="69" customWidth="1"/>
    <col min="13321" max="13322" width="13.54296875" style="69" customWidth="1"/>
    <col min="13323" max="13567" width="9.1796875" style="69"/>
    <col min="13568" max="13568" width="0" style="69" hidden="1" customWidth="1"/>
    <col min="13569" max="13569" width="3.453125" style="69" customWidth="1"/>
    <col min="13570" max="13570" width="22.7265625" style="69" customWidth="1"/>
    <col min="13571" max="13576" width="13" style="69" customWidth="1"/>
    <col min="13577" max="13578" width="13.54296875" style="69" customWidth="1"/>
    <col min="13579" max="13823" width="9.1796875" style="69"/>
    <col min="13824" max="13824" width="0" style="69" hidden="1" customWidth="1"/>
    <col min="13825" max="13825" width="3.453125" style="69" customWidth="1"/>
    <col min="13826" max="13826" width="22.7265625" style="69" customWidth="1"/>
    <col min="13827" max="13832" width="13" style="69" customWidth="1"/>
    <col min="13833" max="13834" width="13.54296875" style="69" customWidth="1"/>
    <col min="13835" max="14079" width="9.1796875" style="69"/>
    <col min="14080" max="14080" width="0" style="69" hidden="1" customWidth="1"/>
    <col min="14081" max="14081" width="3.453125" style="69" customWidth="1"/>
    <col min="14082" max="14082" width="22.7265625" style="69" customWidth="1"/>
    <col min="14083" max="14088" width="13" style="69" customWidth="1"/>
    <col min="14089" max="14090" width="13.54296875" style="69" customWidth="1"/>
    <col min="14091" max="14335" width="9.1796875" style="69"/>
    <col min="14336" max="14336" width="0" style="69" hidden="1" customWidth="1"/>
    <col min="14337" max="14337" width="3.453125" style="69" customWidth="1"/>
    <col min="14338" max="14338" width="22.7265625" style="69" customWidth="1"/>
    <col min="14339" max="14344" width="13" style="69" customWidth="1"/>
    <col min="14345" max="14346" width="13.54296875" style="69" customWidth="1"/>
    <col min="14347" max="14591" width="9.1796875" style="69"/>
    <col min="14592" max="14592" width="0" style="69" hidden="1" customWidth="1"/>
    <col min="14593" max="14593" width="3.453125" style="69" customWidth="1"/>
    <col min="14594" max="14594" width="22.7265625" style="69" customWidth="1"/>
    <col min="14595" max="14600" width="13" style="69" customWidth="1"/>
    <col min="14601" max="14602" width="13.54296875" style="69" customWidth="1"/>
    <col min="14603" max="14847" width="9.1796875" style="69"/>
    <col min="14848" max="14848" width="0" style="69" hidden="1" customWidth="1"/>
    <col min="14849" max="14849" width="3.453125" style="69" customWidth="1"/>
    <col min="14850" max="14850" width="22.7265625" style="69" customWidth="1"/>
    <col min="14851" max="14856" width="13" style="69" customWidth="1"/>
    <col min="14857" max="14858" width="13.54296875" style="69" customWidth="1"/>
    <col min="14859" max="15103" width="9.1796875" style="69"/>
    <col min="15104" max="15104" width="0" style="69" hidden="1" customWidth="1"/>
    <col min="15105" max="15105" width="3.453125" style="69" customWidth="1"/>
    <col min="15106" max="15106" width="22.7265625" style="69" customWidth="1"/>
    <col min="15107" max="15112" width="13" style="69" customWidth="1"/>
    <col min="15113" max="15114" width="13.54296875" style="69" customWidth="1"/>
    <col min="15115" max="15359" width="9.1796875" style="69"/>
    <col min="15360" max="15360" width="0" style="69" hidden="1" customWidth="1"/>
    <col min="15361" max="15361" width="3.453125" style="69" customWidth="1"/>
    <col min="15362" max="15362" width="22.7265625" style="69" customWidth="1"/>
    <col min="15363" max="15368" width="13" style="69" customWidth="1"/>
    <col min="15369" max="15370" width="13.54296875" style="69" customWidth="1"/>
    <col min="15371" max="15615" width="9.1796875" style="69"/>
    <col min="15616" max="15616" width="0" style="69" hidden="1" customWidth="1"/>
    <col min="15617" max="15617" width="3.453125" style="69" customWidth="1"/>
    <col min="15618" max="15618" width="22.7265625" style="69" customWidth="1"/>
    <col min="15619" max="15624" width="13" style="69" customWidth="1"/>
    <col min="15625" max="15626" width="13.54296875" style="69" customWidth="1"/>
    <col min="15627" max="15871" width="9.1796875" style="69"/>
    <col min="15872" max="15872" width="0" style="69" hidden="1" customWidth="1"/>
    <col min="15873" max="15873" width="3.453125" style="69" customWidth="1"/>
    <col min="15874" max="15874" width="22.7265625" style="69" customWidth="1"/>
    <col min="15875" max="15880" width="13" style="69" customWidth="1"/>
    <col min="15881" max="15882" width="13.54296875" style="69" customWidth="1"/>
    <col min="15883" max="16127" width="9.1796875" style="69"/>
    <col min="16128" max="16128" width="0" style="69" hidden="1" customWidth="1"/>
    <col min="16129" max="16129" width="3.453125" style="69" customWidth="1"/>
    <col min="16130" max="16130" width="22.7265625" style="69" customWidth="1"/>
    <col min="16131" max="16136" width="13" style="69" customWidth="1"/>
    <col min="16137" max="16138" width="13.54296875" style="69" customWidth="1"/>
    <col min="16139" max="16384" width="9.1796875" style="69"/>
  </cols>
  <sheetData>
    <row r="1" spans="1:12" ht="39.75" customHeight="1" x14ac:dyDescent="0.35">
      <c r="B1" s="148" t="s">
        <v>96</v>
      </c>
      <c r="C1" s="148"/>
      <c r="D1" s="148"/>
      <c r="E1" s="148"/>
      <c r="F1" s="148"/>
      <c r="G1" s="148"/>
      <c r="H1" s="148"/>
      <c r="I1" s="148"/>
      <c r="J1" s="148"/>
    </row>
    <row r="2" spans="1:12" ht="30" customHeight="1" x14ac:dyDescent="0.35">
      <c r="B2" s="83"/>
      <c r="C2" s="70" t="s">
        <v>72</v>
      </c>
      <c r="D2" s="70" t="s">
        <v>73</v>
      </c>
      <c r="E2" s="85" t="s">
        <v>74</v>
      </c>
      <c r="F2" s="85" t="s">
        <v>75</v>
      </c>
      <c r="G2" s="85" t="s">
        <v>76</v>
      </c>
      <c r="H2" s="85" t="s">
        <v>77</v>
      </c>
      <c r="I2" s="70" t="s">
        <v>78</v>
      </c>
      <c r="J2" s="71" t="s">
        <v>1</v>
      </c>
    </row>
    <row r="3" spans="1:12" s="36" customFormat="1" ht="26.25" customHeight="1" x14ac:dyDescent="0.35">
      <c r="A3" s="38"/>
      <c r="B3" s="37" t="s">
        <v>80</v>
      </c>
      <c r="C3" s="72">
        <v>143.19999999999999</v>
      </c>
      <c r="D3" s="72">
        <v>186.58</v>
      </c>
      <c r="E3" s="72">
        <v>601</v>
      </c>
      <c r="F3" s="72">
        <v>1478.62</v>
      </c>
      <c r="G3" s="72">
        <v>4275.6400000000003</v>
      </c>
      <c r="H3" s="72">
        <v>3861.98</v>
      </c>
      <c r="I3" s="72">
        <v>17618.609519999998</v>
      </c>
      <c r="J3" s="72">
        <v>28165.629519999995</v>
      </c>
      <c r="K3" s="73"/>
    </row>
    <row r="4" spans="1:12" s="37" customFormat="1" ht="26.25" customHeight="1" x14ac:dyDescent="0.35">
      <c r="A4" s="38"/>
      <c r="B4" s="37" t="s">
        <v>55</v>
      </c>
      <c r="C4" s="74">
        <v>116.2</v>
      </c>
      <c r="D4" s="74">
        <v>140.58000000000001</v>
      </c>
      <c r="E4" s="74">
        <v>421</v>
      </c>
      <c r="F4" s="74">
        <v>1033.6199999999999</v>
      </c>
      <c r="G4" s="74">
        <v>2320.14</v>
      </c>
      <c r="H4" s="74">
        <v>2146</v>
      </c>
      <c r="I4" s="74">
        <v>9063.489520000001</v>
      </c>
      <c r="J4" s="74">
        <v>15241.029520000002</v>
      </c>
      <c r="L4" s="72"/>
    </row>
    <row r="5" spans="1:12" s="50" customFormat="1" ht="13" x14ac:dyDescent="0.35">
      <c r="A5" s="40">
        <v>51</v>
      </c>
      <c r="B5" s="50" t="s">
        <v>7</v>
      </c>
      <c r="C5" s="75">
        <v>3</v>
      </c>
      <c r="D5" s="75">
        <v>3</v>
      </c>
      <c r="E5" s="75">
        <v>7</v>
      </c>
      <c r="F5" s="75">
        <v>21</v>
      </c>
      <c r="G5" s="75">
        <v>81</v>
      </c>
      <c r="H5" s="75">
        <v>83</v>
      </c>
      <c r="I5" s="75">
        <v>433</v>
      </c>
      <c r="J5" s="76">
        <v>631</v>
      </c>
      <c r="K5" s="45"/>
    </row>
    <row r="6" spans="1:12" s="50" customFormat="1" ht="13" x14ac:dyDescent="0.35">
      <c r="A6" s="40">
        <v>52</v>
      </c>
      <c r="B6" s="50" t="s">
        <v>8</v>
      </c>
      <c r="C6" s="75">
        <v>3</v>
      </c>
      <c r="D6" s="75">
        <v>5</v>
      </c>
      <c r="E6" s="75">
        <v>8</v>
      </c>
      <c r="F6" s="75">
        <v>23</v>
      </c>
      <c r="G6" s="75">
        <v>36</v>
      </c>
      <c r="H6" s="75">
        <v>47</v>
      </c>
      <c r="I6" s="75">
        <v>185</v>
      </c>
      <c r="J6" s="76">
        <v>307</v>
      </c>
      <c r="K6" s="45"/>
    </row>
    <row r="7" spans="1:12" s="50" customFormat="1" ht="13" x14ac:dyDescent="0.35">
      <c r="A7" s="40">
        <v>86</v>
      </c>
      <c r="B7" s="50" t="s">
        <v>9</v>
      </c>
      <c r="C7" s="75">
        <v>3</v>
      </c>
      <c r="D7" s="75">
        <v>3.58</v>
      </c>
      <c r="E7" s="75">
        <v>15</v>
      </c>
      <c r="F7" s="75">
        <v>24</v>
      </c>
      <c r="G7" s="75">
        <v>54</v>
      </c>
      <c r="H7" s="75">
        <v>61</v>
      </c>
      <c r="I7" s="75">
        <v>253</v>
      </c>
      <c r="J7" s="76">
        <v>413.58</v>
      </c>
      <c r="K7" s="45"/>
    </row>
    <row r="8" spans="1:12" s="50" customFormat="1" ht="13" x14ac:dyDescent="0.35">
      <c r="A8" s="40">
        <v>53</v>
      </c>
      <c r="B8" s="50" t="s">
        <v>10</v>
      </c>
      <c r="C8" s="75">
        <v>4</v>
      </c>
      <c r="D8" s="75">
        <v>2</v>
      </c>
      <c r="E8" s="75">
        <v>11</v>
      </c>
      <c r="F8" s="75">
        <v>25</v>
      </c>
      <c r="G8" s="75">
        <v>51</v>
      </c>
      <c r="H8" s="75">
        <v>54</v>
      </c>
      <c r="I8" s="75">
        <v>198</v>
      </c>
      <c r="J8" s="76">
        <v>345</v>
      </c>
      <c r="K8" s="45"/>
    </row>
    <row r="9" spans="1:12" s="50" customFormat="1" ht="13" x14ac:dyDescent="0.35">
      <c r="A9" s="40">
        <v>54</v>
      </c>
      <c r="B9" s="50" t="s">
        <v>11</v>
      </c>
      <c r="C9" s="75">
        <v>3</v>
      </c>
      <c r="D9" s="75">
        <v>3</v>
      </c>
      <c r="E9" s="75">
        <v>8</v>
      </c>
      <c r="F9" s="75">
        <v>34.270000000000003</v>
      </c>
      <c r="G9" s="75">
        <v>39</v>
      </c>
      <c r="H9" s="75">
        <v>40</v>
      </c>
      <c r="I9" s="75">
        <v>132</v>
      </c>
      <c r="J9" s="76">
        <v>259.27</v>
      </c>
      <c r="K9" s="45"/>
    </row>
    <row r="10" spans="1:12" s="50" customFormat="1" ht="13" x14ac:dyDescent="0.35">
      <c r="A10" s="40">
        <v>55</v>
      </c>
      <c r="B10" s="50" t="s">
        <v>12</v>
      </c>
      <c r="C10" s="75">
        <v>3</v>
      </c>
      <c r="D10" s="75">
        <v>3</v>
      </c>
      <c r="E10" s="75">
        <v>9</v>
      </c>
      <c r="F10" s="75">
        <v>33</v>
      </c>
      <c r="G10" s="75">
        <v>68</v>
      </c>
      <c r="H10" s="75">
        <v>67</v>
      </c>
      <c r="I10" s="75">
        <v>313.14</v>
      </c>
      <c r="J10" s="76">
        <v>496.14</v>
      </c>
      <c r="K10" s="45"/>
    </row>
    <row r="11" spans="1:12" s="50" customFormat="1" ht="13" x14ac:dyDescent="0.35">
      <c r="A11" s="40">
        <v>56</v>
      </c>
      <c r="B11" s="50" t="s">
        <v>13</v>
      </c>
      <c r="C11" s="75">
        <v>1</v>
      </c>
      <c r="D11" s="75">
        <v>3</v>
      </c>
      <c r="E11" s="75">
        <v>7</v>
      </c>
      <c r="F11" s="75">
        <v>15</v>
      </c>
      <c r="G11" s="75">
        <v>55</v>
      </c>
      <c r="H11" s="75">
        <v>61</v>
      </c>
      <c r="I11" s="75">
        <v>310</v>
      </c>
      <c r="J11" s="76">
        <v>452</v>
      </c>
      <c r="K11" s="45"/>
    </row>
    <row r="12" spans="1:12" s="50" customFormat="1" ht="13" x14ac:dyDescent="0.35">
      <c r="A12" s="40">
        <v>57</v>
      </c>
      <c r="B12" s="50" t="s">
        <v>14</v>
      </c>
      <c r="C12" s="75">
        <v>3</v>
      </c>
      <c r="D12" s="75">
        <v>4</v>
      </c>
      <c r="E12" s="75">
        <v>13</v>
      </c>
      <c r="F12" s="75">
        <v>14</v>
      </c>
      <c r="G12" s="75">
        <v>30</v>
      </c>
      <c r="H12" s="75">
        <v>19</v>
      </c>
      <c r="I12" s="75">
        <v>105</v>
      </c>
      <c r="J12" s="76">
        <v>188</v>
      </c>
      <c r="K12" s="45"/>
    </row>
    <row r="13" spans="1:12" s="50" customFormat="1" ht="13" x14ac:dyDescent="0.35">
      <c r="A13" s="40">
        <v>59</v>
      </c>
      <c r="B13" s="50" t="s">
        <v>15</v>
      </c>
      <c r="C13" s="75">
        <v>3</v>
      </c>
      <c r="D13" s="75">
        <v>3</v>
      </c>
      <c r="E13" s="75">
        <v>16</v>
      </c>
      <c r="F13" s="75">
        <v>12</v>
      </c>
      <c r="G13" s="75">
        <v>21</v>
      </c>
      <c r="H13" s="75">
        <v>32</v>
      </c>
      <c r="I13" s="75">
        <v>127.93</v>
      </c>
      <c r="J13" s="76">
        <v>214.93</v>
      </c>
      <c r="K13" s="45"/>
    </row>
    <row r="14" spans="1:12" s="50" customFormat="1" ht="13" x14ac:dyDescent="0.35">
      <c r="A14" s="40">
        <v>60</v>
      </c>
      <c r="B14" s="50" t="s">
        <v>16</v>
      </c>
      <c r="C14" s="75">
        <v>2</v>
      </c>
      <c r="D14" s="75">
        <v>4</v>
      </c>
      <c r="E14" s="75">
        <v>10</v>
      </c>
      <c r="F14" s="75">
        <v>27</v>
      </c>
      <c r="G14" s="75">
        <v>64</v>
      </c>
      <c r="H14" s="75">
        <v>62</v>
      </c>
      <c r="I14" s="75">
        <v>234</v>
      </c>
      <c r="J14" s="76">
        <v>403</v>
      </c>
      <c r="K14" s="45"/>
    </row>
    <row r="15" spans="1:12" s="50" customFormat="1" ht="13" x14ac:dyDescent="0.35">
      <c r="A15" s="40">
        <v>61</v>
      </c>
      <c r="B15" s="77" t="s">
        <v>56</v>
      </c>
      <c r="C15" s="75">
        <v>4</v>
      </c>
      <c r="D15" s="75">
        <v>8</v>
      </c>
      <c r="E15" s="75">
        <v>41</v>
      </c>
      <c r="F15" s="75">
        <v>55.4</v>
      </c>
      <c r="G15" s="75">
        <v>116.5</v>
      </c>
      <c r="H15" s="75">
        <v>105</v>
      </c>
      <c r="I15" s="75">
        <v>353.5</v>
      </c>
      <c r="J15" s="76">
        <v>683.4</v>
      </c>
      <c r="K15" s="45"/>
    </row>
    <row r="16" spans="1:12" s="50" customFormat="1" ht="12.5" x14ac:dyDescent="0.35">
      <c r="A16" s="40">
        <v>62</v>
      </c>
      <c r="B16" s="50" t="s">
        <v>143</v>
      </c>
      <c r="C16" s="75">
        <f>C63+C64</f>
        <v>6</v>
      </c>
      <c r="D16" s="75">
        <f t="shared" ref="D16:J16" si="0">D63+D64</f>
        <v>8</v>
      </c>
      <c r="E16" s="75">
        <f t="shared" si="0"/>
        <v>21</v>
      </c>
      <c r="F16" s="75">
        <f t="shared" si="0"/>
        <v>48.95</v>
      </c>
      <c r="G16" s="75">
        <f t="shared" si="0"/>
        <v>72.64</v>
      </c>
      <c r="H16" s="75">
        <f t="shared" si="0"/>
        <v>71</v>
      </c>
      <c r="I16" s="75">
        <f t="shared" si="0"/>
        <v>260.94</v>
      </c>
      <c r="J16" s="75">
        <f t="shared" si="0"/>
        <v>488.53</v>
      </c>
      <c r="K16" s="45"/>
    </row>
    <row r="17" spans="1:11" s="50" customFormat="1" ht="13" x14ac:dyDescent="0.35">
      <c r="A17" s="40">
        <v>58</v>
      </c>
      <c r="B17" s="50" t="s">
        <v>19</v>
      </c>
      <c r="C17" s="75">
        <v>1</v>
      </c>
      <c r="D17" s="75">
        <v>4</v>
      </c>
      <c r="E17" s="75">
        <v>6</v>
      </c>
      <c r="F17" s="75">
        <v>27</v>
      </c>
      <c r="G17" s="75">
        <v>59</v>
      </c>
      <c r="H17" s="75">
        <v>57</v>
      </c>
      <c r="I17" s="75">
        <v>211</v>
      </c>
      <c r="J17" s="76">
        <v>365</v>
      </c>
      <c r="K17" s="45"/>
    </row>
    <row r="18" spans="1:11" s="50" customFormat="1" ht="13" x14ac:dyDescent="0.35">
      <c r="A18" s="40">
        <v>63</v>
      </c>
      <c r="B18" s="50" t="s">
        <v>20</v>
      </c>
      <c r="C18" s="75">
        <v>3</v>
      </c>
      <c r="D18" s="75">
        <v>3</v>
      </c>
      <c r="E18" s="75">
        <v>16</v>
      </c>
      <c r="F18" s="75">
        <v>29</v>
      </c>
      <c r="G18" s="75">
        <v>55</v>
      </c>
      <c r="H18" s="75">
        <v>63</v>
      </c>
      <c r="I18" s="75">
        <v>245</v>
      </c>
      <c r="J18" s="76">
        <v>414</v>
      </c>
      <c r="K18" s="45"/>
    </row>
    <row r="19" spans="1:11" s="50" customFormat="1" ht="13" x14ac:dyDescent="0.35">
      <c r="A19" s="40">
        <v>64</v>
      </c>
      <c r="B19" s="50" t="s">
        <v>21</v>
      </c>
      <c r="C19" s="75">
        <v>5</v>
      </c>
      <c r="D19" s="75">
        <v>7</v>
      </c>
      <c r="E19" s="75">
        <v>14</v>
      </c>
      <c r="F19" s="75">
        <v>49</v>
      </c>
      <c r="G19" s="75">
        <v>147</v>
      </c>
      <c r="H19" s="75">
        <v>106</v>
      </c>
      <c r="I19" s="75">
        <v>512</v>
      </c>
      <c r="J19" s="76">
        <v>840</v>
      </c>
      <c r="K19" s="45"/>
    </row>
    <row r="20" spans="1:11" s="50" customFormat="1" ht="13" x14ac:dyDescent="0.35">
      <c r="A20" s="40">
        <v>65</v>
      </c>
      <c r="B20" s="50" t="s">
        <v>22</v>
      </c>
      <c r="C20" s="75">
        <v>2</v>
      </c>
      <c r="D20" s="75">
        <v>3</v>
      </c>
      <c r="E20" s="75">
        <v>4</v>
      </c>
      <c r="F20" s="75">
        <v>20</v>
      </c>
      <c r="G20" s="75">
        <v>30</v>
      </c>
      <c r="H20" s="75">
        <v>23</v>
      </c>
      <c r="I20" s="75">
        <v>127.5</v>
      </c>
      <c r="J20" s="76">
        <v>209.5</v>
      </c>
      <c r="K20" s="45"/>
    </row>
    <row r="21" spans="1:11" s="50" customFormat="1" ht="13" x14ac:dyDescent="0.35">
      <c r="A21" s="40">
        <v>67</v>
      </c>
      <c r="B21" s="50" t="s">
        <v>25</v>
      </c>
      <c r="C21" s="75">
        <v>5</v>
      </c>
      <c r="D21" s="75">
        <v>5</v>
      </c>
      <c r="E21" s="75">
        <v>24</v>
      </c>
      <c r="F21" s="75">
        <v>54.5</v>
      </c>
      <c r="G21" s="75">
        <v>106</v>
      </c>
      <c r="H21" s="75">
        <v>99</v>
      </c>
      <c r="I21" s="75">
        <v>458.5</v>
      </c>
      <c r="J21" s="76">
        <v>752</v>
      </c>
      <c r="K21" s="45"/>
    </row>
    <row r="22" spans="1:11" s="50" customFormat="1" ht="13" x14ac:dyDescent="0.35">
      <c r="A22" s="40">
        <v>68</v>
      </c>
      <c r="B22" s="50" t="s">
        <v>57</v>
      </c>
      <c r="C22" s="75">
        <v>3</v>
      </c>
      <c r="D22" s="75">
        <v>3</v>
      </c>
      <c r="E22" s="75">
        <v>9</v>
      </c>
      <c r="F22" s="75">
        <v>31</v>
      </c>
      <c r="G22" s="75">
        <v>55</v>
      </c>
      <c r="H22" s="75">
        <v>40</v>
      </c>
      <c r="I22" s="75">
        <v>179</v>
      </c>
      <c r="J22" s="76">
        <v>320</v>
      </c>
      <c r="K22" s="45"/>
    </row>
    <row r="23" spans="1:11" s="50" customFormat="1" ht="13" x14ac:dyDescent="0.35">
      <c r="A23" s="40">
        <v>69</v>
      </c>
      <c r="B23" s="50" t="s">
        <v>27</v>
      </c>
      <c r="C23" s="75">
        <v>3</v>
      </c>
      <c r="D23" s="75">
        <v>4</v>
      </c>
      <c r="E23" s="75">
        <v>11</v>
      </c>
      <c r="F23" s="75">
        <v>22</v>
      </c>
      <c r="G23" s="75">
        <v>93</v>
      </c>
      <c r="H23" s="75">
        <v>85</v>
      </c>
      <c r="I23" s="75">
        <v>334</v>
      </c>
      <c r="J23" s="76">
        <v>552</v>
      </c>
      <c r="K23" s="45"/>
    </row>
    <row r="24" spans="1:11" s="50" customFormat="1" ht="13" x14ac:dyDescent="0.35">
      <c r="A24" s="40">
        <v>70</v>
      </c>
      <c r="B24" s="50" t="s">
        <v>28</v>
      </c>
      <c r="C24" s="75">
        <v>3</v>
      </c>
      <c r="D24" s="75">
        <v>4</v>
      </c>
      <c r="E24" s="75">
        <v>12</v>
      </c>
      <c r="F24" s="75">
        <v>29</v>
      </c>
      <c r="G24" s="75">
        <v>80</v>
      </c>
      <c r="H24" s="75">
        <v>82</v>
      </c>
      <c r="I24" s="75">
        <v>387</v>
      </c>
      <c r="J24" s="76">
        <v>597</v>
      </c>
      <c r="K24" s="45"/>
    </row>
    <row r="25" spans="1:11" s="50" customFormat="1" ht="13" x14ac:dyDescent="0.35">
      <c r="A25" s="40">
        <v>71</v>
      </c>
      <c r="B25" s="50" t="s">
        <v>58</v>
      </c>
      <c r="C25" s="75">
        <v>2</v>
      </c>
      <c r="D25" s="75">
        <v>1</v>
      </c>
      <c r="E25" s="75">
        <v>1</v>
      </c>
      <c r="F25" s="75">
        <v>9</v>
      </c>
      <c r="G25" s="75">
        <v>13</v>
      </c>
      <c r="H25" s="75">
        <v>7</v>
      </c>
      <c r="I25" s="75">
        <v>46</v>
      </c>
      <c r="J25" s="76">
        <v>79</v>
      </c>
      <c r="K25" s="45"/>
    </row>
    <row r="26" spans="1:11" s="50" customFormat="1" ht="13" x14ac:dyDescent="0.35">
      <c r="A26" s="40">
        <v>73</v>
      </c>
      <c r="B26" s="50" t="s">
        <v>31</v>
      </c>
      <c r="C26" s="75">
        <v>4</v>
      </c>
      <c r="D26" s="75">
        <v>6</v>
      </c>
      <c r="E26" s="75">
        <v>18</v>
      </c>
      <c r="F26" s="75">
        <v>73</v>
      </c>
      <c r="G26" s="75">
        <v>119</v>
      </c>
      <c r="H26" s="75">
        <v>123</v>
      </c>
      <c r="I26" s="75">
        <v>495</v>
      </c>
      <c r="J26" s="76">
        <v>838</v>
      </c>
      <c r="K26" s="45"/>
    </row>
    <row r="27" spans="1:11" s="50" customFormat="1" ht="13" x14ac:dyDescent="0.35">
      <c r="A27" s="40">
        <v>74</v>
      </c>
      <c r="B27" s="50" t="s">
        <v>32</v>
      </c>
      <c r="C27" s="75">
        <v>3</v>
      </c>
      <c r="D27" s="75">
        <v>6</v>
      </c>
      <c r="E27" s="75">
        <v>10</v>
      </c>
      <c r="F27" s="75">
        <v>30</v>
      </c>
      <c r="G27" s="75">
        <v>126</v>
      </c>
      <c r="H27" s="75">
        <v>106</v>
      </c>
      <c r="I27" s="75">
        <v>519</v>
      </c>
      <c r="J27" s="76">
        <v>800</v>
      </c>
      <c r="K27" s="45"/>
    </row>
    <row r="28" spans="1:11" s="50" customFormat="1" ht="13" x14ac:dyDescent="0.35">
      <c r="A28" s="40">
        <v>75</v>
      </c>
      <c r="B28" s="50" t="s">
        <v>33</v>
      </c>
      <c r="C28" s="75">
        <v>3</v>
      </c>
      <c r="D28" s="75">
        <v>3</v>
      </c>
      <c r="E28" s="75">
        <v>7</v>
      </c>
      <c r="F28" s="75">
        <v>23</v>
      </c>
      <c r="G28" s="75">
        <v>73.5</v>
      </c>
      <c r="H28" s="75">
        <v>66</v>
      </c>
      <c r="I28" s="75">
        <v>284.17</v>
      </c>
      <c r="J28" s="76">
        <v>459.67</v>
      </c>
      <c r="K28" s="45"/>
    </row>
    <row r="29" spans="1:11" s="50" customFormat="1" ht="13" x14ac:dyDescent="0.35">
      <c r="A29" s="40">
        <v>76</v>
      </c>
      <c r="B29" s="50" t="s">
        <v>34</v>
      </c>
      <c r="C29" s="75">
        <v>3</v>
      </c>
      <c r="D29" s="75">
        <v>4</v>
      </c>
      <c r="E29" s="75">
        <v>10</v>
      </c>
      <c r="F29" s="75">
        <v>24</v>
      </c>
      <c r="G29" s="75">
        <v>41</v>
      </c>
      <c r="H29" s="75">
        <v>33.5</v>
      </c>
      <c r="I29" s="75">
        <v>86</v>
      </c>
      <c r="J29" s="76">
        <v>201.5</v>
      </c>
      <c r="K29" s="45"/>
    </row>
    <row r="30" spans="1:11" s="50" customFormat="1" ht="13" x14ac:dyDescent="0.35">
      <c r="A30" s="40">
        <v>79</v>
      </c>
      <c r="B30" s="50" t="s">
        <v>36</v>
      </c>
      <c r="C30" s="75">
        <v>3</v>
      </c>
      <c r="D30" s="75">
        <v>2</v>
      </c>
      <c r="E30" s="75">
        <v>8</v>
      </c>
      <c r="F30" s="75">
        <v>23</v>
      </c>
      <c r="G30" s="75">
        <v>45</v>
      </c>
      <c r="H30" s="75">
        <v>36</v>
      </c>
      <c r="I30" s="75">
        <v>160</v>
      </c>
      <c r="J30" s="76">
        <v>277</v>
      </c>
      <c r="K30" s="45"/>
    </row>
    <row r="31" spans="1:11" s="50" customFormat="1" ht="12.5" x14ac:dyDescent="0.35">
      <c r="A31" s="40"/>
      <c r="B31" s="67" t="s">
        <v>81</v>
      </c>
      <c r="C31" s="68" t="s">
        <v>64</v>
      </c>
      <c r="D31" s="68" t="s">
        <v>64</v>
      </c>
      <c r="E31" s="68" t="s">
        <v>64</v>
      </c>
      <c r="F31" s="68" t="s">
        <v>64</v>
      </c>
      <c r="G31" s="68" t="s">
        <v>64</v>
      </c>
      <c r="H31" s="68" t="s">
        <v>64</v>
      </c>
      <c r="I31" s="68" t="s">
        <v>64</v>
      </c>
      <c r="J31" s="68" t="s">
        <v>64</v>
      </c>
      <c r="K31" s="45"/>
    </row>
    <row r="32" spans="1:11" s="50" customFormat="1" ht="13" x14ac:dyDescent="0.35">
      <c r="A32" s="40">
        <v>80</v>
      </c>
      <c r="B32" s="50" t="s">
        <v>38</v>
      </c>
      <c r="C32" s="75">
        <v>3</v>
      </c>
      <c r="D32" s="75">
        <v>3</v>
      </c>
      <c r="E32" s="75">
        <v>11</v>
      </c>
      <c r="F32" s="75">
        <v>23</v>
      </c>
      <c r="G32" s="75">
        <v>49</v>
      </c>
      <c r="H32" s="75">
        <v>47</v>
      </c>
      <c r="I32" s="75">
        <v>198</v>
      </c>
      <c r="J32" s="76">
        <v>334</v>
      </c>
      <c r="K32" s="45"/>
    </row>
    <row r="33" spans="1:11" s="50" customFormat="1" ht="14.5" x14ac:dyDescent="0.35">
      <c r="A33" s="40">
        <v>81</v>
      </c>
      <c r="B33" s="50" t="s">
        <v>97</v>
      </c>
      <c r="C33" s="75">
        <v>3</v>
      </c>
      <c r="D33" s="75">
        <v>3</v>
      </c>
      <c r="E33" s="75">
        <v>10</v>
      </c>
      <c r="F33" s="75">
        <v>25</v>
      </c>
      <c r="G33" s="75">
        <v>36</v>
      </c>
      <c r="H33" s="75">
        <v>36</v>
      </c>
      <c r="I33" s="75">
        <v>171</v>
      </c>
      <c r="J33" s="76">
        <v>284</v>
      </c>
      <c r="K33" s="45"/>
    </row>
    <row r="34" spans="1:11" s="50" customFormat="1" ht="13" x14ac:dyDescent="0.35">
      <c r="A34" s="40">
        <v>83</v>
      </c>
      <c r="B34" s="50" t="s">
        <v>40</v>
      </c>
      <c r="C34" s="75">
        <v>3</v>
      </c>
      <c r="D34" s="75">
        <v>0</v>
      </c>
      <c r="E34" s="75">
        <v>7</v>
      </c>
      <c r="F34" s="75">
        <v>11</v>
      </c>
      <c r="G34" s="75">
        <v>23</v>
      </c>
      <c r="H34" s="75">
        <v>22</v>
      </c>
      <c r="I34" s="75">
        <v>95</v>
      </c>
      <c r="J34" s="76">
        <v>161</v>
      </c>
      <c r="K34" s="45"/>
    </row>
    <row r="35" spans="1:11" s="50" customFormat="1" ht="13" x14ac:dyDescent="0.35">
      <c r="A35" s="40">
        <v>84</v>
      </c>
      <c r="B35" s="50" t="s">
        <v>41</v>
      </c>
      <c r="C35" s="75">
        <v>4</v>
      </c>
      <c r="D35" s="75">
        <v>4</v>
      </c>
      <c r="E35" s="75">
        <v>7</v>
      </c>
      <c r="F35" s="75">
        <v>28</v>
      </c>
      <c r="G35" s="75">
        <v>81</v>
      </c>
      <c r="H35" s="75">
        <v>76</v>
      </c>
      <c r="I35" s="75">
        <v>325</v>
      </c>
      <c r="J35" s="76">
        <v>525</v>
      </c>
      <c r="K35" s="45"/>
    </row>
    <row r="36" spans="1:11" s="50" customFormat="1" ht="13" x14ac:dyDescent="0.35">
      <c r="A36" s="40">
        <v>85</v>
      </c>
      <c r="B36" s="50" t="s">
        <v>42</v>
      </c>
      <c r="C36" s="75">
        <v>3</v>
      </c>
      <c r="D36" s="75">
        <v>3</v>
      </c>
      <c r="E36" s="75">
        <v>12</v>
      </c>
      <c r="F36" s="75">
        <v>31</v>
      </c>
      <c r="G36" s="75">
        <v>59</v>
      </c>
      <c r="H36" s="75">
        <v>23</v>
      </c>
      <c r="I36" s="75">
        <v>117</v>
      </c>
      <c r="J36" s="76">
        <v>248</v>
      </c>
      <c r="K36" s="45"/>
    </row>
    <row r="37" spans="1:11" s="50" customFormat="1" ht="13" x14ac:dyDescent="0.35">
      <c r="A37" s="40">
        <v>87</v>
      </c>
      <c r="B37" s="50" t="s">
        <v>43</v>
      </c>
      <c r="C37" s="75">
        <v>4</v>
      </c>
      <c r="D37" s="75">
        <v>4</v>
      </c>
      <c r="E37" s="75">
        <v>5</v>
      </c>
      <c r="F37" s="75">
        <v>12</v>
      </c>
      <c r="G37" s="75">
        <v>26</v>
      </c>
      <c r="H37" s="75">
        <v>22</v>
      </c>
      <c r="I37" s="75">
        <v>124</v>
      </c>
      <c r="J37" s="76">
        <v>197</v>
      </c>
      <c r="K37" s="45"/>
    </row>
    <row r="38" spans="1:11" s="50" customFormat="1" ht="13" x14ac:dyDescent="0.35">
      <c r="A38" s="40">
        <v>90</v>
      </c>
      <c r="B38" s="50" t="s">
        <v>45</v>
      </c>
      <c r="C38" s="75">
        <v>2</v>
      </c>
      <c r="D38" s="75">
        <v>3</v>
      </c>
      <c r="E38" s="75">
        <v>14</v>
      </c>
      <c r="F38" s="75">
        <v>31</v>
      </c>
      <c r="G38" s="75">
        <v>70</v>
      </c>
      <c r="H38" s="75">
        <v>65</v>
      </c>
      <c r="I38" s="75">
        <v>220</v>
      </c>
      <c r="J38" s="76">
        <v>405</v>
      </c>
      <c r="K38" s="45"/>
    </row>
    <row r="39" spans="1:11" s="50" customFormat="1" ht="13" x14ac:dyDescent="0.35">
      <c r="A39" s="40">
        <v>91</v>
      </c>
      <c r="B39" s="50" t="s">
        <v>46</v>
      </c>
      <c r="C39" s="75">
        <v>4</v>
      </c>
      <c r="D39" s="75">
        <v>4</v>
      </c>
      <c r="E39" s="75">
        <v>12</v>
      </c>
      <c r="F39" s="75">
        <v>19</v>
      </c>
      <c r="G39" s="75">
        <v>44</v>
      </c>
      <c r="H39" s="75">
        <v>29</v>
      </c>
      <c r="I39" s="75">
        <v>120</v>
      </c>
      <c r="J39" s="76">
        <v>232</v>
      </c>
      <c r="K39" s="45"/>
    </row>
    <row r="40" spans="1:11" s="50" customFormat="1" ht="13" x14ac:dyDescent="0.35">
      <c r="A40" s="40">
        <v>92</v>
      </c>
      <c r="B40" s="50" t="s">
        <v>47</v>
      </c>
      <c r="C40" s="75">
        <v>3</v>
      </c>
      <c r="D40" s="75">
        <v>5</v>
      </c>
      <c r="E40" s="75">
        <v>11</v>
      </c>
      <c r="F40" s="75">
        <v>32.5</v>
      </c>
      <c r="G40" s="75">
        <v>91.5</v>
      </c>
      <c r="H40" s="75">
        <v>99.5</v>
      </c>
      <c r="I40" s="75">
        <v>376</v>
      </c>
      <c r="J40" s="76">
        <v>618.5</v>
      </c>
      <c r="K40" s="45"/>
    </row>
    <row r="41" spans="1:11" s="50" customFormat="1" ht="13" x14ac:dyDescent="0.35">
      <c r="A41" s="40">
        <v>94</v>
      </c>
      <c r="B41" s="50" t="s">
        <v>49</v>
      </c>
      <c r="C41" s="75">
        <v>3</v>
      </c>
      <c r="D41" s="75">
        <v>4</v>
      </c>
      <c r="E41" s="75">
        <v>6</v>
      </c>
      <c r="F41" s="75">
        <v>13</v>
      </c>
      <c r="G41" s="75">
        <v>47</v>
      </c>
      <c r="H41" s="75">
        <v>35</v>
      </c>
      <c r="I41" s="75">
        <v>161.30952000000002</v>
      </c>
      <c r="J41" s="76">
        <v>269.30952000000002</v>
      </c>
      <c r="K41" s="45"/>
    </row>
    <row r="42" spans="1:11" s="50" customFormat="1" ht="13" x14ac:dyDescent="0.35">
      <c r="A42" s="40">
        <v>96</v>
      </c>
      <c r="B42" s="50" t="s">
        <v>51</v>
      </c>
      <c r="C42" s="75">
        <v>3</v>
      </c>
      <c r="D42" s="75">
        <v>3</v>
      </c>
      <c r="E42" s="75">
        <v>10</v>
      </c>
      <c r="F42" s="75">
        <v>31</v>
      </c>
      <c r="G42" s="75">
        <v>61</v>
      </c>
      <c r="H42" s="75">
        <v>61</v>
      </c>
      <c r="I42" s="75">
        <v>200.5</v>
      </c>
      <c r="J42" s="76">
        <v>369.5</v>
      </c>
      <c r="K42" s="45"/>
    </row>
    <row r="43" spans="1:11" s="50" customFormat="1" ht="13" x14ac:dyDescent="0.35">
      <c r="A43" s="40">
        <v>72</v>
      </c>
      <c r="B43" s="50" t="s">
        <v>30</v>
      </c>
      <c r="C43" s="75">
        <v>0.2</v>
      </c>
      <c r="D43" s="75">
        <v>0</v>
      </c>
      <c r="E43" s="75">
        <v>0</v>
      </c>
      <c r="F43" s="75">
        <v>1</v>
      </c>
      <c r="G43" s="75">
        <v>2</v>
      </c>
      <c r="H43" s="75">
        <v>2</v>
      </c>
      <c r="I43" s="75">
        <v>6</v>
      </c>
      <c r="J43" s="76">
        <v>11.2</v>
      </c>
      <c r="K43" s="45"/>
    </row>
    <row r="44" spans="1:11" s="37" customFormat="1" ht="26.25" customHeight="1" x14ac:dyDescent="0.35">
      <c r="A44" s="38"/>
      <c r="B44" s="37" t="s">
        <v>59</v>
      </c>
      <c r="C44" s="39">
        <v>27</v>
      </c>
      <c r="D44" s="39">
        <v>46</v>
      </c>
      <c r="E44" s="39">
        <v>180</v>
      </c>
      <c r="F44" s="39">
        <v>445</v>
      </c>
      <c r="G44" s="39">
        <v>1955.5</v>
      </c>
      <c r="H44" s="39">
        <v>1715.98</v>
      </c>
      <c r="I44" s="39">
        <v>8555.1200000000008</v>
      </c>
      <c r="J44" s="39">
        <v>12924.6</v>
      </c>
      <c r="K44" s="45"/>
    </row>
    <row r="45" spans="1:11" s="50" customFormat="1" ht="13" x14ac:dyDescent="0.35">
      <c r="A45" s="40">
        <v>66</v>
      </c>
      <c r="B45" s="50" t="s">
        <v>24</v>
      </c>
      <c r="C45" s="75">
        <v>4</v>
      </c>
      <c r="D45" s="75">
        <v>7</v>
      </c>
      <c r="E45" s="75">
        <v>21</v>
      </c>
      <c r="F45" s="75">
        <v>64</v>
      </c>
      <c r="G45" s="75">
        <v>255</v>
      </c>
      <c r="H45" s="87">
        <v>192.48</v>
      </c>
      <c r="I45" s="75">
        <v>1128</v>
      </c>
      <c r="J45" s="76">
        <v>1671.48</v>
      </c>
      <c r="K45" s="45"/>
    </row>
    <row r="46" spans="1:11" s="50" customFormat="1" ht="13" x14ac:dyDescent="0.35">
      <c r="A46" s="40">
        <v>78</v>
      </c>
      <c r="B46" s="50" t="s">
        <v>35</v>
      </c>
      <c r="C46" s="75">
        <v>2</v>
      </c>
      <c r="D46" s="75">
        <v>3</v>
      </c>
      <c r="E46" s="75">
        <v>9</v>
      </c>
      <c r="F46" s="75">
        <v>19</v>
      </c>
      <c r="G46" s="87">
        <v>161</v>
      </c>
      <c r="H46" s="87">
        <v>53</v>
      </c>
      <c r="I46" s="75">
        <v>577</v>
      </c>
      <c r="J46" s="76">
        <v>824</v>
      </c>
      <c r="K46" s="45"/>
    </row>
    <row r="47" spans="1:11" s="50" customFormat="1" ht="13" x14ac:dyDescent="0.35">
      <c r="A47" s="40">
        <v>89</v>
      </c>
      <c r="B47" s="50" t="s">
        <v>44</v>
      </c>
      <c r="C47" s="75">
        <v>3</v>
      </c>
      <c r="D47" s="75">
        <v>4</v>
      </c>
      <c r="E47" s="75">
        <v>10</v>
      </c>
      <c r="F47" s="75">
        <v>30</v>
      </c>
      <c r="G47" s="87">
        <v>115</v>
      </c>
      <c r="H47" s="87">
        <v>102</v>
      </c>
      <c r="I47" s="75">
        <v>462</v>
      </c>
      <c r="J47" s="76">
        <v>726</v>
      </c>
      <c r="K47" s="45"/>
    </row>
    <row r="48" spans="1:11" s="50" customFormat="1" ht="13" x14ac:dyDescent="0.35">
      <c r="A48" s="40">
        <v>93</v>
      </c>
      <c r="B48" s="50" t="s">
        <v>60</v>
      </c>
      <c r="C48" s="75">
        <v>3</v>
      </c>
      <c r="D48" s="75">
        <v>5</v>
      </c>
      <c r="E48" s="75">
        <v>20</v>
      </c>
      <c r="F48" s="75">
        <v>23</v>
      </c>
      <c r="G48" s="87">
        <v>137</v>
      </c>
      <c r="H48" s="87">
        <v>131</v>
      </c>
      <c r="I48" s="75">
        <v>502</v>
      </c>
      <c r="J48" s="76">
        <v>821</v>
      </c>
      <c r="K48" s="45"/>
    </row>
    <row r="49" spans="1:11" s="50" customFormat="1" ht="13" x14ac:dyDescent="0.35">
      <c r="A49" s="40">
        <v>95</v>
      </c>
      <c r="B49" s="50" t="s">
        <v>50</v>
      </c>
      <c r="C49" s="75">
        <v>4</v>
      </c>
      <c r="D49" s="75">
        <v>6</v>
      </c>
      <c r="E49" s="75">
        <v>28</v>
      </c>
      <c r="F49" s="75">
        <v>52</v>
      </c>
      <c r="G49" s="87">
        <v>282</v>
      </c>
      <c r="H49" s="87">
        <v>235</v>
      </c>
      <c r="I49" s="75">
        <v>1109</v>
      </c>
      <c r="J49" s="76">
        <v>1716</v>
      </c>
      <c r="K49" s="45"/>
    </row>
    <row r="50" spans="1:11" s="50" customFormat="1" ht="13" x14ac:dyDescent="0.35">
      <c r="A50" s="40">
        <v>97</v>
      </c>
      <c r="B50" s="50" t="s">
        <v>52</v>
      </c>
      <c r="C50" s="75">
        <v>4</v>
      </c>
      <c r="D50" s="75">
        <v>4</v>
      </c>
      <c r="E50" s="75">
        <v>14</v>
      </c>
      <c r="F50" s="75">
        <v>56</v>
      </c>
      <c r="G50" s="75">
        <v>202</v>
      </c>
      <c r="H50" s="75">
        <v>241.5</v>
      </c>
      <c r="I50" s="75">
        <v>834</v>
      </c>
      <c r="J50" s="76">
        <v>1355.5</v>
      </c>
      <c r="K50" s="45"/>
    </row>
    <row r="51" spans="1:11" s="50" customFormat="1" ht="13" x14ac:dyDescent="0.35">
      <c r="A51" s="50">
        <v>77</v>
      </c>
      <c r="B51" s="44" t="s">
        <v>23</v>
      </c>
      <c r="C51" s="78">
        <v>7</v>
      </c>
      <c r="D51" s="78">
        <v>17</v>
      </c>
      <c r="E51" s="78">
        <v>78</v>
      </c>
      <c r="F51" s="78">
        <v>201</v>
      </c>
      <c r="G51" s="78">
        <v>803.5</v>
      </c>
      <c r="H51" s="78">
        <v>761</v>
      </c>
      <c r="I51" s="78">
        <v>3943.12</v>
      </c>
      <c r="J51" s="79">
        <v>5810.62</v>
      </c>
      <c r="K51" s="45"/>
    </row>
    <row r="52" spans="1:11" s="81" customFormat="1" x14ac:dyDescent="0.35">
      <c r="A52" s="40"/>
      <c r="B52" s="69"/>
      <c r="C52" s="82"/>
      <c r="D52" s="82"/>
      <c r="E52" s="84"/>
      <c r="F52" s="84"/>
      <c r="G52" s="80"/>
      <c r="H52" s="80"/>
      <c r="I52" s="80"/>
      <c r="J52" s="80"/>
    </row>
    <row r="53" spans="1:11" s="50" customFormat="1" ht="12.5" x14ac:dyDescent="0.35">
      <c r="A53" s="40"/>
      <c r="B53" s="50" t="s">
        <v>88</v>
      </c>
      <c r="H53" s="45"/>
    </row>
    <row r="54" spans="1:11" s="50" customFormat="1" ht="12.5" x14ac:dyDescent="0.35">
      <c r="A54" s="40"/>
      <c r="B54" s="89" t="s">
        <v>98</v>
      </c>
      <c r="H54" s="45"/>
    </row>
    <row r="55" spans="1:11" s="50" customFormat="1" ht="12.5" x14ac:dyDescent="0.35">
      <c r="A55" s="40"/>
      <c r="D55" s="45"/>
      <c r="E55" s="45"/>
    </row>
    <row r="56" spans="1:11" x14ac:dyDescent="0.35">
      <c r="B56" s="63" t="s">
        <v>71</v>
      </c>
      <c r="I56" s="82"/>
      <c r="J56" s="82"/>
    </row>
    <row r="57" spans="1:11" x14ac:dyDescent="0.35">
      <c r="H57" s="82"/>
    </row>
    <row r="63" spans="1:11" x14ac:dyDescent="0.35">
      <c r="B63" s="50" t="s">
        <v>18</v>
      </c>
      <c r="C63" s="75">
        <v>3</v>
      </c>
      <c r="D63" s="75">
        <v>3</v>
      </c>
      <c r="E63" s="75">
        <v>8</v>
      </c>
      <c r="F63" s="75">
        <v>24.95</v>
      </c>
      <c r="G63" s="75">
        <v>40.64</v>
      </c>
      <c r="H63" s="75">
        <v>39</v>
      </c>
      <c r="I63" s="75">
        <v>156</v>
      </c>
      <c r="J63" s="76">
        <v>274.58999999999997</v>
      </c>
    </row>
    <row r="64" spans="1:11" x14ac:dyDescent="0.35">
      <c r="B64" s="50" t="s">
        <v>53</v>
      </c>
      <c r="C64" s="75">
        <v>3</v>
      </c>
      <c r="D64" s="75">
        <v>5</v>
      </c>
      <c r="E64" s="75">
        <v>13</v>
      </c>
      <c r="F64" s="75">
        <v>24</v>
      </c>
      <c r="G64" s="75">
        <v>32</v>
      </c>
      <c r="H64" s="75">
        <v>32</v>
      </c>
      <c r="I64" s="75">
        <v>104.94</v>
      </c>
      <c r="J64" s="76">
        <v>213.94</v>
      </c>
    </row>
  </sheetData>
  <mergeCells count="1">
    <mergeCell ref="B1:J1"/>
  </mergeCells>
  <printOptions horizontalCentered="1" verticalCentered="1"/>
  <pageMargins left="0.43" right="0.46" top="0.33" bottom="0.25" header="0.31"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indexed="22"/>
    <pageSetUpPr fitToPage="1"/>
  </sheetPr>
  <dimension ref="A1:K67"/>
  <sheetViews>
    <sheetView showGridLines="0" zoomScale="85" workbookViewId="0">
      <pane xSplit="2" ySplit="2" topLeftCell="C18" activePane="bottomRight" state="frozen"/>
      <selection activeCell="A4" sqref="A4:H4"/>
      <selection pane="topRight" activeCell="A4" sqref="A4:H4"/>
      <selection pane="bottomLeft" activeCell="A4" sqref="A4:H4"/>
      <selection pane="bottomRight" activeCell="A4" sqref="A4:H4"/>
    </sheetView>
  </sheetViews>
  <sheetFormatPr defaultRowHeight="15.5" x14ac:dyDescent="0.35"/>
  <cols>
    <col min="1" max="1" width="4.7265625" style="40" hidden="1" customWidth="1"/>
    <col min="2" max="2" width="25.26953125" style="69" customWidth="1"/>
    <col min="3" max="8" width="13" style="69" customWidth="1"/>
    <col min="9" max="253" width="9.1796875" style="69"/>
    <col min="254" max="254" width="0" style="69" hidden="1" customWidth="1"/>
    <col min="255" max="255" width="2.7265625" style="69" customWidth="1"/>
    <col min="256" max="256" width="25.26953125" style="69" customWidth="1"/>
    <col min="257" max="262" width="13" style="69" customWidth="1"/>
    <col min="263" max="509" width="9.1796875" style="69"/>
    <col min="510" max="510" width="0" style="69" hidden="1" customWidth="1"/>
    <col min="511" max="511" width="2.7265625" style="69" customWidth="1"/>
    <col min="512" max="512" width="25.26953125" style="69" customWidth="1"/>
    <col min="513" max="518" width="13" style="69" customWidth="1"/>
    <col min="519" max="765" width="9.1796875" style="69"/>
    <col min="766" max="766" width="0" style="69" hidden="1" customWidth="1"/>
    <col min="767" max="767" width="2.7265625" style="69" customWidth="1"/>
    <col min="768" max="768" width="25.26953125" style="69" customWidth="1"/>
    <col min="769" max="774" width="13" style="69" customWidth="1"/>
    <col min="775" max="1021" width="9.1796875" style="69"/>
    <col min="1022" max="1022" width="0" style="69" hidden="1" customWidth="1"/>
    <col min="1023" max="1023" width="2.7265625" style="69" customWidth="1"/>
    <col min="1024" max="1024" width="25.26953125" style="69" customWidth="1"/>
    <col min="1025" max="1030" width="13" style="69" customWidth="1"/>
    <col min="1031" max="1277" width="9.1796875" style="69"/>
    <col min="1278" max="1278" width="0" style="69" hidden="1" customWidth="1"/>
    <col min="1279" max="1279" width="2.7265625" style="69" customWidth="1"/>
    <col min="1280" max="1280" width="25.26953125" style="69" customWidth="1"/>
    <col min="1281" max="1286" width="13" style="69" customWidth="1"/>
    <col min="1287" max="1533" width="9.1796875" style="69"/>
    <col min="1534" max="1534" width="0" style="69" hidden="1" customWidth="1"/>
    <col min="1535" max="1535" width="2.7265625" style="69" customWidth="1"/>
    <col min="1536" max="1536" width="25.26953125" style="69" customWidth="1"/>
    <col min="1537" max="1542" width="13" style="69" customWidth="1"/>
    <col min="1543" max="1789" width="9.1796875" style="69"/>
    <col min="1790" max="1790" width="0" style="69" hidden="1" customWidth="1"/>
    <col min="1791" max="1791" width="2.7265625" style="69" customWidth="1"/>
    <col min="1792" max="1792" width="25.26953125" style="69" customWidth="1"/>
    <col min="1793" max="1798" width="13" style="69" customWidth="1"/>
    <col min="1799" max="2045" width="9.1796875" style="69"/>
    <col min="2046" max="2046" width="0" style="69" hidden="1" customWidth="1"/>
    <col min="2047" max="2047" width="2.7265625" style="69" customWidth="1"/>
    <col min="2048" max="2048" width="25.26953125" style="69" customWidth="1"/>
    <col min="2049" max="2054" width="13" style="69" customWidth="1"/>
    <col min="2055" max="2301" width="9.1796875" style="69"/>
    <col min="2302" max="2302" width="0" style="69" hidden="1" customWidth="1"/>
    <col min="2303" max="2303" width="2.7265625" style="69" customWidth="1"/>
    <col min="2304" max="2304" width="25.26953125" style="69" customWidth="1"/>
    <col min="2305" max="2310" width="13" style="69" customWidth="1"/>
    <col min="2311" max="2557" width="9.1796875" style="69"/>
    <col min="2558" max="2558" width="0" style="69" hidden="1" customWidth="1"/>
    <col min="2559" max="2559" width="2.7265625" style="69" customWidth="1"/>
    <col min="2560" max="2560" width="25.26953125" style="69" customWidth="1"/>
    <col min="2561" max="2566" width="13" style="69" customWidth="1"/>
    <col min="2567" max="2813" width="9.1796875" style="69"/>
    <col min="2814" max="2814" width="0" style="69" hidden="1" customWidth="1"/>
    <col min="2815" max="2815" width="2.7265625" style="69" customWidth="1"/>
    <col min="2816" max="2816" width="25.26953125" style="69" customWidth="1"/>
    <col min="2817" max="2822" width="13" style="69" customWidth="1"/>
    <col min="2823" max="3069" width="9.1796875" style="69"/>
    <col min="3070" max="3070" width="0" style="69" hidden="1" customWidth="1"/>
    <col min="3071" max="3071" width="2.7265625" style="69" customWidth="1"/>
    <col min="3072" max="3072" width="25.26953125" style="69" customWidth="1"/>
    <col min="3073" max="3078" width="13" style="69" customWidth="1"/>
    <col min="3079" max="3325" width="9.1796875" style="69"/>
    <col min="3326" max="3326" width="0" style="69" hidden="1" customWidth="1"/>
    <col min="3327" max="3327" width="2.7265625" style="69" customWidth="1"/>
    <col min="3328" max="3328" width="25.26953125" style="69" customWidth="1"/>
    <col min="3329" max="3334" width="13" style="69" customWidth="1"/>
    <col min="3335" max="3581" width="9.1796875" style="69"/>
    <col min="3582" max="3582" width="0" style="69" hidden="1" customWidth="1"/>
    <col min="3583" max="3583" width="2.7265625" style="69" customWidth="1"/>
    <col min="3584" max="3584" width="25.26953125" style="69" customWidth="1"/>
    <col min="3585" max="3590" width="13" style="69" customWidth="1"/>
    <col min="3591" max="3837" width="9.1796875" style="69"/>
    <col min="3838" max="3838" width="0" style="69" hidden="1" customWidth="1"/>
    <col min="3839" max="3839" width="2.7265625" style="69" customWidth="1"/>
    <col min="3840" max="3840" width="25.26953125" style="69" customWidth="1"/>
    <col min="3841" max="3846" width="13" style="69" customWidth="1"/>
    <col min="3847" max="4093" width="9.1796875" style="69"/>
    <col min="4094" max="4094" width="0" style="69" hidden="1" customWidth="1"/>
    <col min="4095" max="4095" width="2.7265625" style="69" customWidth="1"/>
    <col min="4096" max="4096" width="25.26953125" style="69" customWidth="1"/>
    <col min="4097" max="4102" width="13" style="69" customWidth="1"/>
    <col min="4103" max="4349" width="9.1796875" style="69"/>
    <col min="4350" max="4350" width="0" style="69" hidden="1" customWidth="1"/>
    <col min="4351" max="4351" width="2.7265625" style="69" customWidth="1"/>
    <col min="4352" max="4352" width="25.26953125" style="69" customWidth="1"/>
    <col min="4353" max="4358" width="13" style="69" customWidth="1"/>
    <col min="4359" max="4605" width="9.1796875" style="69"/>
    <col min="4606" max="4606" width="0" style="69" hidden="1" customWidth="1"/>
    <col min="4607" max="4607" width="2.7265625" style="69" customWidth="1"/>
    <col min="4608" max="4608" width="25.26953125" style="69" customWidth="1"/>
    <col min="4609" max="4614" width="13" style="69" customWidth="1"/>
    <col min="4615" max="4861" width="9.1796875" style="69"/>
    <col min="4862" max="4862" width="0" style="69" hidden="1" customWidth="1"/>
    <col min="4863" max="4863" width="2.7265625" style="69" customWidth="1"/>
    <col min="4864" max="4864" width="25.26953125" style="69" customWidth="1"/>
    <col min="4865" max="4870" width="13" style="69" customWidth="1"/>
    <col min="4871" max="5117" width="9.1796875" style="69"/>
    <col min="5118" max="5118" width="0" style="69" hidden="1" customWidth="1"/>
    <col min="5119" max="5119" width="2.7265625" style="69" customWidth="1"/>
    <col min="5120" max="5120" width="25.26953125" style="69" customWidth="1"/>
    <col min="5121" max="5126" width="13" style="69" customWidth="1"/>
    <col min="5127" max="5373" width="9.1796875" style="69"/>
    <col min="5374" max="5374" width="0" style="69" hidden="1" customWidth="1"/>
    <col min="5375" max="5375" width="2.7265625" style="69" customWidth="1"/>
    <col min="5376" max="5376" width="25.26953125" style="69" customWidth="1"/>
    <col min="5377" max="5382" width="13" style="69" customWidth="1"/>
    <col min="5383" max="5629" width="9.1796875" style="69"/>
    <col min="5630" max="5630" width="0" style="69" hidden="1" customWidth="1"/>
    <col min="5631" max="5631" width="2.7265625" style="69" customWidth="1"/>
    <col min="5632" max="5632" width="25.26953125" style="69" customWidth="1"/>
    <col min="5633" max="5638" width="13" style="69" customWidth="1"/>
    <col min="5639" max="5885" width="9.1796875" style="69"/>
    <col min="5886" max="5886" width="0" style="69" hidden="1" customWidth="1"/>
    <col min="5887" max="5887" width="2.7265625" style="69" customWidth="1"/>
    <col min="5888" max="5888" width="25.26953125" style="69" customWidth="1"/>
    <col min="5889" max="5894" width="13" style="69" customWidth="1"/>
    <col min="5895" max="6141" width="9.1796875" style="69"/>
    <col min="6142" max="6142" width="0" style="69" hidden="1" customWidth="1"/>
    <col min="6143" max="6143" width="2.7265625" style="69" customWidth="1"/>
    <col min="6144" max="6144" width="25.26953125" style="69" customWidth="1"/>
    <col min="6145" max="6150" width="13" style="69" customWidth="1"/>
    <col min="6151" max="6397" width="9.1796875" style="69"/>
    <col min="6398" max="6398" width="0" style="69" hidden="1" customWidth="1"/>
    <col min="6399" max="6399" width="2.7265625" style="69" customWidth="1"/>
    <col min="6400" max="6400" width="25.26953125" style="69" customWidth="1"/>
    <col min="6401" max="6406" width="13" style="69" customWidth="1"/>
    <col min="6407" max="6653" width="9.1796875" style="69"/>
    <col min="6654" max="6654" width="0" style="69" hidden="1" customWidth="1"/>
    <col min="6655" max="6655" width="2.7265625" style="69" customWidth="1"/>
    <col min="6656" max="6656" width="25.26953125" style="69" customWidth="1"/>
    <col min="6657" max="6662" width="13" style="69" customWidth="1"/>
    <col min="6663" max="6909" width="9.1796875" style="69"/>
    <col min="6910" max="6910" width="0" style="69" hidden="1" customWidth="1"/>
    <col min="6911" max="6911" width="2.7265625" style="69" customWidth="1"/>
    <col min="6912" max="6912" width="25.26953125" style="69" customWidth="1"/>
    <col min="6913" max="6918" width="13" style="69" customWidth="1"/>
    <col min="6919" max="7165" width="9.1796875" style="69"/>
    <col min="7166" max="7166" width="0" style="69" hidden="1" customWidth="1"/>
    <col min="7167" max="7167" width="2.7265625" style="69" customWidth="1"/>
    <col min="7168" max="7168" width="25.26953125" style="69" customWidth="1"/>
    <col min="7169" max="7174" width="13" style="69" customWidth="1"/>
    <col min="7175" max="7421" width="9.1796875" style="69"/>
    <col min="7422" max="7422" width="0" style="69" hidden="1" customWidth="1"/>
    <col min="7423" max="7423" width="2.7265625" style="69" customWidth="1"/>
    <col min="7424" max="7424" width="25.26953125" style="69" customWidth="1"/>
    <col min="7425" max="7430" width="13" style="69" customWidth="1"/>
    <col min="7431" max="7677" width="9.1796875" style="69"/>
    <col min="7678" max="7678" width="0" style="69" hidden="1" customWidth="1"/>
    <col min="7679" max="7679" width="2.7265625" style="69" customWidth="1"/>
    <col min="7680" max="7680" width="25.26953125" style="69" customWidth="1"/>
    <col min="7681" max="7686" width="13" style="69" customWidth="1"/>
    <col min="7687" max="7933" width="9.1796875" style="69"/>
    <col min="7934" max="7934" width="0" style="69" hidden="1" customWidth="1"/>
    <col min="7935" max="7935" width="2.7265625" style="69" customWidth="1"/>
    <col min="7936" max="7936" width="25.26953125" style="69" customWidth="1"/>
    <col min="7937" max="7942" width="13" style="69" customWidth="1"/>
    <col min="7943" max="8189" width="9.1796875" style="69"/>
    <col min="8190" max="8190" width="0" style="69" hidden="1" customWidth="1"/>
    <col min="8191" max="8191" width="2.7265625" style="69" customWidth="1"/>
    <col min="8192" max="8192" width="25.26953125" style="69" customWidth="1"/>
    <col min="8193" max="8198" width="13" style="69" customWidth="1"/>
    <col min="8199" max="8445" width="9.1796875" style="69"/>
    <col min="8446" max="8446" width="0" style="69" hidden="1" customWidth="1"/>
    <col min="8447" max="8447" width="2.7265625" style="69" customWidth="1"/>
    <col min="8448" max="8448" width="25.26953125" style="69" customWidth="1"/>
    <col min="8449" max="8454" width="13" style="69" customWidth="1"/>
    <col min="8455" max="8701" width="9.1796875" style="69"/>
    <col min="8702" max="8702" width="0" style="69" hidden="1" customWidth="1"/>
    <col min="8703" max="8703" width="2.7265625" style="69" customWidth="1"/>
    <col min="8704" max="8704" width="25.26953125" style="69" customWidth="1"/>
    <col min="8705" max="8710" width="13" style="69" customWidth="1"/>
    <col min="8711" max="8957" width="9.1796875" style="69"/>
    <col min="8958" max="8958" width="0" style="69" hidden="1" customWidth="1"/>
    <col min="8959" max="8959" width="2.7265625" style="69" customWidth="1"/>
    <col min="8960" max="8960" width="25.26953125" style="69" customWidth="1"/>
    <col min="8961" max="8966" width="13" style="69" customWidth="1"/>
    <col min="8967" max="9213" width="9.1796875" style="69"/>
    <col min="9214" max="9214" width="0" style="69" hidden="1" customWidth="1"/>
    <col min="9215" max="9215" width="2.7265625" style="69" customWidth="1"/>
    <col min="9216" max="9216" width="25.26953125" style="69" customWidth="1"/>
    <col min="9217" max="9222" width="13" style="69" customWidth="1"/>
    <col min="9223" max="9469" width="9.1796875" style="69"/>
    <col min="9470" max="9470" width="0" style="69" hidden="1" customWidth="1"/>
    <col min="9471" max="9471" width="2.7265625" style="69" customWidth="1"/>
    <col min="9472" max="9472" width="25.26953125" style="69" customWidth="1"/>
    <col min="9473" max="9478" width="13" style="69" customWidth="1"/>
    <col min="9479" max="9725" width="9.1796875" style="69"/>
    <col min="9726" max="9726" width="0" style="69" hidden="1" customWidth="1"/>
    <col min="9727" max="9727" width="2.7265625" style="69" customWidth="1"/>
    <col min="9728" max="9728" width="25.26953125" style="69" customWidth="1"/>
    <col min="9729" max="9734" width="13" style="69" customWidth="1"/>
    <col min="9735" max="9981" width="9.1796875" style="69"/>
    <col min="9982" max="9982" width="0" style="69" hidden="1" customWidth="1"/>
    <col min="9983" max="9983" width="2.7265625" style="69" customWidth="1"/>
    <col min="9984" max="9984" width="25.26953125" style="69" customWidth="1"/>
    <col min="9985" max="9990" width="13" style="69" customWidth="1"/>
    <col min="9991" max="10237" width="9.1796875" style="69"/>
    <col min="10238" max="10238" width="0" style="69" hidden="1" customWidth="1"/>
    <col min="10239" max="10239" width="2.7265625" style="69" customWidth="1"/>
    <col min="10240" max="10240" width="25.26953125" style="69" customWidth="1"/>
    <col min="10241" max="10246" width="13" style="69" customWidth="1"/>
    <col min="10247" max="10493" width="9.1796875" style="69"/>
    <col min="10494" max="10494" width="0" style="69" hidden="1" customWidth="1"/>
    <col min="10495" max="10495" width="2.7265625" style="69" customWidth="1"/>
    <col min="10496" max="10496" width="25.26953125" style="69" customWidth="1"/>
    <col min="10497" max="10502" width="13" style="69" customWidth="1"/>
    <col min="10503" max="10749" width="9.1796875" style="69"/>
    <col min="10750" max="10750" width="0" style="69" hidden="1" customWidth="1"/>
    <col min="10751" max="10751" width="2.7265625" style="69" customWidth="1"/>
    <col min="10752" max="10752" width="25.26953125" style="69" customWidth="1"/>
    <col min="10753" max="10758" width="13" style="69" customWidth="1"/>
    <col min="10759" max="11005" width="9.1796875" style="69"/>
    <col min="11006" max="11006" width="0" style="69" hidden="1" customWidth="1"/>
    <col min="11007" max="11007" width="2.7265625" style="69" customWidth="1"/>
    <col min="11008" max="11008" width="25.26953125" style="69" customWidth="1"/>
    <col min="11009" max="11014" width="13" style="69" customWidth="1"/>
    <col min="11015" max="11261" width="9.1796875" style="69"/>
    <col min="11262" max="11262" width="0" style="69" hidden="1" customWidth="1"/>
    <col min="11263" max="11263" width="2.7265625" style="69" customWidth="1"/>
    <col min="11264" max="11264" width="25.26953125" style="69" customWidth="1"/>
    <col min="11265" max="11270" width="13" style="69" customWidth="1"/>
    <col min="11271" max="11517" width="9.1796875" style="69"/>
    <col min="11518" max="11518" width="0" style="69" hidden="1" customWidth="1"/>
    <col min="11519" max="11519" width="2.7265625" style="69" customWidth="1"/>
    <col min="11520" max="11520" width="25.26953125" style="69" customWidth="1"/>
    <col min="11521" max="11526" width="13" style="69" customWidth="1"/>
    <col min="11527" max="11773" width="9.1796875" style="69"/>
    <col min="11774" max="11774" width="0" style="69" hidden="1" customWidth="1"/>
    <col min="11775" max="11775" width="2.7265625" style="69" customWidth="1"/>
    <col min="11776" max="11776" width="25.26953125" style="69" customWidth="1"/>
    <col min="11777" max="11782" width="13" style="69" customWidth="1"/>
    <col min="11783" max="12029" width="9.1796875" style="69"/>
    <col min="12030" max="12030" width="0" style="69" hidden="1" customWidth="1"/>
    <col min="12031" max="12031" width="2.7265625" style="69" customWidth="1"/>
    <col min="12032" max="12032" width="25.26953125" style="69" customWidth="1"/>
    <col min="12033" max="12038" width="13" style="69" customWidth="1"/>
    <col min="12039" max="12285" width="9.1796875" style="69"/>
    <col min="12286" max="12286" width="0" style="69" hidden="1" customWidth="1"/>
    <col min="12287" max="12287" width="2.7265625" style="69" customWidth="1"/>
    <col min="12288" max="12288" width="25.26953125" style="69" customWidth="1"/>
    <col min="12289" max="12294" width="13" style="69" customWidth="1"/>
    <col min="12295" max="12541" width="9.1796875" style="69"/>
    <col min="12542" max="12542" width="0" style="69" hidden="1" customWidth="1"/>
    <col min="12543" max="12543" width="2.7265625" style="69" customWidth="1"/>
    <col min="12544" max="12544" width="25.26953125" style="69" customWidth="1"/>
    <col min="12545" max="12550" width="13" style="69" customWidth="1"/>
    <col min="12551" max="12797" width="9.1796875" style="69"/>
    <col min="12798" max="12798" width="0" style="69" hidden="1" customWidth="1"/>
    <col min="12799" max="12799" width="2.7265625" style="69" customWidth="1"/>
    <col min="12800" max="12800" width="25.26953125" style="69" customWidth="1"/>
    <col min="12801" max="12806" width="13" style="69" customWidth="1"/>
    <col min="12807" max="13053" width="9.1796875" style="69"/>
    <col min="13054" max="13054" width="0" style="69" hidden="1" customWidth="1"/>
    <col min="13055" max="13055" width="2.7265625" style="69" customWidth="1"/>
    <col min="13056" max="13056" width="25.26953125" style="69" customWidth="1"/>
    <col min="13057" max="13062" width="13" style="69" customWidth="1"/>
    <col min="13063" max="13309" width="9.1796875" style="69"/>
    <col min="13310" max="13310" width="0" style="69" hidden="1" customWidth="1"/>
    <col min="13311" max="13311" width="2.7265625" style="69" customWidth="1"/>
    <col min="13312" max="13312" width="25.26953125" style="69" customWidth="1"/>
    <col min="13313" max="13318" width="13" style="69" customWidth="1"/>
    <col min="13319" max="13565" width="9.1796875" style="69"/>
    <col min="13566" max="13566" width="0" style="69" hidden="1" customWidth="1"/>
    <col min="13567" max="13567" width="2.7265625" style="69" customWidth="1"/>
    <col min="13568" max="13568" width="25.26953125" style="69" customWidth="1"/>
    <col min="13569" max="13574" width="13" style="69" customWidth="1"/>
    <col min="13575" max="13821" width="9.1796875" style="69"/>
    <col min="13822" max="13822" width="0" style="69" hidden="1" customWidth="1"/>
    <col min="13823" max="13823" width="2.7265625" style="69" customWidth="1"/>
    <col min="13824" max="13824" width="25.26953125" style="69" customWidth="1"/>
    <col min="13825" max="13830" width="13" style="69" customWidth="1"/>
    <col min="13831" max="14077" width="9.1796875" style="69"/>
    <col min="14078" max="14078" width="0" style="69" hidden="1" customWidth="1"/>
    <col min="14079" max="14079" width="2.7265625" style="69" customWidth="1"/>
    <col min="14080" max="14080" width="25.26953125" style="69" customWidth="1"/>
    <col min="14081" max="14086" width="13" style="69" customWidth="1"/>
    <col min="14087" max="14333" width="9.1796875" style="69"/>
    <col min="14334" max="14334" width="0" style="69" hidden="1" customWidth="1"/>
    <col min="14335" max="14335" width="2.7265625" style="69" customWidth="1"/>
    <col min="14336" max="14336" width="25.26953125" style="69" customWidth="1"/>
    <col min="14337" max="14342" width="13" style="69" customWidth="1"/>
    <col min="14343" max="14589" width="9.1796875" style="69"/>
    <col min="14590" max="14590" width="0" style="69" hidden="1" customWidth="1"/>
    <col min="14591" max="14591" width="2.7265625" style="69" customWidth="1"/>
    <col min="14592" max="14592" width="25.26953125" style="69" customWidth="1"/>
    <col min="14593" max="14598" width="13" style="69" customWidth="1"/>
    <col min="14599" max="14845" width="9.1796875" style="69"/>
    <col min="14846" max="14846" width="0" style="69" hidden="1" customWidth="1"/>
    <col min="14847" max="14847" width="2.7265625" style="69" customWidth="1"/>
    <col min="14848" max="14848" width="25.26953125" style="69" customWidth="1"/>
    <col min="14849" max="14854" width="13" style="69" customWidth="1"/>
    <col min="14855" max="15101" width="9.1796875" style="69"/>
    <col min="15102" max="15102" width="0" style="69" hidden="1" customWidth="1"/>
    <col min="15103" max="15103" width="2.7265625" style="69" customWidth="1"/>
    <col min="15104" max="15104" width="25.26953125" style="69" customWidth="1"/>
    <col min="15105" max="15110" width="13" style="69" customWidth="1"/>
    <col min="15111" max="15357" width="9.1796875" style="69"/>
    <col min="15358" max="15358" width="0" style="69" hidden="1" customWidth="1"/>
    <col min="15359" max="15359" width="2.7265625" style="69" customWidth="1"/>
    <col min="15360" max="15360" width="25.26953125" style="69" customWidth="1"/>
    <col min="15361" max="15366" width="13" style="69" customWidth="1"/>
    <col min="15367" max="15613" width="9.1796875" style="69"/>
    <col min="15614" max="15614" width="0" style="69" hidden="1" customWidth="1"/>
    <col min="15615" max="15615" width="2.7265625" style="69" customWidth="1"/>
    <col min="15616" max="15616" width="25.26953125" style="69" customWidth="1"/>
    <col min="15617" max="15622" width="13" style="69" customWidth="1"/>
    <col min="15623" max="15869" width="9.1796875" style="69"/>
    <col min="15870" max="15870" width="0" style="69" hidden="1" customWidth="1"/>
    <col min="15871" max="15871" width="2.7265625" style="69" customWidth="1"/>
    <col min="15872" max="15872" width="25.26953125" style="69" customWidth="1"/>
    <col min="15873" max="15878" width="13" style="69" customWidth="1"/>
    <col min="15879" max="16125" width="9.1796875" style="69"/>
    <col min="16126" max="16126" width="0" style="69" hidden="1" customWidth="1"/>
    <col min="16127" max="16127" width="2.7265625" style="69" customWidth="1"/>
    <col min="16128" max="16128" width="25.26953125" style="69" customWidth="1"/>
    <col min="16129" max="16134" width="13" style="69" customWidth="1"/>
    <col min="16135" max="16384" width="9.1796875" style="69"/>
  </cols>
  <sheetData>
    <row r="1" spans="1:11" ht="39.75" customHeight="1" x14ac:dyDescent="0.35">
      <c r="B1" s="148" t="s">
        <v>99</v>
      </c>
      <c r="C1" s="148"/>
      <c r="D1" s="148"/>
      <c r="E1" s="148"/>
      <c r="F1" s="148"/>
      <c r="G1" s="148"/>
      <c r="H1" s="148"/>
    </row>
    <row r="2" spans="1:11" ht="30" customHeight="1" x14ac:dyDescent="0.35">
      <c r="C2" s="85" t="s">
        <v>74</v>
      </c>
      <c r="D2" s="85" t="s">
        <v>75</v>
      </c>
      <c r="E2" s="85" t="s">
        <v>76</v>
      </c>
      <c r="F2" s="85" t="s">
        <v>77</v>
      </c>
      <c r="G2" s="70" t="s">
        <v>78</v>
      </c>
      <c r="H2" s="71" t="s">
        <v>1</v>
      </c>
    </row>
    <row r="3" spans="1:11" s="36" customFormat="1" ht="26.25" customHeight="1" x14ac:dyDescent="0.35">
      <c r="A3" s="38"/>
      <c r="B3" s="37" t="s">
        <v>80</v>
      </c>
      <c r="C3" s="72">
        <f t="shared" ref="C3:H3" si="0">C44+C4</f>
        <v>1</v>
      </c>
      <c r="D3" s="72">
        <f t="shared" si="0"/>
        <v>41.35</v>
      </c>
      <c r="E3" s="72">
        <f t="shared" si="0"/>
        <v>956.11536585365866</v>
      </c>
      <c r="F3" s="72">
        <f t="shared" si="0"/>
        <v>1955.9265853658535</v>
      </c>
      <c r="G3" s="72">
        <f t="shared" si="0"/>
        <v>8558.2963821138219</v>
      </c>
      <c r="H3" s="72">
        <f t="shared" si="0"/>
        <v>11512.688333333334</v>
      </c>
      <c r="J3" s="92">
        <f>J4+J44</f>
        <v>11385.688333333334</v>
      </c>
    </row>
    <row r="4" spans="1:11" s="37" customFormat="1" ht="26.25" customHeight="1" x14ac:dyDescent="0.35">
      <c r="A4" s="38"/>
      <c r="B4" s="37" t="s">
        <v>55</v>
      </c>
      <c r="C4" s="74">
        <f t="shared" ref="C4:H4" si="1">SUM(C5:C43)</f>
        <v>1</v>
      </c>
      <c r="D4" s="74">
        <f t="shared" si="1"/>
        <v>41.35</v>
      </c>
      <c r="E4" s="74">
        <f t="shared" si="1"/>
        <v>930.28000000000009</v>
      </c>
      <c r="F4" s="74">
        <f t="shared" si="1"/>
        <v>1912.56</v>
      </c>
      <c r="G4" s="74">
        <f t="shared" si="1"/>
        <v>8336.1983333333337</v>
      </c>
      <c r="H4" s="74">
        <f t="shared" si="1"/>
        <v>11221.388333333334</v>
      </c>
      <c r="J4" s="93">
        <f>SUM(J5:J43)</f>
        <v>10946.388333333334</v>
      </c>
    </row>
    <row r="5" spans="1:11" s="50" customFormat="1" ht="13" x14ac:dyDescent="0.35">
      <c r="A5" s="40">
        <v>51</v>
      </c>
      <c r="B5" s="50" t="s">
        <v>7</v>
      </c>
      <c r="C5" s="75">
        <v>0</v>
      </c>
      <c r="D5" s="75">
        <v>0</v>
      </c>
      <c r="E5" s="75">
        <v>10</v>
      </c>
      <c r="F5" s="75">
        <v>37</v>
      </c>
      <c r="G5" s="75">
        <v>154</v>
      </c>
      <c r="H5" s="76">
        <v>201</v>
      </c>
      <c r="J5" s="94">
        <v>201</v>
      </c>
      <c r="K5" s="91">
        <f>J5-H5</f>
        <v>0</v>
      </c>
    </row>
    <row r="6" spans="1:11" s="50" customFormat="1" ht="13" x14ac:dyDescent="0.35">
      <c r="A6" s="40">
        <v>52</v>
      </c>
      <c r="B6" s="50" t="s">
        <v>8</v>
      </c>
      <c r="C6" s="75">
        <v>0</v>
      </c>
      <c r="D6" s="75">
        <v>0</v>
      </c>
      <c r="E6" s="75">
        <v>9.5</v>
      </c>
      <c r="F6" s="75">
        <v>16.75</v>
      </c>
      <c r="G6" s="75">
        <v>114</v>
      </c>
      <c r="H6" s="76">
        <v>140.25</v>
      </c>
      <c r="J6" s="94">
        <v>140.25</v>
      </c>
      <c r="K6" s="91">
        <f t="shared" ref="K6:K51" si="2">J6-H6</f>
        <v>0</v>
      </c>
    </row>
    <row r="7" spans="1:11" s="50" customFormat="1" ht="13" x14ac:dyDescent="0.35">
      <c r="A7" s="40">
        <v>86</v>
      </c>
      <c r="B7" s="50" t="s">
        <v>9</v>
      </c>
      <c r="C7" s="75">
        <v>0</v>
      </c>
      <c r="D7" s="75">
        <v>0</v>
      </c>
      <c r="E7" s="75">
        <v>9</v>
      </c>
      <c r="F7" s="75">
        <v>17.5</v>
      </c>
      <c r="G7" s="75">
        <v>52</v>
      </c>
      <c r="H7" s="76">
        <v>78.5</v>
      </c>
      <c r="J7" s="94">
        <v>78.5</v>
      </c>
      <c r="K7" s="91">
        <f t="shared" si="2"/>
        <v>0</v>
      </c>
    </row>
    <row r="8" spans="1:11" s="50" customFormat="1" ht="13" x14ac:dyDescent="0.35">
      <c r="A8" s="40">
        <v>53</v>
      </c>
      <c r="B8" s="50" t="s">
        <v>10</v>
      </c>
      <c r="C8" s="75">
        <v>0</v>
      </c>
      <c r="D8" s="75">
        <v>0</v>
      </c>
      <c r="E8" s="75">
        <v>19.25</v>
      </c>
      <c r="F8" s="75">
        <v>37.5</v>
      </c>
      <c r="G8" s="75">
        <v>128</v>
      </c>
      <c r="H8" s="76">
        <v>184.75</v>
      </c>
      <c r="J8" s="94">
        <v>184.75</v>
      </c>
      <c r="K8" s="91">
        <f t="shared" si="2"/>
        <v>0</v>
      </c>
    </row>
    <row r="9" spans="1:11" s="50" customFormat="1" ht="13" x14ac:dyDescent="0.35">
      <c r="A9" s="40">
        <v>54</v>
      </c>
      <c r="B9" s="50" t="s">
        <v>11</v>
      </c>
      <c r="C9" s="75">
        <v>0</v>
      </c>
      <c r="D9" s="75">
        <v>1</v>
      </c>
      <c r="E9" s="75">
        <v>17.5</v>
      </c>
      <c r="F9" s="75">
        <v>45.75</v>
      </c>
      <c r="G9" s="75">
        <v>168.72</v>
      </c>
      <c r="H9" s="76">
        <v>232.97</v>
      </c>
      <c r="J9" s="94">
        <v>232.97</v>
      </c>
      <c r="K9" s="91">
        <f t="shared" si="2"/>
        <v>0</v>
      </c>
    </row>
    <row r="10" spans="1:11" s="50" customFormat="1" ht="13" x14ac:dyDescent="0.35">
      <c r="A10" s="40">
        <v>55</v>
      </c>
      <c r="B10" s="50" t="s">
        <v>12</v>
      </c>
      <c r="C10" s="75">
        <v>0</v>
      </c>
      <c r="D10" s="75">
        <v>0</v>
      </c>
      <c r="E10" s="75">
        <v>9.5399999999999991</v>
      </c>
      <c r="F10" s="75">
        <v>23.76</v>
      </c>
      <c r="G10" s="75">
        <v>129.02000000000001</v>
      </c>
      <c r="H10" s="76">
        <v>162.32</v>
      </c>
      <c r="J10" s="94">
        <v>162.32</v>
      </c>
      <c r="K10" s="91">
        <f t="shared" si="2"/>
        <v>0</v>
      </c>
    </row>
    <row r="11" spans="1:11" s="50" customFormat="1" ht="13" x14ac:dyDescent="0.35">
      <c r="A11" s="40">
        <v>56</v>
      </c>
      <c r="B11" s="50" t="s">
        <v>13</v>
      </c>
      <c r="C11" s="75">
        <v>0</v>
      </c>
      <c r="D11" s="75">
        <v>0</v>
      </c>
      <c r="E11" s="75">
        <v>4</v>
      </c>
      <c r="F11" s="75">
        <v>6.75</v>
      </c>
      <c r="G11" s="75">
        <v>54.75</v>
      </c>
      <c r="H11" s="76">
        <v>65.5</v>
      </c>
      <c r="J11" s="94">
        <v>65.5</v>
      </c>
      <c r="K11" s="91">
        <f t="shared" si="2"/>
        <v>0</v>
      </c>
    </row>
    <row r="12" spans="1:11" s="50" customFormat="1" ht="13" x14ac:dyDescent="0.35">
      <c r="A12" s="40">
        <v>57</v>
      </c>
      <c r="B12" s="50" t="s">
        <v>14</v>
      </c>
      <c r="C12" s="75">
        <v>0</v>
      </c>
      <c r="D12" s="75">
        <v>24</v>
      </c>
      <c r="E12" s="75">
        <v>35</v>
      </c>
      <c r="F12" s="75">
        <v>58</v>
      </c>
      <c r="G12" s="75">
        <v>298</v>
      </c>
      <c r="H12" s="76">
        <v>415</v>
      </c>
      <c r="J12" s="94">
        <v>415</v>
      </c>
      <c r="K12" s="91">
        <f t="shared" si="2"/>
        <v>0</v>
      </c>
    </row>
    <row r="13" spans="1:11" s="50" customFormat="1" ht="13" x14ac:dyDescent="0.35">
      <c r="A13" s="40">
        <v>59</v>
      </c>
      <c r="B13" s="50" t="s">
        <v>15</v>
      </c>
      <c r="C13" s="75">
        <v>0</v>
      </c>
      <c r="D13" s="75">
        <v>0</v>
      </c>
      <c r="E13" s="75">
        <v>24.49</v>
      </c>
      <c r="F13" s="75">
        <v>69.44</v>
      </c>
      <c r="G13" s="75">
        <v>275.77</v>
      </c>
      <c r="H13" s="76">
        <v>369.7</v>
      </c>
      <c r="J13" s="94">
        <v>369.7</v>
      </c>
      <c r="K13" s="91">
        <f t="shared" si="2"/>
        <v>0</v>
      </c>
    </row>
    <row r="14" spans="1:11" s="50" customFormat="1" ht="13" x14ac:dyDescent="0.35">
      <c r="A14" s="40">
        <v>60</v>
      </c>
      <c r="B14" s="50" t="s">
        <v>16</v>
      </c>
      <c r="C14" s="75">
        <v>0</v>
      </c>
      <c r="D14" s="75">
        <v>0</v>
      </c>
      <c r="E14" s="75">
        <v>24</v>
      </c>
      <c r="F14" s="75">
        <v>41</v>
      </c>
      <c r="G14" s="75">
        <v>164</v>
      </c>
      <c r="H14" s="76">
        <v>229</v>
      </c>
      <c r="J14" s="94">
        <v>229</v>
      </c>
      <c r="K14" s="91">
        <f t="shared" si="2"/>
        <v>0</v>
      </c>
    </row>
    <row r="15" spans="1:11" s="50" customFormat="1" ht="13" x14ac:dyDescent="0.35">
      <c r="A15" s="40">
        <v>61</v>
      </c>
      <c r="B15" s="77" t="s">
        <v>56</v>
      </c>
      <c r="C15" s="75">
        <v>0</v>
      </c>
      <c r="D15" s="75">
        <v>0</v>
      </c>
      <c r="E15" s="75">
        <v>105</v>
      </c>
      <c r="F15" s="75">
        <v>171.08</v>
      </c>
      <c r="G15" s="75">
        <v>838.93</v>
      </c>
      <c r="H15" s="76">
        <v>1115.01</v>
      </c>
      <c r="J15" s="94">
        <v>1115.01</v>
      </c>
      <c r="K15" s="91">
        <f t="shared" si="2"/>
        <v>0</v>
      </c>
    </row>
    <row r="16" spans="1:11" s="50" customFormat="1" ht="12.5" x14ac:dyDescent="0.35">
      <c r="A16" s="40">
        <v>62</v>
      </c>
      <c r="B16" s="50" t="s">
        <v>143</v>
      </c>
      <c r="C16" s="75">
        <f>C66+C67</f>
        <v>0</v>
      </c>
      <c r="D16" s="75">
        <f t="shared" ref="D16:H16" si="3">D66+D67</f>
        <v>0</v>
      </c>
      <c r="E16" s="75">
        <f t="shared" si="3"/>
        <v>64.5</v>
      </c>
      <c r="F16" s="75">
        <f t="shared" si="3"/>
        <v>122.75</v>
      </c>
      <c r="G16" s="75">
        <f t="shared" si="3"/>
        <v>402.57499999999999</v>
      </c>
      <c r="H16" s="75">
        <f t="shared" si="3"/>
        <v>589.82500000000005</v>
      </c>
      <c r="J16" s="94">
        <v>314.82499999999999</v>
      </c>
      <c r="K16" s="91">
        <f t="shared" si="2"/>
        <v>-275.00000000000006</v>
      </c>
    </row>
    <row r="17" spans="1:11" s="50" customFormat="1" ht="13" x14ac:dyDescent="0.35">
      <c r="A17" s="40">
        <v>58</v>
      </c>
      <c r="B17" s="50" t="s">
        <v>19</v>
      </c>
      <c r="C17" s="75">
        <v>0</v>
      </c>
      <c r="D17" s="75">
        <v>0</v>
      </c>
      <c r="E17" s="75">
        <v>13.4</v>
      </c>
      <c r="F17" s="75">
        <v>30.5</v>
      </c>
      <c r="G17" s="75">
        <v>106.9</v>
      </c>
      <c r="H17" s="76">
        <v>150.80000000000001</v>
      </c>
      <c r="J17" s="94">
        <v>150.80000000000001</v>
      </c>
      <c r="K17" s="91">
        <f t="shared" si="2"/>
        <v>0</v>
      </c>
    </row>
    <row r="18" spans="1:11" s="50" customFormat="1" ht="13" x14ac:dyDescent="0.35">
      <c r="A18" s="40">
        <v>63</v>
      </c>
      <c r="B18" s="50" t="s">
        <v>20</v>
      </c>
      <c r="C18" s="75">
        <v>0</v>
      </c>
      <c r="D18" s="75">
        <v>0</v>
      </c>
      <c r="E18" s="75">
        <v>20.75</v>
      </c>
      <c r="F18" s="75">
        <v>39.5</v>
      </c>
      <c r="G18" s="75">
        <v>183.3</v>
      </c>
      <c r="H18" s="76">
        <v>243.55</v>
      </c>
      <c r="J18" s="94">
        <v>243.55</v>
      </c>
      <c r="K18" s="91">
        <f t="shared" si="2"/>
        <v>0</v>
      </c>
    </row>
    <row r="19" spans="1:11" s="50" customFormat="1" ht="13" x14ac:dyDescent="0.35">
      <c r="A19" s="40">
        <v>64</v>
      </c>
      <c r="B19" s="50" t="s">
        <v>21</v>
      </c>
      <c r="C19" s="75">
        <v>0</v>
      </c>
      <c r="D19" s="75">
        <v>8.5</v>
      </c>
      <c r="E19" s="75">
        <v>29.75</v>
      </c>
      <c r="F19" s="75">
        <v>75</v>
      </c>
      <c r="G19" s="75">
        <v>275.75</v>
      </c>
      <c r="H19" s="76">
        <v>389</v>
      </c>
      <c r="J19" s="94">
        <v>389</v>
      </c>
      <c r="K19" s="91">
        <f t="shared" si="2"/>
        <v>0</v>
      </c>
    </row>
    <row r="20" spans="1:11" s="50" customFormat="1" ht="13" x14ac:dyDescent="0.35">
      <c r="A20" s="40">
        <v>65</v>
      </c>
      <c r="B20" s="50" t="s">
        <v>22</v>
      </c>
      <c r="C20" s="75">
        <v>0</v>
      </c>
      <c r="D20" s="75">
        <v>4.8499999999999996</v>
      </c>
      <c r="E20" s="75">
        <v>25.3</v>
      </c>
      <c r="F20" s="75">
        <v>38.5</v>
      </c>
      <c r="G20" s="75">
        <v>171.25</v>
      </c>
      <c r="H20" s="76">
        <v>239.9</v>
      </c>
      <c r="J20" s="94">
        <v>239.9</v>
      </c>
      <c r="K20" s="91">
        <f t="shared" si="2"/>
        <v>0</v>
      </c>
    </row>
    <row r="21" spans="1:11" s="50" customFormat="1" ht="13" x14ac:dyDescent="0.35">
      <c r="A21" s="40">
        <v>67</v>
      </c>
      <c r="B21" s="50" t="s">
        <v>25</v>
      </c>
      <c r="C21" s="75">
        <v>0</v>
      </c>
      <c r="D21" s="75">
        <v>0</v>
      </c>
      <c r="E21" s="75">
        <v>55.35</v>
      </c>
      <c r="F21" s="75">
        <v>95</v>
      </c>
      <c r="G21" s="75">
        <v>445.4</v>
      </c>
      <c r="H21" s="76">
        <v>595.75</v>
      </c>
      <c r="J21" s="94">
        <v>595.75</v>
      </c>
      <c r="K21" s="91">
        <f t="shared" si="2"/>
        <v>0</v>
      </c>
    </row>
    <row r="22" spans="1:11" s="50" customFormat="1" ht="13" x14ac:dyDescent="0.35">
      <c r="A22" s="40">
        <v>68</v>
      </c>
      <c r="B22" s="50" t="s">
        <v>57</v>
      </c>
      <c r="C22" s="75">
        <v>0</v>
      </c>
      <c r="D22" s="75">
        <v>0</v>
      </c>
      <c r="E22" s="75">
        <v>22.6</v>
      </c>
      <c r="F22" s="75">
        <v>62.68</v>
      </c>
      <c r="G22" s="75">
        <v>228.57</v>
      </c>
      <c r="H22" s="76">
        <v>313.85000000000002</v>
      </c>
      <c r="J22" s="94">
        <v>313.85000000000002</v>
      </c>
      <c r="K22" s="91">
        <f t="shared" si="2"/>
        <v>0</v>
      </c>
    </row>
    <row r="23" spans="1:11" s="50" customFormat="1" ht="13" x14ac:dyDescent="0.35">
      <c r="A23" s="40">
        <v>69</v>
      </c>
      <c r="B23" s="50" t="s">
        <v>27</v>
      </c>
      <c r="C23" s="75">
        <v>0</v>
      </c>
      <c r="D23" s="75">
        <v>0</v>
      </c>
      <c r="E23" s="75">
        <v>22</v>
      </c>
      <c r="F23" s="75">
        <v>35.75</v>
      </c>
      <c r="G23" s="75">
        <v>147.75</v>
      </c>
      <c r="H23" s="76">
        <v>205.5</v>
      </c>
      <c r="J23" s="94">
        <v>205.5</v>
      </c>
      <c r="K23" s="91">
        <f t="shared" si="2"/>
        <v>0</v>
      </c>
    </row>
    <row r="24" spans="1:11" s="50" customFormat="1" ht="13" x14ac:dyDescent="0.35">
      <c r="A24" s="40">
        <v>70</v>
      </c>
      <c r="B24" s="97" t="s">
        <v>28</v>
      </c>
      <c r="C24" s="94">
        <v>0</v>
      </c>
      <c r="D24" s="94">
        <v>0</v>
      </c>
      <c r="E24" s="94">
        <v>18</v>
      </c>
      <c r="F24" s="94">
        <v>37</v>
      </c>
      <c r="G24" s="94">
        <v>297</v>
      </c>
      <c r="H24" s="98">
        <v>352</v>
      </c>
      <c r="J24" s="94">
        <v>352</v>
      </c>
      <c r="K24" s="91">
        <f t="shared" si="2"/>
        <v>0</v>
      </c>
    </row>
    <row r="25" spans="1:11" s="50" customFormat="1" ht="13" x14ac:dyDescent="0.35">
      <c r="A25" s="40">
        <v>71</v>
      </c>
      <c r="B25" s="50" t="s">
        <v>58</v>
      </c>
      <c r="C25" s="75">
        <v>0</v>
      </c>
      <c r="D25" s="75">
        <v>0</v>
      </c>
      <c r="E25" s="75">
        <v>11.75</v>
      </c>
      <c r="F25" s="75">
        <v>12.25</v>
      </c>
      <c r="G25" s="75">
        <v>80.930000000000007</v>
      </c>
      <c r="H25" s="76">
        <v>104.93</v>
      </c>
      <c r="J25" s="94">
        <v>104.93</v>
      </c>
      <c r="K25" s="91">
        <f t="shared" si="2"/>
        <v>0</v>
      </c>
    </row>
    <row r="26" spans="1:11" s="50" customFormat="1" ht="13" x14ac:dyDescent="0.35">
      <c r="A26" s="40">
        <v>73</v>
      </c>
      <c r="B26" s="50" t="s">
        <v>31</v>
      </c>
      <c r="C26" s="75">
        <v>0</v>
      </c>
      <c r="D26" s="75">
        <v>0</v>
      </c>
      <c r="E26" s="75">
        <v>40</v>
      </c>
      <c r="F26" s="75">
        <v>92</v>
      </c>
      <c r="G26" s="75">
        <v>432</v>
      </c>
      <c r="H26" s="76">
        <v>564</v>
      </c>
      <c r="J26" s="94">
        <v>564</v>
      </c>
      <c r="K26" s="91">
        <f t="shared" si="2"/>
        <v>0</v>
      </c>
    </row>
    <row r="27" spans="1:11" s="50" customFormat="1" ht="13" x14ac:dyDescent="0.35">
      <c r="A27" s="40">
        <v>74</v>
      </c>
      <c r="B27" s="50" t="s">
        <v>32</v>
      </c>
      <c r="C27" s="75">
        <v>0</v>
      </c>
      <c r="D27" s="75">
        <v>0</v>
      </c>
      <c r="E27" s="75">
        <v>20</v>
      </c>
      <c r="F27" s="75">
        <v>34</v>
      </c>
      <c r="G27" s="75">
        <v>220</v>
      </c>
      <c r="H27" s="76">
        <v>274</v>
      </c>
      <c r="J27" s="94">
        <v>274</v>
      </c>
      <c r="K27" s="91">
        <f t="shared" si="2"/>
        <v>0</v>
      </c>
    </row>
    <row r="28" spans="1:11" s="50" customFormat="1" ht="13" x14ac:dyDescent="0.35">
      <c r="A28" s="40">
        <v>75</v>
      </c>
      <c r="B28" s="50" t="s">
        <v>33</v>
      </c>
      <c r="C28" s="75">
        <v>0</v>
      </c>
      <c r="D28" s="75">
        <v>0</v>
      </c>
      <c r="E28" s="75">
        <v>15.9</v>
      </c>
      <c r="F28" s="75">
        <v>29.8</v>
      </c>
      <c r="G28" s="75">
        <v>153.5</v>
      </c>
      <c r="H28" s="76">
        <v>199.2</v>
      </c>
      <c r="J28" s="94">
        <v>199.2</v>
      </c>
      <c r="K28" s="91">
        <f t="shared" si="2"/>
        <v>0</v>
      </c>
    </row>
    <row r="29" spans="1:11" s="50" customFormat="1" ht="13" x14ac:dyDescent="0.35">
      <c r="A29" s="40">
        <v>76</v>
      </c>
      <c r="B29" s="50" t="s">
        <v>34</v>
      </c>
      <c r="C29" s="75">
        <v>0</v>
      </c>
      <c r="D29" s="75">
        <v>0</v>
      </c>
      <c r="E29" s="75">
        <v>47.75</v>
      </c>
      <c r="F29" s="75">
        <v>82.25</v>
      </c>
      <c r="G29" s="75">
        <v>331.25</v>
      </c>
      <c r="H29" s="76">
        <v>461.25</v>
      </c>
      <c r="J29" s="94">
        <v>461.25</v>
      </c>
      <c r="K29" s="91">
        <f t="shared" si="2"/>
        <v>0</v>
      </c>
    </row>
    <row r="30" spans="1:11" s="50" customFormat="1" ht="13" x14ac:dyDescent="0.35">
      <c r="A30" s="40">
        <v>79</v>
      </c>
      <c r="B30" s="50" t="s">
        <v>36</v>
      </c>
      <c r="C30" s="75">
        <v>0</v>
      </c>
      <c r="D30" s="75">
        <v>0</v>
      </c>
      <c r="E30" s="75">
        <v>40.5</v>
      </c>
      <c r="F30" s="75">
        <v>89.25</v>
      </c>
      <c r="G30" s="75">
        <v>342.5</v>
      </c>
      <c r="H30" s="76">
        <v>472.25</v>
      </c>
      <c r="J30" s="94">
        <v>472.25</v>
      </c>
      <c r="K30" s="91">
        <f t="shared" si="2"/>
        <v>0</v>
      </c>
    </row>
    <row r="31" spans="1:11" s="50" customFormat="1" ht="12.5" x14ac:dyDescent="0.35">
      <c r="A31" s="40"/>
      <c r="B31" s="67" t="s">
        <v>81</v>
      </c>
      <c r="C31" s="68" t="s">
        <v>64</v>
      </c>
      <c r="D31" s="68" t="s">
        <v>64</v>
      </c>
      <c r="E31" s="68" t="s">
        <v>64</v>
      </c>
      <c r="F31" s="68" t="s">
        <v>64</v>
      </c>
      <c r="G31" s="68" t="s">
        <v>64</v>
      </c>
      <c r="H31" s="68" t="s">
        <v>64</v>
      </c>
      <c r="J31" s="94"/>
      <c r="K31" s="91" t="e">
        <f t="shared" si="2"/>
        <v>#VALUE!</v>
      </c>
    </row>
    <row r="32" spans="1:11" s="50" customFormat="1" ht="13" x14ac:dyDescent="0.35">
      <c r="A32" s="40">
        <v>80</v>
      </c>
      <c r="B32" s="50" t="s">
        <v>38</v>
      </c>
      <c r="C32" s="75">
        <v>0</v>
      </c>
      <c r="D32" s="75">
        <v>0</v>
      </c>
      <c r="E32" s="75">
        <v>29</v>
      </c>
      <c r="F32" s="75">
        <v>69</v>
      </c>
      <c r="G32" s="75">
        <v>230</v>
      </c>
      <c r="H32" s="76">
        <v>328</v>
      </c>
      <c r="J32" s="94">
        <v>328</v>
      </c>
      <c r="K32" s="91">
        <f t="shared" si="2"/>
        <v>0</v>
      </c>
    </row>
    <row r="33" spans="1:11" s="50" customFormat="1" ht="13" x14ac:dyDescent="0.35">
      <c r="A33" s="40">
        <v>81</v>
      </c>
      <c r="B33" s="50" t="s">
        <v>39</v>
      </c>
      <c r="C33" s="75">
        <v>0</v>
      </c>
      <c r="D33" s="75">
        <v>0</v>
      </c>
      <c r="E33" s="75">
        <v>13.95</v>
      </c>
      <c r="F33" s="75">
        <v>30.55</v>
      </c>
      <c r="G33" s="75">
        <v>146</v>
      </c>
      <c r="H33" s="76">
        <v>190.5</v>
      </c>
      <c r="J33" s="94">
        <v>190.5</v>
      </c>
      <c r="K33" s="91">
        <f t="shared" si="2"/>
        <v>0</v>
      </c>
    </row>
    <row r="34" spans="1:11" s="50" customFormat="1" ht="13" x14ac:dyDescent="0.35">
      <c r="A34" s="40">
        <v>83</v>
      </c>
      <c r="B34" s="50" t="s">
        <v>40</v>
      </c>
      <c r="C34" s="75">
        <v>0</v>
      </c>
      <c r="D34" s="75">
        <v>0</v>
      </c>
      <c r="E34" s="75">
        <v>13</v>
      </c>
      <c r="F34" s="75">
        <v>24</v>
      </c>
      <c r="G34" s="75">
        <v>148</v>
      </c>
      <c r="H34" s="76">
        <v>185</v>
      </c>
      <c r="J34" s="94">
        <v>185</v>
      </c>
      <c r="K34" s="91">
        <f t="shared" si="2"/>
        <v>0</v>
      </c>
    </row>
    <row r="35" spans="1:11" s="50" customFormat="1" ht="13" x14ac:dyDescent="0.35">
      <c r="A35" s="40">
        <v>84</v>
      </c>
      <c r="B35" s="50" t="s">
        <v>41</v>
      </c>
      <c r="C35" s="75">
        <v>0</v>
      </c>
      <c r="D35" s="75">
        <v>0</v>
      </c>
      <c r="E35" s="75">
        <v>16</v>
      </c>
      <c r="F35" s="75">
        <v>22.5</v>
      </c>
      <c r="G35" s="75">
        <v>141.5</v>
      </c>
      <c r="H35" s="76">
        <v>180</v>
      </c>
      <c r="J35" s="94">
        <v>180</v>
      </c>
      <c r="K35" s="91">
        <f t="shared" si="2"/>
        <v>0</v>
      </c>
    </row>
    <row r="36" spans="1:11" s="50" customFormat="1" ht="13" x14ac:dyDescent="0.35">
      <c r="A36" s="40">
        <v>85</v>
      </c>
      <c r="B36" s="50" t="s">
        <v>42</v>
      </c>
      <c r="C36" s="75">
        <v>0</v>
      </c>
      <c r="D36" s="75">
        <v>0</v>
      </c>
      <c r="E36" s="75">
        <v>20</v>
      </c>
      <c r="F36" s="75">
        <v>35.25</v>
      </c>
      <c r="G36" s="75">
        <v>233</v>
      </c>
      <c r="H36" s="76">
        <v>288.25</v>
      </c>
      <c r="J36" s="94">
        <v>288.25</v>
      </c>
      <c r="K36" s="91">
        <f t="shared" si="2"/>
        <v>0</v>
      </c>
    </row>
    <row r="37" spans="1:11" s="50" customFormat="1" ht="13" x14ac:dyDescent="0.35">
      <c r="A37" s="40">
        <v>87</v>
      </c>
      <c r="B37" s="50" t="s">
        <v>43</v>
      </c>
      <c r="C37" s="75">
        <v>0</v>
      </c>
      <c r="D37" s="75">
        <v>2</v>
      </c>
      <c r="E37" s="75">
        <v>20</v>
      </c>
      <c r="F37" s="75">
        <v>56</v>
      </c>
      <c r="G37" s="75">
        <v>248</v>
      </c>
      <c r="H37" s="76">
        <v>326</v>
      </c>
      <c r="J37" s="94">
        <v>326</v>
      </c>
      <c r="K37" s="91">
        <f t="shared" si="2"/>
        <v>0</v>
      </c>
    </row>
    <row r="38" spans="1:11" s="50" customFormat="1" ht="13" x14ac:dyDescent="0.35">
      <c r="A38" s="40">
        <v>90</v>
      </c>
      <c r="B38" s="50" t="s">
        <v>45</v>
      </c>
      <c r="C38" s="75">
        <v>0</v>
      </c>
      <c r="D38" s="75">
        <v>0</v>
      </c>
      <c r="E38" s="75">
        <v>26</v>
      </c>
      <c r="F38" s="75">
        <v>90</v>
      </c>
      <c r="G38" s="75">
        <v>371</v>
      </c>
      <c r="H38" s="76">
        <v>487</v>
      </c>
      <c r="J38" s="94">
        <v>487</v>
      </c>
      <c r="K38" s="91">
        <f t="shared" si="2"/>
        <v>0</v>
      </c>
    </row>
    <row r="39" spans="1:11" s="50" customFormat="1" ht="13" x14ac:dyDescent="0.35">
      <c r="A39" s="40">
        <v>91</v>
      </c>
      <c r="B39" s="50" t="s">
        <v>46</v>
      </c>
      <c r="C39" s="75">
        <v>0</v>
      </c>
      <c r="D39" s="75">
        <v>0</v>
      </c>
      <c r="E39" s="75">
        <v>33</v>
      </c>
      <c r="F39" s="75">
        <v>74</v>
      </c>
      <c r="G39" s="75">
        <v>278</v>
      </c>
      <c r="H39" s="76">
        <v>385</v>
      </c>
      <c r="J39" s="94">
        <v>385</v>
      </c>
      <c r="K39" s="91">
        <f t="shared" si="2"/>
        <v>0</v>
      </c>
    </row>
    <row r="40" spans="1:11" s="50" customFormat="1" ht="13" x14ac:dyDescent="0.35">
      <c r="A40" s="40">
        <v>92</v>
      </c>
      <c r="B40" s="50" t="s">
        <v>47</v>
      </c>
      <c r="C40" s="75">
        <v>0</v>
      </c>
      <c r="D40" s="75">
        <v>0</v>
      </c>
      <c r="E40" s="75">
        <v>9</v>
      </c>
      <c r="F40" s="75">
        <v>25</v>
      </c>
      <c r="G40" s="75">
        <v>59</v>
      </c>
      <c r="H40" s="76">
        <v>93</v>
      </c>
      <c r="J40" s="94">
        <v>93</v>
      </c>
      <c r="K40" s="91">
        <f t="shared" si="2"/>
        <v>0</v>
      </c>
    </row>
    <row r="41" spans="1:11" s="50" customFormat="1" ht="13" x14ac:dyDescent="0.35">
      <c r="A41" s="40">
        <v>94</v>
      </c>
      <c r="B41" s="50" t="s">
        <v>49</v>
      </c>
      <c r="C41" s="75">
        <v>0</v>
      </c>
      <c r="D41" s="75">
        <v>0</v>
      </c>
      <c r="E41" s="75">
        <v>13</v>
      </c>
      <c r="F41" s="75">
        <v>17.75</v>
      </c>
      <c r="G41" s="75">
        <v>79.333333333333371</v>
      </c>
      <c r="H41" s="76">
        <v>110.08333333333337</v>
      </c>
      <c r="J41" s="94">
        <v>110.08333333333337</v>
      </c>
      <c r="K41" s="91">
        <f t="shared" si="2"/>
        <v>0</v>
      </c>
    </row>
    <row r="42" spans="1:11" s="50" customFormat="1" ht="13" x14ac:dyDescent="0.35">
      <c r="A42" s="40">
        <v>96</v>
      </c>
      <c r="B42" s="50" t="s">
        <v>51</v>
      </c>
      <c r="C42" s="75">
        <v>0</v>
      </c>
      <c r="D42" s="75">
        <v>0</v>
      </c>
      <c r="E42" s="75">
        <v>16.5</v>
      </c>
      <c r="F42" s="75">
        <v>61.75</v>
      </c>
      <c r="G42" s="75">
        <v>181</v>
      </c>
      <c r="H42" s="76">
        <v>259.25</v>
      </c>
      <c r="J42" s="94">
        <v>259.25</v>
      </c>
      <c r="K42" s="91">
        <f t="shared" si="2"/>
        <v>0</v>
      </c>
    </row>
    <row r="43" spans="1:11" s="50" customFormat="1" ht="13" x14ac:dyDescent="0.35">
      <c r="A43" s="40">
        <v>72</v>
      </c>
      <c r="B43" s="50" t="s">
        <v>30</v>
      </c>
      <c r="C43" s="75">
        <v>1</v>
      </c>
      <c r="D43" s="75">
        <v>1</v>
      </c>
      <c r="E43" s="75">
        <v>6</v>
      </c>
      <c r="F43" s="75">
        <v>6</v>
      </c>
      <c r="G43" s="75">
        <v>25.5</v>
      </c>
      <c r="H43" s="76">
        <v>39.5</v>
      </c>
      <c r="J43" s="94">
        <v>39.5</v>
      </c>
      <c r="K43" s="91">
        <f t="shared" si="2"/>
        <v>0</v>
      </c>
    </row>
    <row r="44" spans="1:11" s="37" customFormat="1" ht="26.25" customHeight="1" x14ac:dyDescent="0.35">
      <c r="A44" s="38"/>
      <c r="B44" s="37" t="s">
        <v>59</v>
      </c>
      <c r="C44" s="39">
        <f t="shared" ref="C44:G44" si="4">SUM(C45:C51)</f>
        <v>0</v>
      </c>
      <c r="D44" s="39">
        <f t="shared" si="4"/>
        <v>0</v>
      </c>
      <c r="E44" s="39">
        <f t="shared" si="4"/>
        <v>25.835365853658537</v>
      </c>
      <c r="F44" s="39">
        <f t="shared" si="4"/>
        <v>43.366585365853659</v>
      </c>
      <c r="G44" s="39">
        <f t="shared" si="4"/>
        <v>222.0980487804878</v>
      </c>
      <c r="H44" s="39">
        <f>SUM(H45:H51)</f>
        <v>291.3</v>
      </c>
      <c r="J44" s="95">
        <f>SUM(J45:J51)</f>
        <v>439.3</v>
      </c>
      <c r="K44" s="91">
        <f t="shared" si="2"/>
        <v>148</v>
      </c>
    </row>
    <row r="45" spans="1:11" s="50" customFormat="1" ht="13" x14ac:dyDescent="0.35">
      <c r="A45" s="40">
        <v>66</v>
      </c>
      <c r="B45" s="50" t="s">
        <v>24</v>
      </c>
      <c r="C45" s="75">
        <v>0</v>
      </c>
      <c r="D45" s="75">
        <v>0</v>
      </c>
      <c r="E45" s="75">
        <v>0.55000000000000004</v>
      </c>
      <c r="F45" s="87">
        <v>3.53</v>
      </c>
      <c r="G45" s="75">
        <v>15.47</v>
      </c>
      <c r="H45" s="76">
        <v>19.55</v>
      </c>
      <c r="J45" s="94">
        <v>19.55</v>
      </c>
      <c r="K45" s="91">
        <f t="shared" si="2"/>
        <v>0</v>
      </c>
    </row>
    <row r="46" spans="1:11" s="50" customFormat="1" ht="13" x14ac:dyDescent="0.35">
      <c r="A46" s="40">
        <v>78</v>
      </c>
      <c r="B46" s="97" t="s">
        <v>35</v>
      </c>
      <c r="C46" s="94">
        <v>0</v>
      </c>
      <c r="D46" s="94">
        <v>0</v>
      </c>
      <c r="E46" s="99">
        <f>28*(57/205)</f>
        <v>7.7853658536585373</v>
      </c>
      <c r="F46" s="99">
        <f>12*(57/205)</f>
        <v>3.3365853658536588</v>
      </c>
      <c r="G46" s="94">
        <f>165*(57/205)</f>
        <v>45.878048780487809</v>
      </c>
      <c r="H46" s="98">
        <f>205-148</f>
        <v>57</v>
      </c>
      <c r="J46" s="94">
        <v>205</v>
      </c>
      <c r="K46" s="91">
        <f t="shared" si="2"/>
        <v>148</v>
      </c>
    </row>
    <row r="47" spans="1:11" s="50" customFormat="1" ht="13" x14ac:dyDescent="0.35">
      <c r="A47" s="40">
        <v>89</v>
      </c>
      <c r="B47" s="50" t="s">
        <v>44</v>
      </c>
      <c r="C47" s="75">
        <v>0</v>
      </c>
      <c r="D47" s="75">
        <v>0</v>
      </c>
      <c r="E47" s="87">
        <v>5.5</v>
      </c>
      <c r="F47" s="87">
        <v>16.5</v>
      </c>
      <c r="G47" s="75">
        <v>64.75</v>
      </c>
      <c r="H47" s="76">
        <v>86.75</v>
      </c>
      <c r="J47" s="94">
        <v>86.75</v>
      </c>
      <c r="K47" s="91">
        <f t="shared" si="2"/>
        <v>0</v>
      </c>
    </row>
    <row r="48" spans="1:11" s="50" customFormat="1" ht="13" x14ac:dyDescent="0.35">
      <c r="A48" s="40">
        <v>93</v>
      </c>
      <c r="B48" s="50" t="s">
        <v>60</v>
      </c>
      <c r="C48" s="75">
        <v>0</v>
      </c>
      <c r="D48" s="75">
        <v>0</v>
      </c>
      <c r="E48" s="87">
        <v>1</v>
      </c>
      <c r="F48" s="87">
        <v>1</v>
      </c>
      <c r="G48" s="75">
        <v>8</v>
      </c>
      <c r="H48" s="76">
        <v>10</v>
      </c>
      <c r="J48" s="94">
        <v>10</v>
      </c>
      <c r="K48" s="91">
        <f t="shared" si="2"/>
        <v>0</v>
      </c>
    </row>
    <row r="49" spans="1:11" s="50" customFormat="1" ht="14.5" x14ac:dyDescent="0.35">
      <c r="A49" s="40">
        <v>95</v>
      </c>
      <c r="B49" s="50" t="s">
        <v>100</v>
      </c>
      <c r="C49" s="75">
        <v>0</v>
      </c>
      <c r="D49" s="75">
        <v>0</v>
      </c>
      <c r="E49" s="87">
        <v>0</v>
      </c>
      <c r="F49" s="87">
        <v>0</v>
      </c>
      <c r="G49" s="75">
        <v>0</v>
      </c>
      <c r="H49" s="76">
        <v>0</v>
      </c>
      <c r="J49" s="94">
        <v>0</v>
      </c>
      <c r="K49" s="91">
        <f t="shared" si="2"/>
        <v>0</v>
      </c>
    </row>
    <row r="50" spans="1:11" s="50" customFormat="1" ht="13" x14ac:dyDescent="0.35">
      <c r="A50" s="40">
        <v>97</v>
      </c>
      <c r="B50" s="50" t="s">
        <v>52</v>
      </c>
      <c r="C50" s="75">
        <v>0</v>
      </c>
      <c r="D50" s="75">
        <v>0</v>
      </c>
      <c r="E50" s="75">
        <v>11</v>
      </c>
      <c r="F50" s="75">
        <v>19</v>
      </c>
      <c r="G50" s="75">
        <v>88</v>
      </c>
      <c r="H50" s="76">
        <v>118</v>
      </c>
      <c r="J50" s="94">
        <v>118</v>
      </c>
      <c r="K50" s="91">
        <f t="shared" si="2"/>
        <v>0</v>
      </c>
    </row>
    <row r="51" spans="1:11" s="50" customFormat="1" ht="14.5" x14ac:dyDescent="0.35">
      <c r="A51" s="50">
        <v>77</v>
      </c>
      <c r="B51" s="44" t="s">
        <v>101</v>
      </c>
      <c r="C51" s="78">
        <v>0</v>
      </c>
      <c r="D51" s="78">
        <v>0</v>
      </c>
      <c r="E51" s="78">
        <v>0</v>
      </c>
      <c r="F51" s="78">
        <v>0</v>
      </c>
      <c r="G51" s="78">
        <v>0</v>
      </c>
      <c r="H51" s="79">
        <v>0</v>
      </c>
      <c r="J51" s="96">
        <v>0</v>
      </c>
      <c r="K51" s="91">
        <f t="shared" si="2"/>
        <v>0</v>
      </c>
    </row>
    <row r="52" spans="1:11" s="81" customFormat="1" x14ac:dyDescent="0.35">
      <c r="A52" s="40"/>
      <c r="B52" s="69"/>
      <c r="C52" s="84"/>
      <c r="D52" s="84"/>
      <c r="E52" s="80"/>
      <c r="F52" s="80"/>
      <c r="G52" s="80"/>
      <c r="H52" s="80"/>
      <c r="J52" s="50"/>
    </row>
    <row r="53" spans="1:11" s="50" customFormat="1" x14ac:dyDescent="0.35">
      <c r="A53" s="40"/>
      <c r="B53" s="50" t="s">
        <v>93</v>
      </c>
      <c r="F53" s="45"/>
      <c r="J53" s="81"/>
    </row>
    <row r="54" spans="1:11" s="50" customFormat="1" ht="12.5" x14ac:dyDescent="0.35">
      <c r="A54" s="40"/>
      <c r="B54" s="50" t="s">
        <v>102</v>
      </c>
      <c r="F54" s="45"/>
    </row>
    <row r="55" spans="1:11" s="50" customFormat="1" ht="12.5" x14ac:dyDescent="0.35">
      <c r="A55" s="40"/>
      <c r="B55" s="50" t="s">
        <v>103</v>
      </c>
      <c r="F55" s="45"/>
    </row>
    <row r="56" spans="1:11" s="50" customFormat="1" ht="12.5" x14ac:dyDescent="0.35">
      <c r="A56" s="40"/>
      <c r="B56" s="63" t="s">
        <v>71</v>
      </c>
      <c r="C56" s="45"/>
    </row>
    <row r="57" spans="1:11" x14ac:dyDescent="0.35">
      <c r="G57" s="82"/>
      <c r="H57" s="82"/>
      <c r="J57" s="50"/>
    </row>
    <row r="58" spans="1:11" x14ac:dyDescent="0.35">
      <c r="F58" s="82"/>
    </row>
    <row r="66" spans="2:8" x14ac:dyDescent="0.35">
      <c r="B66" s="50" t="s">
        <v>18</v>
      </c>
      <c r="C66" s="75">
        <v>0</v>
      </c>
      <c r="D66" s="75">
        <v>0</v>
      </c>
      <c r="E66" s="75">
        <v>33.25</v>
      </c>
      <c r="F66" s="75">
        <v>63</v>
      </c>
      <c r="G66" s="75">
        <v>218.57499999999999</v>
      </c>
      <c r="H66" s="76">
        <v>314.82499999999999</v>
      </c>
    </row>
    <row r="67" spans="2:8" x14ac:dyDescent="0.35">
      <c r="B67" s="50" t="s">
        <v>53</v>
      </c>
      <c r="C67" s="75">
        <v>0</v>
      </c>
      <c r="D67" s="75">
        <v>0</v>
      </c>
      <c r="E67" s="75">
        <v>31.25</v>
      </c>
      <c r="F67" s="75">
        <v>59.75</v>
      </c>
      <c r="G67" s="75">
        <v>184</v>
      </c>
      <c r="H67" s="76">
        <v>275</v>
      </c>
    </row>
  </sheetData>
  <mergeCells count="1">
    <mergeCell ref="B1:H1"/>
  </mergeCells>
  <pageMargins left="0.37" right="0.24" top="0.55000000000000004" bottom="1" header="0.5" footer="0.5"/>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indexed="22"/>
  </sheetPr>
  <dimension ref="A1:I64"/>
  <sheetViews>
    <sheetView showGridLines="0" zoomScale="85" zoomScaleNormal="85" workbookViewId="0">
      <pane xSplit="2" ySplit="2" topLeftCell="C3" activePane="bottomRight" state="frozen"/>
      <selection activeCell="A4" sqref="A4:H4"/>
      <selection pane="topRight" activeCell="A4" sqref="A4:H4"/>
      <selection pane="bottomLeft" activeCell="A4" sqref="A4:H4"/>
      <selection pane="bottomRight" activeCell="A4" sqref="A4:H4"/>
    </sheetView>
  </sheetViews>
  <sheetFormatPr defaultRowHeight="15.5" x14ac:dyDescent="0.35"/>
  <cols>
    <col min="1" max="1" width="3.453125" style="40" hidden="1" customWidth="1"/>
    <col min="2" max="2" width="25.26953125" style="69" customWidth="1"/>
    <col min="3" max="8" width="13" style="69" customWidth="1"/>
    <col min="9" max="255" width="9.1796875" style="69"/>
    <col min="256" max="256" width="0" style="69" hidden="1" customWidth="1"/>
    <col min="257" max="257" width="3.26953125" style="69" customWidth="1"/>
    <col min="258" max="258" width="25.26953125" style="69" customWidth="1"/>
    <col min="259" max="264" width="13" style="69" customWidth="1"/>
    <col min="265" max="511" width="9.1796875" style="69"/>
    <col min="512" max="512" width="0" style="69" hidden="1" customWidth="1"/>
    <col min="513" max="513" width="3.26953125" style="69" customWidth="1"/>
    <col min="514" max="514" width="25.26953125" style="69" customWidth="1"/>
    <col min="515" max="520" width="13" style="69" customWidth="1"/>
    <col min="521" max="767" width="9.1796875" style="69"/>
    <col min="768" max="768" width="0" style="69" hidden="1" customWidth="1"/>
    <col min="769" max="769" width="3.26953125" style="69" customWidth="1"/>
    <col min="770" max="770" width="25.26953125" style="69" customWidth="1"/>
    <col min="771" max="776" width="13" style="69" customWidth="1"/>
    <col min="777" max="1023" width="9.1796875" style="69"/>
    <col min="1024" max="1024" width="0" style="69" hidden="1" customWidth="1"/>
    <col min="1025" max="1025" width="3.26953125" style="69" customWidth="1"/>
    <col min="1026" max="1026" width="25.26953125" style="69" customWidth="1"/>
    <col min="1027" max="1032" width="13" style="69" customWidth="1"/>
    <col min="1033" max="1279" width="9.1796875" style="69"/>
    <col min="1280" max="1280" width="0" style="69" hidden="1" customWidth="1"/>
    <col min="1281" max="1281" width="3.26953125" style="69" customWidth="1"/>
    <col min="1282" max="1282" width="25.26953125" style="69" customWidth="1"/>
    <col min="1283" max="1288" width="13" style="69" customWidth="1"/>
    <col min="1289" max="1535" width="9.1796875" style="69"/>
    <col min="1536" max="1536" width="0" style="69" hidden="1" customWidth="1"/>
    <col min="1537" max="1537" width="3.26953125" style="69" customWidth="1"/>
    <col min="1538" max="1538" width="25.26953125" style="69" customWidth="1"/>
    <col min="1539" max="1544" width="13" style="69" customWidth="1"/>
    <col min="1545" max="1791" width="9.1796875" style="69"/>
    <col min="1792" max="1792" width="0" style="69" hidden="1" customWidth="1"/>
    <col min="1793" max="1793" width="3.26953125" style="69" customWidth="1"/>
    <col min="1794" max="1794" width="25.26953125" style="69" customWidth="1"/>
    <col min="1795" max="1800" width="13" style="69" customWidth="1"/>
    <col min="1801" max="2047" width="9.1796875" style="69"/>
    <col min="2048" max="2048" width="0" style="69" hidden="1" customWidth="1"/>
    <col min="2049" max="2049" width="3.26953125" style="69" customWidth="1"/>
    <col min="2050" max="2050" width="25.26953125" style="69" customWidth="1"/>
    <col min="2051" max="2056" width="13" style="69" customWidth="1"/>
    <col min="2057" max="2303" width="9.1796875" style="69"/>
    <col min="2304" max="2304" width="0" style="69" hidden="1" customWidth="1"/>
    <col min="2305" max="2305" width="3.26953125" style="69" customWidth="1"/>
    <col min="2306" max="2306" width="25.26953125" style="69" customWidth="1"/>
    <col min="2307" max="2312" width="13" style="69" customWidth="1"/>
    <col min="2313" max="2559" width="9.1796875" style="69"/>
    <col min="2560" max="2560" width="0" style="69" hidden="1" customWidth="1"/>
    <col min="2561" max="2561" width="3.26953125" style="69" customWidth="1"/>
    <col min="2562" max="2562" width="25.26953125" style="69" customWidth="1"/>
    <col min="2563" max="2568" width="13" style="69" customWidth="1"/>
    <col min="2569" max="2815" width="9.1796875" style="69"/>
    <col min="2816" max="2816" width="0" style="69" hidden="1" customWidth="1"/>
    <col min="2817" max="2817" width="3.26953125" style="69" customWidth="1"/>
    <col min="2818" max="2818" width="25.26953125" style="69" customWidth="1"/>
    <col min="2819" max="2824" width="13" style="69" customWidth="1"/>
    <col min="2825" max="3071" width="9.1796875" style="69"/>
    <col min="3072" max="3072" width="0" style="69" hidden="1" customWidth="1"/>
    <col min="3073" max="3073" width="3.26953125" style="69" customWidth="1"/>
    <col min="3074" max="3074" width="25.26953125" style="69" customWidth="1"/>
    <col min="3075" max="3080" width="13" style="69" customWidth="1"/>
    <col min="3081" max="3327" width="9.1796875" style="69"/>
    <col min="3328" max="3328" width="0" style="69" hidden="1" customWidth="1"/>
    <col min="3329" max="3329" width="3.26953125" style="69" customWidth="1"/>
    <col min="3330" max="3330" width="25.26953125" style="69" customWidth="1"/>
    <col min="3331" max="3336" width="13" style="69" customWidth="1"/>
    <col min="3337" max="3583" width="9.1796875" style="69"/>
    <col min="3584" max="3584" width="0" style="69" hidden="1" customWidth="1"/>
    <col min="3585" max="3585" width="3.26953125" style="69" customWidth="1"/>
    <col min="3586" max="3586" width="25.26953125" style="69" customWidth="1"/>
    <col min="3587" max="3592" width="13" style="69" customWidth="1"/>
    <col min="3593" max="3839" width="9.1796875" style="69"/>
    <col min="3840" max="3840" width="0" style="69" hidden="1" customWidth="1"/>
    <col min="3841" max="3841" width="3.26953125" style="69" customWidth="1"/>
    <col min="3842" max="3842" width="25.26953125" style="69" customWidth="1"/>
    <col min="3843" max="3848" width="13" style="69" customWidth="1"/>
    <col min="3849" max="4095" width="9.1796875" style="69"/>
    <col min="4096" max="4096" width="0" style="69" hidden="1" customWidth="1"/>
    <col min="4097" max="4097" width="3.26953125" style="69" customWidth="1"/>
    <col min="4098" max="4098" width="25.26953125" style="69" customWidth="1"/>
    <col min="4099" max="4104" width="13" style="69" customWidth="1"/>
    <col min="4105" max="4351" width="9.1796875" style="69"/>
    <col min="4352" max="4352" width="0" style="69" hidden="1" customWidth="1"/>
    <col min="4353" max="4353" width="3.26953125" style="69" customWidth="1"/>
    <col min="4354" max="4354" width="25.26953125" style="69" customWidth="1"/>
    <col min="4355" max="4360" width="13" style="69" customWidth="1"/>
    <col min="4361" max="4607" width="9.1796875" style="69"/>
    <col min="4608" max="4608" width="0" style="69" hidden="1" customWidth="1"/>
    <col min="4609" max="4609" width="3.26953125" style="69" customWidth="1"/>
    <col min="4610" max="4610" width="25.26953125" style="69" customWidth="1"/>
    <col min="4611" max="4616" width="13" style="69" customWidth="1"/>
    <col min="4617" max="4863" width="9.1796875" style="69"/>
    <col min="4864" max="4864" width="0" style="69" hidden="1" customWidth="1"/>
    <col min="4865" max="4865" width="3.26953125" style="69" customWidth="1"/>
    <col min="4866" max="4866" width="25.26953125" style="69" customWidth="1"/>
    <col min="4867" max="4872" width="13" style="69" customWidth="1"/>
    <col min="4873" max="5119" width="9.1796875" style="69"/>
    <col min="5120" max="5120" width="0" style="69" hidden="1" customWidth="1"/>
    <col min="5121" max="5121" width="3.26953125" style="69" customWidth="1"/>
    <col min="5122" max="5122" width="25.26953125" style="69" customWidth="1"/>
    <col min="5123" max="5128" width="13" style="69" customWidth="1"/>
    <col min="5129" max="5375" width="9.1796875" style="69"/>
    <col min="5376" max="5376" width="0" style="69" hidden="1" customWidth="1"/>
    <col min="5377" max="5377" width="3.26953125" style="69" customWidth="1"/>
    <col min="5378" max="5378" width="25.26953125" style="69" customWidth="1"/>
    <col min="5379" max="5384" width="13" style="69" customWidth="1"/>
    <col min="5385" max="5631" width="9.1796875" style="69"/>
    <col min="5632" max="5632" width="0" style="69" hidden="1" customWidth="1"/>
    <col min="5633" max="5633" width="3.26953125" style="69" customWidth="1"/>
    <col min="5634" max="5634" width="25.26953125" style="69" customWidth="1"/>
    <col min="5635" max="5640" width="13" style="69" customWidth="1"/>
    <col min="5641" max="5887" width="9.1796875" style="69"/>
    <col min="5888" max="5888" width="0" style="69" hidden="1" customWidth="1"/>
    <col min="5889" max="5889" width="3.26953125" style="69" customWidth="1"/>
    <col min="5890" max="5890" width="25.26953125" style="69" customWidth="1"/>
    <col min="5891" max="5896" width="13" style="69" customWidth="1"/>
    <col min="5897" max="6143" width="9.1796875" style="69"/>
    <col min="6144" max="6144" width="0" style="69" hidden="1" customWidth="1"/>
    <col min="6145" max="6145" width="3.26953125" style="69" customWidth="1"/>
    <col min="6146" max="6146" width="25.26953125" style="69" customWidth="1"/>
    <col min="6147" max="6152" width="13" style="69" customWidth="1"/>
    <col min="6153" max="6399" width="9.1796875" style="69"/>
    <col min="6400" max="6400" width="0" style="69" hidden="1" customWidth="1"/>
    <col min="6401" max="6401" width="3.26953125" style="69" customWidth="1"/>
    <col min="6402" max="6402" width="25.26953125" style="69" customWidth="1"/>
    <col min="6403" max="6408" width="13" style="69" customWidth="1"/>
    <col min="6409" max="6655" width="9.1796875" style="69"/>
    <col min="6656" max="6656" width="0" style="69" hidden="1" customWidth="1"/>
    <col min="6657" max="6657" width="3.26953125" style="69" customWidth="1"/>
    <col min="6658" max="6658" width="25.26953125" style="69" customWidth="1"/>
    <col min="6659" max="6664" width="13" style="69" customWidth="1"/>
    <col min="6665" max="6911" width="9.1796875" style="69"/>
    <col min="6912" max="6912" width="0" style="69" hidden="1" customWidth="1"/>
    <col min="6913" max="6913" width="3.26953125" style="69" customWidth="1"/>
    <col min="6914" max="6914" width="25.26953125" style="69" customWidth="1"/>
    <col min="6915" max="6920" width="13" style="69" customWidth="1"/>
    <col min="6921" max="7167" width="9.1796875" style="69"/>
    <col min="7168" max="7168" width="0" style="69" hidden="1" customWidth="1"/>
    <col min="7169" max="7169" width="3.26953125" style="69" customWidth="1"/>
    <col min="7170" max="7170" width="25.26953125" style="69" customWidth="1"/>
    <col min="7171" max="7176" width="13" style="69" customWidth="1"/>
    <col min="7177" max="7423" width="9.1796875" style="69"/>
    <col min="7424" max="7424" width="0" style="69" hidden="1" customWidth="1"/>
    <col min="7425" max="7425" width="3.26953125" style="69" customWidth="1"/>
    <col min="7426" max="7426" width="25.26953125" style="69" customWidth="1"/>
    <col min="7427" max="7432" width="13" style="69" customWidth="1"/>
    <col min="7433" max="7679" width="9.1796875" style="69"/>
    <col min="7680" max="7680" width="0" style="69" hidden="1" customWidth="1"/>
    <col min="7681" max="7681" width="3.26953125" style="69" customWidth="1"/>
    <col min="7682" max="7682" width="25.26953125" style="69" customWidth="1"/>
    <col min="7683" max="7688" width="13" style="69" customWidth="1"/>
    <col min="7689" max="7935" width="9.1796875" style="69"/>
    <col min="7936" max="7936" width="0" style="69" hidden="1" customWidth="1"/>
    <col min="7937" max="7937" width="3.26953125" style="69" customWidth="1"/>
    <col min="7938" max="7938" width="25.26953125" style="69" customWidth="1"/>
    <col min="7939" max="7944" width="13" style="69" customWidth="1"/>
    <col min="7945" max="8191" width="9.1796875" style="69"/>
    <col min="8192" max="8192" width="0" style="69" hidden="1" customWidth="1"/>
    <col min="8193" max="8193" width="3.26953125" style="69" customWidth="1"/>
    <col min="8194" max="8194" width="25.26953125" style="69" customWidth="1"/>
    <col min="8195" max="8200" width="13" style="69" customWidth="1"/>
    <col min="8201" max="8447" width="9.1796875" style="69"/>
    <col min="8448" max="8448" width="0" style="69" hidden="1" customWidth="1"/>
    <col min="8449" max="8449" width="3.26953125" style="69" customWidth="1"/>
    <col min="8450" max="8450" width="25.26953125" style="69" customWidth="1"/>
    <col min="8451" max="8456" width="13" style="69" customWidth="1"/>
    <col min="8457" max="8703" width="9.1796875" style="69"/>
    <col min="8704" max="8704" width="0" style="69" hidden="1" customWidth="1"/>
    <col min="8705" max="8705" width="3.26953125" style="69" customWidth="1"/>
    <col min="8706" max="8706" width="25.26953125" style="69" customWidth="1"/>
    <col min="8707" max="8712" width="13" style="69" customWidth="1"/>
    <col min="8713" max="8959" width="9.1796875" style="69"/>
    <col min="8960" max="8960" width="0" style="69" hidden="1" customWidth="1"/>
    <col min="8961" max="8961" width="3.26953125" style="69" customWidth="1"/>
    <col min="8962" max="8962" width="25.26953125" style="69" customWidth="1"/>
    <col min="8963" max="8968" width="13" style="69" customWidth="1"/>
    <col min="8969" max="9215" width="9.1796875" style="69"/>
    <col min="9216" max="9216" width="0" style="69" hidden="1" customWidth="1"/>
    <col min="9217" max="9217" width="3.26953125" style="69" customWidth="1"/>
    <col min="9218" max="9218" width="25.26953125" style="69" customWidth="1"/>
    <col min="9219" max="9224" width="13" style="69" customWidth="1"/>
    <col min="9225" max="9471" width="9.1796875" style="69"/>
    <col min="9472" max="9472" width="0" style="69" hidden="1" customWidth="1"/>
    <col min="9473" max="9473" width="3.26953125" style="69" customWidth="1"/>
    <col min="9474" max="9474" width="25.26953125" style="69" customWidth="1"/>
    <col min="9475" max="9480" width="13" style="69" customWidth="1"/>
    <col min="9481" max="9727" width="9.1796875" style="69"/>
    <col min="9728" max="9728" width="0" style="69" hidden="1" customWidth="1"/>
    <col min="9729" max="9729" width="3.26953125" style="69" customWidth="1"/>
    <col min="9730" max="9730" width="25.26953125" style="69" customWidth="1"/>
    <col min="9731" max="9736" width="13" style="69" customWidth="1"/>
    <col min="9737" max="9983" width="9.1796875" style="69"/>
    <col min="9984" max="9984" width="0" style="69" hidden="1" customWidth="1"/>
    <col min="9985" max="9985" width="3.26953125" style="69" customWidth="1"/>
    <col min="9986" max="9986" width="25.26953125" style="69" customWidth="1"/>
    <col min="9987" max="9992" width="13" style="69" customWidth="1"/>
    <col min="9993" max="10239" width="9.1796875" style="69"/>
    <col min="10240" max="10240" width="0" style="69" hidden="1" customWidth="1"/>
    <col min="10241" max="10241" width="3.26953125" style="69" customWidth="1"/>
    <col min="10242" max="10242" width="25.26953125" style="69" customWidth="1"/>
    <col min="10243" max="10248" width="13" style="69" customWidth="1"/>
    <col min="10249" max="10495" width="9.1796875" style="69"/>
    <col min="10496" max="10496" width="0" style="69" hidden="1" customWidth="1"/>
    <col min="10497" max="10497" width="3.26953125" style="69" customWidth="1"/>
    <col min="10498" max="10498" width="25.26953125" style="69" customWidth="1"/>
    <col min="10499" max="10504" width="13" style="69" customWidth="1"/>
    <col min="10505" max="10751" width="9.1796875" style="69"/>
    <col min="10752" max="10752" width="0" style="69" hidden="1" customWidth="1"/>
    <col min="10753" max="10753" width="3.26953125" style="69" customWidth="1"/>
    <col min="10754" max="10754" width="25.26953125" style="69" customWidth="1"/>
    <col min="10755" max="10760" width="13" style="69" customWidth="1"/>
    <col min="10761" max="11007" width="9.1796875" style="69"/>
    <col min="11008" max="11008" width="0" style="69" hidden="1" customWidth="1"/>
    <col min="11009" max="11009" width="3.26953125" style="69" customWidth="1"/>
    <col min="11010" max="11010" width="25.26953125" style="69" customWidth="1"/>
    <col min="11011" max="11016" width="13" style="69" customWidth="1"/>
    <col min="11017" max="11263" width="9.1796875" style="69"/>
    <col min="11264" max="11264" width="0" style="69" hidden="1" customWidth="1"/>
    <col min="11265" max="11265" width="3.26953125" style="69" customWidth="1"/>
    <col min="11266" max="11266" width="25.26953125" style="69" customWidth="1"/>
    <col min="11267" max="11272" width="13" style="69" customWidth="1"/>
    <col min="11273" max="11519" width="9.1796875" style="69"/>
    <col min="11520" max="11520" width="0" style="69" hidden="1" customWidth="1"/>
    <col min="11521" max="11521" width="3.26953125" style="69" customWidth="1"/>
    <col min="11522" max="11522" width="25.26953125" style="69" customWidth="1"/>
    <col min="11523" max="11528" width="13" style="69" customWidth="1"/>
    <col min="11529" max="11775" width="9.1796875" style="69"/>
    <col min="11776" max="11776" width="0" style="69" hidden="1" customWidth="1"/>
    <col min="11777" max="11777" width="3.26953125" style="69" customWidth="1"/>
    <col min="11778" max="11778" width="25.26953125" style="69" customWidth="1"/>
    <col min="11779" max="11784" width="13" style="69" customWidth="1"/>
    <col min="11785" max="12031" width="9.1796875" style="69"/>
    <col min="12032" max="12032" width="0" style="69" hidden="1" customWidth="1"/>
    <col min="12033" max="12033" width="3.26953125" style="69" customWidth="1"/>
    <col min="12034" max="12034" width="25.26953125" style="69" customWidth="1"/>
    <col min="12035" max="12040" width="13" style="69" customWidth="1"/>
    <col min="12041" max="12287" width="9.1796875" style="69"/>
    <col min="12288" max="12288" width="0" style="69" hidden="1" customWidth="1"/>
    <col min="12289" max="12289" width="3.26953125" style="69" customWidth="1"/>
    <col min="12290" max="12290" width="25.26953125" style="69" customWidth="1"/>
    <col min="12291" max="12296" width="13" style="69" customWidth="1"/>
    <col min="12297" max="12543" width="9.1796875" style="69"/>
    <col min="12544" max="12544" width="0" style="69" hidden="1" customWidth="1"/>
    <col min="12545" max="12545" width="3.26953125" style="69" customWidth="1"/>
    <col min="12546" max="12546" width="25.26953125" style="69" customWidth="1"/>
    <col min="12547" max="12552" width="13" style="69" customWidth="1"/>
    <col min="12553" max="12799" width="9.1796875" style="69"/>
    <col min="12800" max="12800" width="0" style="69" hidden="1" customWidth="1"/>
    <col min="12801" max="12801" width="3.26953125" style="69" customWidth="1"/>
    <col min="12802" max="12802" width="25.26953125" style="69" customWidth="1"/>
    <col min="12803" max="12808" width="13" style="69" customWidth="1"/>
    <col min="12809" max="13055" width="9.1796875" style="69"/>
    <col min="13056" max="13056" width="0" style="69" hidden="1" customWidth="1"/>
    <col min="13057" max="13057" width="3.26953125" style="69" customWidth="1"/>
    <col min="13058" max="13058" width="25.26953125" style="69" customWidth="1"/>
    <col min="13059" max="13064" width="13" style="69" customWidth="1"/>
    <col min="13065" max="13311" width="9.1796875" style="69"/>
    <col min="13312" max="13312" width="0" style="69" hidden="1" customWidth="1"/>
    <col min="13313" max="13313" width="3.26953125" style="69" customWidth="1"/>
    <col min="13314" max="13314" width="25.26953125" style="69" customWidth="1"/>
    <col min="13315" max="13320" width="13" style="69" customWidth="1"/>
    <col min="13321" max="13567" width="9.1796875" style="69"/>
    <col min="13568" max="13568" width="0" style="69" hidden="1" customWidth="1"/>
    <col min="13569" max="13569" width="3.26953125" style="69" customWidth="1"/>
    <col min="13570" max="13570" width="25.26953125" style="69" customWidth="1"/>
    <col min="13571" max="13576" width="13" style="69" customWidth="1"/>
    <col min="13577" max="13823" width="9.1796875" style="69"/>
    <col min="13824" max="13824" width="0" style="69" hidden="1" customWidth="1"/>
    <col min="13825" max="13825" width="3.26953125" style="69" customWidth="1"/>
    <col min="13826" max="13826" width="25.26953125" style="69" customWidth="1"/>
    <col min="13827" max="13832" width="13" style="69" customWidth="1"/>
    <col min="13833" max="14079" width="9.1796875" style="69"/>
    <col min="14080" max="14080" width="0" style="69" hidden="1" customWidth="1"/>
    <col min="14081" max="14081" width="3.26953125" style="69" customWidth="1"/>
    <col min="14082" max="14082" width="25.26953125" style="69" customWidth="1"/>
    <col min="14083" max="14088" width="13" style="69" customWidth="1"/>
    <col min="14089" max="14335" width="9.1796875" style="69"/>
    <col min="14336" max="14336" width="0" style="69" hidden="1" customWidth="1"/>
    <col min="14337" max="14337" width="3.26953125" style="69" customWidth="1"/>
    <col min="14338" max="14338" width="25.26953125" style="69" customWidth="1"/>
    <col min="14339" max="14344" width="13" style="69" customWidth="1"/>
    <col min="14345" max="14591" width="9.1796875" style="69"/>
    <col min="14592" max="14592" width="0" style="69" hidden="1" customWidth="1"/>
    <col min="14593" max="14593" width="3.26953125" style="69" customWidth="1"/>
    <col min="14594" max="14594" width="25.26953125" style="69" customWidth="1"/>
    <col min="14595" max="14600" width="13" style="69" customWidth="1"/>
    <col min="14601" max="14847" width="9.1796875" style="69"/>
    <col min="14848" max="14848" width="0" style="69" hidden="1" customWidth="1"/>
    <col min="14849" max="14849" width="3.26953125" style="69" customWidth="1"/>
    <col min="14850" max="14850" width="25.26953125" style="69" customWidth="1"/>
    <col min="14851" max="14856" width="13" style="69" customWidth="1"/>
    <col min="14857" max="15103" width="9.1796875" style="69"/>
    <col min="15104" max="15104" width="0" style="69" hidden="1" customWidth="1"/>
    <col min="15105" max="15105" width="3.26953125" style="69" customWidth="1"/>
    <col min="15106" max="15106" width="25.26953125" style="69" customWidth="1"/>
    <col min="15107" max="15112" width="13" style="69" customWidth="1"/>
    <col min="15113" max="15359" width="9.1796875" style="69"/>
    <col min="15360" max="15360" width="0" style="69" hidden="1" customWidth="1"/>
    <col min="15361" max="15361" width="3.26953125" style="69" customWidth="1"/>
    <col min="15362" max="15362" width="25.26953125" style="69" customWidth="1"/>
    <col min="15363" max="15368" width="13" style="69" customWidth="1"/>
    <col min="15369" max="15615" width="9.1796875" style="69"/>
    <col min="15616" max="15616" width="0" style="69" hidden="1" customWidth="1"/>
    <col min="15617" max="15617" width="3.26953125" style="69" customWidth="1"/>
    <col min="15618" max="15618" width="25.26953125" style="69" customWidth="1"/>
    <col min="15619" max="15624" width="13" style="69" customWidth="1"/>
    <col min="15625" max="15871" width="9.1796875" style="69"/>
    <col min="15872" max="15872" width="0" style="69" hidden="1" customWidth="1"/>
    <col min="15873" max="15873" width="3.26953125" style="69" customWidth="1"/>
    <col min="15874" max="15874" width="25.26953125" style="69" customWidth="1"/>
    <col min="15875" max="15880" width="13" style="69" customWidth="1"/>
    <col min="15881" max="16127" width="9.1796875" style="69"/>
    <col min="16128" max="16128" width="0" style="69" hidden="1" customWidth="1"/>
    <col min="16129" max="16129" width="3.26953125" style="69" customWidth="1"/>
    <col min="16130" max="16130" width="25.26953125" style="69" customWidth="1"/>
    <col min="16131" max="16136" width="13" style="69" customWidth="1"/>
    <col min="16137" max="16384" width="9.1796875" style="69"/>
  </cols>
  <sheetData>
    <row r="1" spans="1:9" ht="39.75" customHeight="1" x14ac:dyDescent="0.35">
      <c r="B1" s="148" t="s">
        <v>104</v>
      </c>
      <c r="C1" s="148"/>
      <c r="D1" s="148"/>
      <c r="E1" s="148"/>
      <c r="F1" s="148"/>
      <c r="G1" s="148"/>
      <c r="H1" s="148"/>
    </row>
    <row r="2" spans="1:9" ht="30" customHeight="1" x14ac:dyDescent="0.35">
      <c r="C2" s="85" t="s">
        <v>74</v>
      </c>
      <c r="D2" s="85" t="s">
        <v>75</v>
      </c>
      <c r="E2" s="85" t="s">
        <v>76</v>
      </c>
      <c r="F2" s="85" t="s">
        <v>77</v>
      </c>
      <c r="G2" s="70" t="s">
        <v>78</v>
      </c>
      <c r="H2" s="71" t="s">
        <v>1</v>
      </c>
    </row>
    <row r="3" spans="1:9" s="36" customFormat="1" ht="26.25" customHeight="1" x14ac:dyDescent="0.35">
      <c r="A3" s="38"/>
      <c r="B3" s="37" t="s">
        <v>80</v>
      </c>
      <c r="C3" s="72">
        <v>36.5</v>
      </c>
      <c r="D3" s="72">
        <v>76.5</v>
      </c>
      <c r="E3" s="72">
        <v>269.18</v>
      </c>
      <c r="F3" s="72">
        <v>311.30785714285713</v>
      </c>
      <c r="G3" s="72">
        <v>677.92899999999997</v>
      </c>
      <c r="H3" s="72">
        <v>1371.4168571428572</v>
      </c>
      <c r="I3" s="73"/>
    </row>
    <row r="4" spans="1:9" s="37" customFormat="1" ht="26.25" customHeight="1" x14ac:dyDescent="0.35">
      <c r="A4" s="38"/>
      <c r="B4" s="37" t="s">
        <v>55</v>
      </c>
      <c r="C4" s="74">
        <v>20.5</v>
      </c>
      <c r="D4" s="74">
        <v>71.5</v>
      </c>
      <c r="E4" s="74">
        <v>198.68</v>
      </c>
      <c r="F4" s="74">
        <v>211.67785714285714</v>
      </c>
      <c r="G4" s="74">
        <v>459.88900000000001</v>
      </c>
      <c r="H4" s="74">
        <v>962.24685714285715</v>
      </c>
    </row>
    <row r="5" spans="1:9" s="50" customFormat="1" ht="13" x14ac:dyDescent="0.35">
      <c r="A5" s="40">
        <v>51</v>
      </c>
      <c r="B5" s="50" t="s">
        <v>7</v>
      </c>
      <c r="C5" s="75">
        <v>1</v>
      </c>
      <c r="D5" s="75">
        <v>1</v>
      </c>
      <c r="E5" s="75">
        <v>9</v>
      </c>
      <c r="F5" s="75">
        <v>10</v>
      </c>
      <c r="G5" s="75">
        <v>12</v>
      </c>
      <c r="H5" s="76">
        <v>33</v>
      </c>
      <c r="I5" s="45"/>
    </row>
    <row r="6" spans="1:9" s="50" customFormat="1" ht="13" x14ac:dyDescent="0.35">
      <c r="A6" s="40">
        <v>52</v>
      </c>
      <c r="B6" s="50" t="s">
        <v>8</v>
      </c>
      <c r="C6" s="75">
        <v>0.5</v>
      </c>
      <c r="D6" s="75">
        <v>3</v>
      </c>
      <c r="E6" s="75">
        <v>6</v>
      </c>
      <c r="F6" s="75">
        <v>7</v>
      </c>
      <c r="G6" s="75">
        <v>9.5</v>
      </c>
      <c r="H6" s="76">
        <v>26</v>
      </c>
      <c r="I6" s="45"/>
    </row>
    <row r="7" spans="1:9" s="50" customFormat="1" ht="13" x14ac:dyDescent="0.35">
      <c r="A7" s="40">
        <v>86</v>
      </c>
      <c r="B7" s="50" t="s">
        <v>9</v>
      </c>
      <c r="C7" s="75">
        <v>0</v>
      </c>
      <c r="D7" s="75">
        <v>2</v>
      </c>
      <c r="E7" s="75">
        <v>5</v>
      </c>
      <c r="F7" s="75">
        <v>9.5</v>
      </c>
      <c r="G7" s="75">
        <v>12.6</v>
      </c>
      <c r="H7" s="76">
        <v>29.1</v>
      </c>
      <c r="I7" s="45"/>
    </row>
    <row r="8" spans="1:9" s="50" customFormat="1" ht="13" x14ac:dyDescent="0.35">
      <c r="A8" s="40">
        <v>53</v>
      </c>
      <c r="B8" s="50" t="s">
        <v>10</v>
      </c>
      <c r="C8" s="75">
        <v>1</v>
      </c>
      <c r="D8" s="75">
        <v>2</v>
      </c>
      <c r="E8" s="75">
        <v>4</v>
      </c>
      <c r="F8" s="75">
        <v>5</v>
      </c>
      <c r="G8" s="75">
        <v>12.89</v>
      </c>
      <c r="H8" s="76">
        <v>24.89</v>
      </c>
      <c r="I8" s="45"/>
    </row>
    <row r="9" spans="1:9" s="50" customFormat="1" ht="14.5" x14ac:dyDescent="0.35">
      <c r="A9" s="40">
        <v>54</v>
      </c>
      <c r="B9" s="50" t="s">
        <v>105</v>
      </c>
      <c r="C9" s="75">
        <v>2</v>
      </c>
      <c r="D9" s="75">
        <v>1</v>
      </c>
      <c r="E9" s="75">
        <v>6.93</v>
      </c>
      <c r="F9" s="75">
        <v>6.98</v>
      </c>
      <c r="G9" s="75">
        <v>17.72</v>
      </c>
      <c r="H9" s="76">
        <v>34.630000000000003</v>
      </c>
      <c r="I9" s="45"/>
    </row>
    <row r="10" spans="1:9" s="50" customFormat="1" ht="13" x14ac:dyDescent="0.35">
      <c r="A10" s="40">
        <v>55</v>
      </c>
      <c r="B10" s="50" t="s">
        <v>12</v>
      </c>
      <c r="C10" s="75">
        <v>1</v>
      </c>
      <c r="D10" s="75">
        <v>1</v>
      </c>
      <c r="E10" s="75">
        <v>10</v>
      </c>
      <c r="F10" s="75">
        <v>0</v>
      </c>
      <c r="G10" s="75">
        <v>13</v>
      </c>
      <c r="H10" s="76">
        <v>25</v>
      </c>
      <c r="I10" s="45"/>
    </row>
    <row r="11" spans="1:9" s="50" customFormat="1" ht="13" x14ac:dyDescent="0.35">
      <c r="A11" s="40">
        <v>56</v>
      </c>
      <c r="B11" s="50" t="s">
        <v>13</v>
      </c>
      <c r="C11" s="75">
        <v>0</v>
      </c>
      <c r="D11" s="75">
        <v>0</v>
      </c>
      <c r="E11" s="75">
        <v>4</v>
      </c>
      <c r="F11" s="75">
        <v>9.5</v>
      </c>
      <c r="G11" s="75">
        <v>8.5</v>
      </c>
      <c r="H11" s="76">
        <v>22</v>
      </c>
      <c r="I11" s="45"/>
    </row>
    <row r="12" spans="1:9" s="50" customFormat="1" ht="13" x14ac:dyDescent="0.35">
      <c r="A12" s="40">
        <v>57</v>
      </c>
      <c r="B12" s="50" t="s">
        <v>14</v>
      </c>
      <c r="C12" s="75">
        <v>1</v>
      </c>
      <c r="D12" s="75">
        <v>1</v>
      </c>
      <c r="E12" s="75">
        <v>4</v>
      </c>
      <c r="F12" s="75">
        <v>4</v>
      </c>
      <c r="G12" s="75">
        <v>5</v>
      </c>
      <c r="H12" s="76">
        <v>15</v>
      </c>
      <c r="I12" s="45"/>
    </row>
    <row r="13" spans="1:9" s="50" customFormat="1" ht="13" x14ac:dyDescent="0.35">
      <c r="A13" s="40">
        <v>59</v>
      </c>
      <c r="B13" s="50" t="s">
        <v>15</v>
      </c>
      <c r="C13" s="75">
        <v>0</v>
      </c>
      <c r="D13" s="75">
        <v>0</v>
      </c>
      <c r="E13" s="75">
        <v>0</v>
      </c>
      <c r="F13" s="75">
        <v>5.5</v>
      </c>
      <c r="G13" s="75">
        <v>5.75</v>
      </c>
      <c r="H13" s="76">
        <v>11.25</v>
      </c>
      <c r="I13" s="45"/>
    </row>
    <row r="14" spans="1:9" s="50" customFormat="1" ht="13" x14ac:dyDescent="0.35">
      <c r="A14" s="40">
        <v>60</v>
      </c>
      <c r="B14" s="50" t="s">
        <v>16</v>
      </c>
      <c r="C14" s="75">
        <v>0</v>
      </c>
      <c r="D14" s="75">
        <v>1</v>
      </c>
      <c r="E14" s="75">
        <v>4</v>
      </c>
      <c r="F14" s="75">
        <v>5</v>
      </c>
      <c r="G14" s="75">
        <v>15</v>
      </c>
      <c r="H14" s="76">
        <v>25</v>
      </c>
      <c r="I14" s="45"/>
    </row>
    <row r="15" spans="1:9" s="50" customFormat="1" ht="13" x14ac:dyDescent="0.35">
      <c r="A15" s="40">
        <v>61</v>
      </c>
      <c r="B15" s="77" t="s">
        <v>56</v>
      </c>
      <c r="C15" s="75">
        <v>1</v>
      </c>
      <c r="D15" s="75">
        <v>5</v>
      </c>
      <c r="E15" s="75">
        <v>12</v>
      </c>
      <c r="F15" s="75">
        <v>12</v>
      </c>
      <c r="G15" s="75">
        <v>19</v>
      </c>
      <c r="H15" s="76">
        <v>49</v>
      </c>
      <c r="I15" s="45"/>
    </row>
    <row r="16" spans="1:9" s="50" customFormat="1" ht="12.5" x14ac:dyDescent="0.35">
      <c r="A16" s="40">
        <v>62</v>
      </c>
      <c r="B16" s="50" t="s">
        <v>143</v>
      </c>
      <c r="C16" s="75">
        <f>C63+C64</f>
        <v>0</v>
      </c>
      <c r="D16" s="75">
        <f t="shared" ref="D16:H16" si="0">D63+D64</f>
        <v>7</v>
      </c>
      <c r="E16" s="75">
        <f t="shared" si="0"/>
        <v>9.5</v>
      </c>
      <c r="F16" s="75">
        <f t="shared" si="0"/>
        <v>8</v>
      </c>
      <c r="G16" s="75">
        <f t="shared" si="0"/>
        <v>21.490000000000002</v>
      </c>
      <c r="H16" s="75">
        <f t="shared" si="0"/>
        <v>45.989999999999995</v>
      </c>
      <c r="I16" s="45"/>
    </row>
    <row r="17" spans="1:9" s="50" customFormat="1" ht="13" x14ac:dyDescent="0.35">
      <c r="A17" s="40">
        <v>58</v>
      </c>
      <c r="B17" s="50" t="s">
        <v>19</v>
      </c>
      <c r="C17" s="75">
        <v>0</v>
      </c>
      <c r="D17" s="75">
        <v>1</v>
      </c>
      <c r="E17" s="75">
        <v>5</v>
      </c>
      <c r="F17" s="75">
        <v>4</v>
      </c>
      <c r="G17" s="75">
        <v>17.5</v>
      </c>
      <c r="H17" s="76">
        <v>27.5</v>
      </c>
      <c r="I17" s="45"/>
    </row>
    <row r="18" spans="1:9" s="50" customFormat="1" ht="13" x14ac:dyDescent="0.35">
      <c r="A18" s="40">
        <v>63</v>
      </c>
      <c r="B18" s="50" t="s">
        <v>20</v>
      </c>
      <c r="C18" s="75">
        <v>0</v>
      </c>
      <c r="D18" s="75">
        <v>2.5</v>
      </c>
      <c r="E18" s="75">
        <v>6</v>
      </c>
      <c r="F18" s="75">
        <v>4</v>
      </c>
      <c r="G18" s="75">
        <v>14.929</v>
      </c>
      <c r="H18" s="76">
        <v>27.429000000000002</v>
      </c>
      <c r="I18" s="45"/>
    </row>
    <row r="19" spans="1:9" s="50" customFormat="1" ht="13" x14ac:dyDescent="0.35">
      <c r="A19" s="40">
        <v>64</v>
      </c>
      <c r="B19" s="50" t="s">
        <v>21</v>
      </c>
      <c r="C19" s="75">
        <v>2</v>
      </c>
      <c r="D19" s="75">
        <v>4</v>
      </c>
      <c r="E19" s="75">
        <v>9</v>
      </c>
      <c r="F19" s="75">
        <v>7</v>
      </c>
      <c r="G19" s="75">
        <v>19</v>
      </c>
      <c r="H19" s="76">
        <v>41</v>
      </c>
      <c r="I19" s="45"/>
    </row>
    <row r="20" spans="1:9" s="50" customFormat="1" ht="13" x14ac:dyDescent="0.35">
      <c r="A20" s="40">
        <v>65</v>
      </c>
      <c r="B20" s="50" t="s">
        <v>22</v>
      </c>
      <c r="C20" s="75">
        <v>0</v>
      </c>
      <c r="D20" s="75">
        <v>0</v>
      </c>
      <c r="E20" s="75">
        <v>4</v>
      </c>
      <c r="F20" s="75">
        <v>5</v>
      </c>
      <c r="G20" s="75">
        <v>9.94</v>
      </c>
      <c r="H20" s="76">
        <v>18.940000000000001</v>
      </c>
      <c r="I20" s="45"/>
    </row>
    <row r="21" spans="1:9" s="50" customFormat="1" ht="13" x14ac:dyDescent="0.35">
      <c r="A21" s="40">
        <v>67</v>
      </c>
      <c r="B21" s="50" t="s">
        <v>25</v>
      </c>
      <c r="C21" s="75">
        <v>3</v>
      </c>
      <c r="D21" s="75">
        <v>2</v>
      </c>
      <c r="E21" s="75">
        <v>4</v>
      </c>
      <c r="F21" s="75">
        <v>8.6978571428571421</v>
      </c>
      <c r="G21" s="75">
        <v>18</v>
      </c>
      <c r="H21" s="76">
        <v>35.697857142857146</v>
      </c>
      <c r="I21" s="45"/>
    </row>
    <row r="22" spans="1:9" s="50" customFormat="1" ht="13" x14ac:dyDescent="0.35">
      <c r="A22" s="40">
        <v>68</v>
      </c>
      <c r="B22" s="50" t="s">
        <v>57</v>
      </c>
      <c r="C22" s="75">
        <v>0</v>
      </c>
      <c r="D22" s="75">
        <v>1</v>
      </c>
      <c r="E22" s="75">
        <v>5.5</v>
      </c>
      <c r="F22" s="75">
        <v>5</v>
      </c>
      <c r="G22" s="75">
        <v>11</v>
      </c>
      <c r="H22" s="76">
        <v>22.5</v>
      </c>
      <c r="I22" s="45"/>
    </row>
    <row r="23" spans="1:9" s="50" customFormat="1" ht="13" x14ac:dyDescent="0.35">
      <c r="A23" s="40">
        <v>69</v>
      </c>
      <c r="B23" s="50" t="s">
        <v>27</v>
      </c>
      <c r="C23" s="75">
        <v>0</v>
      </c>
      <c r="D23" s="75">
        <v>1</v>
      </c>
      <c r="E23" s="75">
        <v>10</v>
      </c>
      <c r="F23" s="75">
        <v>4</v>
      </c>
      <c r="G23" s="75">
        <v>12</v>
      </c>
      <c r="H23" s="76">
        <v>27</v>
      </c>
      <c r="I23" s="45"/>
    </row>
    <row r="24" spans="1:9" s="50" customFormat="1" ht="13" x14ac:dyDescent="0.35">
      <c r="A24" s="40">
        <v>70</v>
      </c>
      <c r="B24" s="50" t="s">
        <v>28</v>
      </c>
      <c r="C24" s="75">
        <v>1</v>
      </c>
      <c r="D24" s="75">
        <v>2</v>
      </c>
      <c r="E24" s="75">
        <v>7</v>
      </c>
      <c r="F24" s="75">
        <v>6</v>
      </c>
      <c r="G24" s="75">
        <v>17</v>
      </c>
      <c r="H24" s="76">
        <v>33</v>
      </c>
      <c r="I24" s="45"/>
    </row>
    <row r="25" spans="1:9" s="50" customFormat="1" ht="13" x14ac:dyDescent="0.35">
      <c r="A25" s="40">
        <v>71</v>
      </c>
      <c r="B25" s="50" t="s">
        <v>58</v>
      </c>
      <c r="C25" s="75">
        <v>0</v>
      </c>
      <c r="D25" s="75">
        <v>1</v>
      </c>
      <c r="E25" s="75">
        <v>0</v>
      </c>
      <c r="F25" s="75">
        <v>0</v>
      </c>
      <c r="G25" s="75">
        <v>0</v>
      </c>
      <c r="H25" s="76">
        <v>1</v>
      </c>
      <c r="I25" s="45"/>
    </row>
    <row r="26" spans="1:9" s="50" customFormat="1" ht="13" x14ac:dyDescent="0.35">
      <c r="A26" s="40">
        <v>73</v>
      </c>
      <c r="B26" s="50" t="s">
        <v>31</v>
      </c>
      <c r="C26" s="75">
        <v>1</v>
      </c>
      <c r="D26" s="75">
        <v>3</v>
      </c>
      <c r="E26" s="75">
        <v>5.75</v>
      </c>
      <c r="F26" s="75">
        <v>10</v>
      </c>
      <c r="G26" s="75">
        <v>15.25</v>
      </c>
      <c r="H26" s="76">
        <v>35</v>
      </c>
      <c r="I26" s="45"/>
    </row>
    <row r="27" spans="1:9" s="50" customFormat="1" ht="13" x14ac:dyDescent="0.35">
      <c r="A27" s="40">
        <v>74</v>
      </c>
      <c r="B27" s="50" t="s">
        <v>32</v>
      </c>
      <c r="C27" s="75">
        <v>0</v>
      </c>
      <c r="D27" s="75">
        <v>2</v>
      </c>
      <c r="E27" s="75">
        <v>10</v>
      </c>
      <c r="F27" s="75">
        <v>7</v>
      </c>
      <c r="G27" s="75">
        <v>20</v>
      </c>
      <c r="H27" s="76">
        <v>39</v>
      </c>
      <c r="I27" s="45"/>
    </row>
    <row r="28" spans="1:9" s="50" customFormat="1" ht="13" x14ac:dyDescent="0.35">
      <c r="A28" s="40">
        <v>75</v>
      </c>
      <c r="B28" s="50" t="s">
        <v>33</v>
      </c>
      <c r="C28" s="75">
        <v>1</v>
      </c>
      <c r="D28" s="75">
        <v>1</v>
      </c>
      <c r="E28" s="75">
        <v>4</v>
      </c>
      <c r="F28" s="75">
        <v>10</v>
      </c>
      <c r="G28" s="75">
        <v>12</v>
      </c>
      <c r="H28" s="76">
        <v>28</v>
      </c>
      <c r="I28" s="45"/>
    </row>
    <row r="29" spans="1:9" s="50" customFormat="1" ht="13" x14ac:dyDescent="0.35">
      <c r="A29" s="40">
        <v>76</v>
      </c>
      <c r="B29" s="50" t="s">
        <v>34</v>
      </c>
      <c r="C29" s="75">
        <v>0</v>
      </c>
      <c r="D29" s="75">
        <v>2</v>
      </c>
      <c r="E29" s="75">
        <v>3</v>
      </c>
      <c r="F29" s="75">
        <v>5</v>
      </c>
      <c r="G29" s="75">
        <v>12</v>
      </c>
      <c r="H29" s="76">
        <v>22</v>
      </c>
      <c r="I29" s="45"/>
    </row>
    <row r="30" spans="1:9" s="50" customFormat="1" ht="13" x14ac:dyDescent="0.35">
      <c r="A30" s="40">
        <v>79</v>
      </c>
      <c r="B30" s="50" t="s">
        <v>36</v>
      </c>
      <c r="C30" s="75">
        <v>0</v>
      </c>
      <c r="D30" s="75">
        <v>3</v>
      </c>
      <c r="E30" s="75">
        <v>6</v>
      </c>
      <c r="F30" s="75">
        <v>4</v>
      </c>
      <c r="G30" s="75">
        <v>13.32</v>
      </c>
      <c r="H30" s="76">
        <v>26.32</v>
      </c>
      <c r="I30" s="45"/>
    </row>
    <row r="31" spans="1:9" s="50" customFormat="1" ht="12.5" x14ac:dyDescent="0.35">
      <c r="A31" s="40"/>
      <c r="B31" s="67" t="s">
        <v>81</v>
      </c>
      <c r="C31" s="68" t="s">
        <v>64</v>
      </c>
      <c r="D31" s="68" t="s">
        <v>64</v>
      </c>
      <c r="E31" s="68" t="s">
        <v>64</v>
      </c>
      <c r="F31" s="68" t="s">
        <v>64</v>
      </c>
      <c r="G31" s="68" t="s">
        <v>64</v>
      </c>
      <c r="H31" s="68" t="s">
        <v>64</v>
      </c>
      <c r="I31" s="45"/>
    </row>
    <row r="32" spans="1:9" s="50" customFormat="1" ht="13" x14ac:dyDescent="0.35">
      <c r="A32" s="40">
        <v>80</v>
      </c>
      <c r="B32" s="50" t="s">
        <v>38</v>
      </c>
      <c r="C32" s="75">
        <v>1</v>
      </c>
      <c r="D32" s="75">
        <v>1</v>
      </c>
      <c r="E32" s="75">
        <v>6</v>
      </c>
      <c r="F32" s="75">
        <v>3</v>
      </c>
      <c r="G32" s="75">
        <v>12</v>
      </c>
      <c r="H32" s="76">
        <v>23</v>
      </c>
      <c r="I32" s="45"/>
    </row>
    <row r="33" spans="1:9" s="50" customFormat="1" ht="13" x14ac:dyDescent="0.35">
      <c r="A33" s="40">
        <v>81</v>
      </c>
      <c r="B33" s="50" t="s">
        <v>39</v>
      </c>
      <c r="C33" s="75">
        <v>0</v>
      </c>
      <c r="D33" s="75">
        <v>1</v>
      </c>
      <c r="E33" s="75">
        <v>4</v>
      </c>
      <c r="F33" s="75">
        <v>4</v>
      </c>
      <c r="G33" s="75">
        <v>12</v>
      </c>
      <c r="H33" s="76">
        <v>21</v>
      </c>
      <c r="I33" s="45"/>
    </row>
    <row r="34" spans="1:9" s="50" customFormat="1" ht="13" x14ac:dyDescent="0.35">
      <c r="A34" s="40">
        <v>83</v>
      </c>
      <c r="B34" s="50" t="s">
        <v>40</v>
      </c>
      <c r="C34" s="75">
        <v>0</v>
      </c>
      <c r="D34" s="75">
        <v>1</v>
      </c>
      <c r="E34" s="75">
        <v>4</v>
      </c>
      <c r="F34" s="75">
        <v>3</v>
      </c>
      <c r="G34" s="75">
        <v>9</v>
      </c>
      <c r="H34" s="76">
        <v>17</v>
      </c>
      <c r="I34" s="45"/>
    </row>
    <row r="35" spans="1:9" s="50" customFormat="1" ht="13" x14ac:dyDescent="0.35">
      <c r="A35" s="40">
        <v>84</v>
      </c>
      <c r="B35" s="50" t="s">
        <v>41</v>
      </c>
      <c r="C35" s="75">
        <v>1</v>
      </c>
      <c r="D35" s="75">
        <v>5</v>
      </c>
      <c r="E35" s="75">
        <v>4</v>
      </c>
      <c r="F35" s="75">
        <v>5</v>
      </c>
      <c r="G35" s="75">
        <v>12</v>
      </c>
      <c r="H35" s="76">
        <v>27</v>
      </c>
      <c r="I35" s="45"/>
    </row>
    <row r="36" spans="1:9" s="50" customFormat="1" ht="13" x14ac:dyDescent="0.35">
      <c r="A36" s="40">
        <v>85</v>
      </c>
      <c r="B36" s="50" t="s">
        <v>42</v>
      </c>
      <c r="C36" s="75">
        <v>0</v>
      </c>
      <c r="D36" s="75">
        <v>1</v>
      </c>
      <c r="E36" s="75">
        <v>3</v>
      </c>
      <c r="F36" s="75">
        <v>5</v>
      </c>
      <c r="G36" s="75">
        <v>17</v>
      </c>
      <c r="H36" s="76">
        <v>26</v>
      </c>
      <c r="I36" s="45"/>
    </row>
    <row r="37" spans="1:9" s="50" customFormat="1" ht="13" x14ac:dyDescent="0.35">
      <c r="A37" s="40">
        <v>87</v>
      </c>
      <c r="B37" s="50" t="s">
        <v>43</v>
      </c>
      <c r="C37" s="75">
        <v>0</v>
      </c>
      <c r="D37" s="75">
        <v>1</v>
      </c>
      <c r="E37" s="75">
        <v>4</v>
      </c>
      <c r="F37" s="75">
        <v>4</v>
      </c>
      <c r="G37" s="75">
        <v>8</v>
      </c>
      <c r="H37" s="76">
        <v>17</v>
      </c>
      <c r="I37" s="45"/>
    </row>
    <row r="38" spans="1:9" s="50" customFormat="1" ht="13" x14ac:dyDescent="0.35">
      <c r="A38" s="40">
        <v>90</v>
      </c>
      <c r="B38" s="50" t="s">
        <v>45</v>
      </c>
      <c r="C38" s="75">
        <v>0</v>
      </c>
      <c r="D38" s="75">
        <v>2</v>
      </c>
      <c r="E38" s="75">
        <v>4</v>
      </c>
      <c r="F38" s="75">
        <v>7</v>
      </c>
      <c r="G38" s="75">
        <v>12</v>
      </c>
      <c r="H38" s="76">
        <v>25</v>
      </c>
      <c r="I38" s="45"/>
    </row>
    <row r="39" spans="1:9" s="50" customFormat="1" ht="14.5" x14ac:dyDescent="0.35">
      <c r="A39" s="40">
        <v>91</v>
      </c>
      <c r="B39" s="50" t="s">
        <v>106</v>
      </c>
      <c r="C39" s="75">
        <v>0</v>
      </c>
      <c r="D39" s="75">
        <v>0</v>
      </c>
      <c r="E39" s="75">
        <v>0</v>
      </c>
      <c r="F39" s="75">
        <v>0</v>
      </c>
      <c r="G39" s="75">
        <v>0</v>
      </c>
      <c r="H39" s="76">
        <v>0</v>
      </c>
      <c r="I39" s="45"/>
    </row>
    <row r="40" spans="1:9" s="50" customFormat="1" ht="13" x14ac:dyDescent="0.35">
      <c r="A40" s="40">
        <v>92</v>
      </c>
      <c r="B40" s="50" t="s">
        <v>47</v>
      </c>
      <c r="C40" s="75">
        <v>1</v>
      </c>
      <c r="D40" s="75">
        <v>6</v>
      </c>
      <c r="E40" s="75">
        <v>6</v>
      </c>
      <c r="F40" s="75">
        <v>5</v>
      </c>
      <c r="G40" s="75">
        <v>14</v>
      </c>
      <c r="H40" s="76">
        <v>32</v>
      </c>
      <c r="I40" s="45"/>
    </row>
    <row r="41" spans="1:9" s="50" customFormat="1" ht="13" x14ac:dyDescent="0.35">
      <c r="A41" s="40">
        <v>94</v>
      </c>
      <c r="B41" s="50" t="s">
        <v>49</v>
      </c>
      <c r="C41" s="75">
        <v>0</v>
      </c>
      <c r="D41" s="75">
        <v>1</v>
      </c>
      <c r="E41" s="75">
        <v>5</v>
      </c>
      <c r="F41" s="75">
        <v>4</v>
      </c>
      <c r="G41" s="75">
        <v>7.5</v>
      </c>
      <c r="H41" s="76">
        <v>17.5</v>
      </c>
      <c r="I41" s="45"/>
    </row>
    <row r="42" spans="1:9" s="50" customFormat="1" ht="13" x14ac:dyDescent="0.35">
      <c r="A42" s="40">
        <v>96</v>
      </c>
      <c r="B42" s="50" t="s">
        <v>51</v>
      </c>
      <c r="C42" s="75">
        <v>2</v>
      </c>
      <c r="D42" s="75">
        <v>3</v>
      </c>
      <c r="E42" s="75">
        <v>5</v>
      </c>
      <c r="F42" s="75">
        <v>9.5</v>
      </c>
      <c r="G42" s="75">
        <v>12</v>
      </c>
      <c r="H42" s="76">
        <v>31.5</v>
      </c>
      <c r="I42" s="45"/>
    </row>
    <row r="43" spans="1:9" s="50" customFormat="1" ht="13" x14ac:dyDescent="0.35">
      <c r="A43" s="40">
        <v>72</v>
      </c>
      <c r="B43" s="50" t="s">
        <v>30</v>
      </c>
      <c r="C43" s="75">
        <v>0</v>
      </c>
      <c r="D43" s="75">
        <v>0</v>
      </c>
      <c r="E43" s="75">
        <v>0</v>
      </c>
      <c r="F43" s="75">
        <v>0</v>
      </c>
      <c r="G43" s="75">
        <v>0</v>
      </c>
      <c r="H43" s="76">
        <v>0</v>
      </c>
      <c r="I43" s="45"/>
    </row>
    <row r="44" spans="1:9" s="37" customFormat="1" ht="26.25" customHeight="1" x14ac:dyDescent="0.35">
      <c r="A44" s="38"/>
      <c r="B44" s="37" t="s">
        <v>59</v>
      </c>
      <c r="C44" s="39">
        <v>16</v>
      </c>
      <c r="D44" s="39">
        <v>5</v>
      </c>
      <c r="E44" s="39">
        <v>70.5</v>
      </c>
      <c r="F44" s="39">
        <v>99.63</v>
      </c>
      <c r="G44" s="39">
        <v>218.04</v>
      </c>
      <c r="H44" s="39">
        <v>409.17</v>
      </c>
      <c r="I44" s="45"/>
    </row>
    <row r="45" spans="1:9" s="50" customFormat="1" ht="13" x14ac:dyDescent="0.35">
      <c r="A45" s="40">
        <v>66</v>
      </c>
      <c r="B45" s="50" t="s">
        <v>24</v>
      </c>
      <c r="C45" s="75">
        <v>7</v>
      </c>
      <c r="D45" s="75">
        <v>0</v>
      </c>
      <c r="E45" s="75">
        <v>11.5</v>
      </c>
      <c r="F45" s="75">
        <v>10.5</v>
      </c>
      <c r="G45" s="75">
        <v>34.979999999999997</v>
      </c>
      <c r="H45" s="76">
        <v>63.98</v>
      </c>
      <c r="I45" s="45"/>
    </row>
    <row r="46" spans="1:9" s="50" customFormat="1" ht="13" x14ac:dyDescent="0.35">
      <c r="A46" s="40">
        <v>78</v>
      </c>
      <c r="B46" s="50" t="s">
        <v>35</v>
      </c>
      <c r="C46" s="75">
        <v>1</v>
      </c>
      <c r="D46" s="75">
        <v>0</v>
      </c>
      <c r="E46" s="75">
        <v>11</v>
      </c>
      <c r="F46" s="75">
        <v>5</v>
      </c>
      <c r="G46" s="75">
        <v>28</v>
      </c>
      <c r="H46" s="76">
        <v>45</v>
      </c>
      <c r="I46" s="45"/>
    </row>
    <row r="47" spans="1:9" s="50" customFormat="1" ht="13" x14ac:dyDescent="0.35">
      <c r="A47" s="40">
        <v>89</v>
      </c>
      <c r="B47" s="50" t="s">
        <v>44</v>
      </c>
      <c r="C47" s="75">
        <v>1</v>
      </c>
      <c r="D47" s="75">
        <v>1</v>
      </c>
      <c r="E47" s="75">
        <v>4</v>
      </c>
      <c r="F47" s="75">
        <v>14</v>
      </c>
      <c r="G47" s="75">
        <v>16</v>
      </c>
      <c r="H47" s="76">
        <v>36</v>
      </c>
      <c r="I47" s="45"/>
    </row>
    <row r="48" spans="1:9" s="50" customFormat="1" ht="13" x14ac:dyDescent="0.35">
      <c r="A48" s="40">
        <v>93</v>
      </c>
      <c r="B48" s="50" t="s">
        <v>60</v>
      </c>
      <c r="C48" s="75">
        <v>1</v>
      </c>
      <c r="D48" s="75">
        <v>1</v>
      </c>
      <c r="E48" s="75">
        <v>6</v>
      </c>
      <c r="F48" s="75">
        <v>8</v>
      </c>
      <c r="G48" s="75">
        <v>23</v>
      </c>
      <c r="H48" s="76">
        <v>39</v>
      </c>
      <c r="I48" s="45"/>
    </row>
    <row r="49" spans="1:9" s="50" customFormat="1" ht="13" x14ac:dyDescent="0.35">
      <c r="A49" s="40">
        <v>95</v>
      </c>
      <c r="B49" s="50" t="s">
        <v>50</v>
      </c>
      <c r="C49" s="75">
        <v>4</v>
      </c>
      <c r="D49" s="75">
        <v>1</v>
      </c>
      <c r="E49" s="75">
        <v>17</v>
      </c>
      <c r="F49" s="75">
        <v>15</v>
      </c>
      <c r="G49" s="75">
        <v>26</v>
      </c>
      <c r="H49" s="76">
        <v>63</v>
      </c>
      <c r="I49" s="45"/>
    </row>
    <row r="50" spans="1:9" s="50" customFormat="1" ht="13" x14ac:dyDescent="0.35">
      <c r="A50" s="40">
        <v>97</v>
      </c>
      <c r="B50" s="50" t="s">
        <v>52</v>
      </c>
      <c r="C50" s="75">
        <v>1</v>
      </c>
      <c r="D50" s="75">
        <v>0</v>
      </c>
      <c r="E50" s="75">
        <v>12</v>
      </c>
      <c r="F50" s="75">
        <v>13</v>
      </c>
      <c r="G50" s="75">
        <v>24</v>
      </c>
      <c r="H50" s="76">
        <v>50</v>
      </c>
      <c r="I50" s="45"/>
    </row>
    <row r="51" spans="1:9" s="50" customFormat="1" ht="13" x14ac:dyDescent="0.35">
      <c r="A51" s="40">
        <v>77</v>
      </c>
      <c r="B51" s="44" t="s">
        <v>23</v>
      </c>
      <c r="C51" s="78">
        <v>1</v>
      </c>
      <c r="D51" s="78">
        <v>2</v>
      </c>
      <c r="E51" s="78">
        <v>9</v>
      </c>
      <c r="F51" s="78">
        <v>34.130000000000003</v>
      </c>
      <c r="G51" s="78">
        <v>66.06</v>
      </c>
      <c r="H51" s="79">
        <v>112.19</v>
      </c>
      <c r="I51" s="45"/>
    </row>
    <row r="52" spans="1:9" s="81" customFormat="1" x14ac:dyDescent="0.35">
      <c r="A52" s="40"/>
      <c r="B52" s="69"/>
      <c r="C52" s="84"/>
      <c r="D52" s="84"/>
      <c r="E52" s="80"/>
      <c r="F52" s="80"/>
      <c r="G52" s="80"/>
      <c r="H52" s="80"/>
    </row>
    <row r="53" spans="1:9" s="81" customFormat="1" x14ac:dyDescent="0.35">
      <c r="A53" s="40"/>
      <c r="B53" s="50" t="s">
        <v>88</v>
      </c>
      <c r="C53" s="84"/>
      <c r="D53" s="84"/>
      <c r="E53" s="80"/>
      <c r="F53" s="80"/>
      <c r="G53" s="80"/>
      <c r="H53" s="80"/>
    </row>
    <row r="54" spans="1:9" s="81" customFormat="1" x14ac:dyDescent="0.35">
      <c r="A54" s="40"/>
      <c r="B54" s="89" t="s">
        <v>107</v>
      </c>
      <c r="C54" s="84"/>
      <c r="D54" s="84"/>
      <c r="E54" s="80"/>
      <c r="F54" s="80"/>
      <c r="G54" s="80"/>
      <c r="H54" s="80"/>
    </row>
    <row r="55" spans="1:9" s="81" customFormat="1" x14ac:dyDescent="0.35">
      <c r="A55" s="40"/>
      <c r="B55" s="50"/>
      <c r="C55" s="84"/>
      <c r="D55" s="84"/>
      <c r="E55" s="80"/>
      <c r="F55" s="80"/>
      <c r="G55" s="80"/>
      <c r="H55" s="80"/>
    </row>
    <row r="56" spans="1:9" s="81" customFormat="1" x14ac:dyDescent="0.35">
      <c r="A56" s="40"/>
      <c r="B56" s="69"/>
      <c r="C56" s="84"/>
      <c r="D56" s="84"/>
      <c r="E56" s="80"/>
      <c r="F56" s="80"/>
      <c r="G56" s="80"/>
      <c r="H56" s="80"/>
    </row>
    <row r="57" spans="1:9" s="50" customFormat="1" ht="12.5" x14ac:dyDescent="0.35">
      <c r="A57" s="40"/>
      <c r="B57" s="63" t="s">
        <v>71</v>
      </c>
      <c r="C57" s="45"/>
    </row>
    <row r="58" spans="1:9" x14ac:dyDescent="0.35">
      <c r="G58" s="82"/>
      <c r="H58" s="82"/>
    </row>
    <row r="59" spans="1:9" x14ac:dyDescent="0.35">
      <c r="F59" s="82"/>
    </row>
    <row r="63" spans="1:9" x14ac:dyDescent="0.35">
      <c r="B63" s="50" t="s">
        <v>18</v>
      </c>
      <c r="C63" s="75">
        <v>0</v>
      </c>
      <c r="D63" s="75">
        <v>4</v>
      </c>
      <c r="E63" s="75">
        <v>4.5</v>
      </c>
      <c r="F63" s="75">
        <v>5</v>
      </c>
      <c r="G63" s="75">
        <v>11.5</v>
      </c>
      <c r="H63" s="76">
        <v>25</v>
      </c>
    </row>
    <row r="64" spans="1:9" x14ac:dyDescent="0.35">
      <c r="B64" s="50" t="s">
        <v>53</v>
      </c>
      <c r="C64" s="75">
        <v>0</v>
      </c>
      <c r="D64" s="75">
        <v>3</v>
      </c>
      <c r="E64" s="75">
        <v>5</v>
      </c>
      <c r="F64" s="75">
        <v>3</v>
      </c>
      <c r="G64" s="75">
        <v>9.99</v>
      </c>
      <c r="H64" s="76">
        <v>20.99</v>
      </c>
    </row>
  </sheetData>
  <mergeCells count="1">
    <mergeCell ref="B1:H1"/>
  </mergeCells>
  <pageMargins left="0.75" right="0.75" top="1" bottom="1" header="0.5" footer="0.5"/>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indexed="22"/>
    <pageSetUpPr fitToPage="1"/>
  </sheetPr>
  <dimension ref="A1:JB63"/>
  <sheetViews>
    <sheetView showGridLines="0" zoomScale="85" zoomScaleNormal="85" workbookViewId="0">
      <pane xSplit="2" ySplit="2" topLeftCell="C9" activePane="bottomRight" state="frozen"/>
      <selection activeCell="A4" sqref="A4:H4"/>
      <selection pane="topRight" activeCell="A4" sqref="A4:H4"/>
      <selection pane="bottomLeft" activeCell="A4" sqref="A4:H4"/>
      <selection pane="bottomRight" activeCell="A4" sqref="A4:H4"/>
    </sheetView>
  </sheetViews>
  <sheetFormatPr defaultColWidth="0" defaultRowHeight="15.5" x14ac:dyDescent="0.35"/>
  <cols>
    <col min="1" max="1" width="3.453125" style="40" hidden="1" customWidth="1"/>
    <col min="2" max="2" width="22.7265625" style="69" customWidth="1"/>
    <col min="3" max="8" width="13" style="69" customWidth="1"/>
    <col min="9" max="10" width="13.54296875" style="69" customWidth="1"/>
    <col min="11" max="11" width="9.1796875" style="69" customWidth="1"/>
    <col min="12" max="256" width="0" style="69" hidden="1"/>
    <col min="257" max="257" width="0" style="69" hidden="1" customWidth="1"/>
    <col min="258" max="258" width="22.7265625" style="69" customWidth="1"/>
    <col min="259" max="264" width="13" style="69" customWidth="1"/>
    <col min="265" max="266" width="13.54296875" style="69" customWidth="1"/>
    <col min="267" max="267" width="9.1796875" style="69" customWidth="1"/>
    <col min="268" max="512" width="0" style="69" hidden="1"/>
    <col min="513" max="513" width="0" style="69" hidden="1" customWidth="1"/>
    <col min="514" max="514" width="22.7265625" style="69" customWidth="1"/>
    <col min="515" max="520" width="13" style="69" customWidth="1"/>
    <col min="521" max="522" width="13.54296875" style="69" customWidth="1"/>
    <col min="523" max="523" width="9.1796875" style="69" customWidth="1"/>
    <col min="524" max="768" width="0" style="69" hidden="1"/>
    <col min="769" max="769" width="0" style="69" hidden="1" customWidth="1"/>
    <col min="770" max="770" width="22.7265625" style="69" customWidth="1"/>
    <col min="771" max="776" width="13" style="69" customWidth="1"/>
    <col min="777" max="778" width="13.54296875" style="69" customWidth="1"/>
    <col min="779" max="779" width="9.1796875" style="69" customWidth="1"/>
    <col min="780" max="1024" width="0" style="69" hidden="1"/>
    <col min="1025" max="1025" width="0" style="69" hidden="1" customWidth="1"/>
    <col min="1026" max="1026" width="22.7265625" style="69" customWidth="1"/>
    <col min="1027" max="1032" width="13" style="69" customWidth="1"/>
    <col min="1033" max="1034" width="13.54296875" style="69" customWidth="1"/>
    <col min="1035" max="1035" width="9.1796875" style="69" customWidth="1"/>
    <col min="1036" max="1280" width="0" style="69" hidden="1"/>
    <col min="1281" max="1281" width="0" style="69" hidden="1" customWidth="1"/>
    <col min="1282" max="1282" width="22.7265625" style="69" customWidth="1"/>
    <col min="1283" max="1288" width="13" style="69" customWidth="1"/>
    <col min="1289" max="1290" width="13.54296875" style="69" customWidth="1"/>
    <col min="1291" max="1291" width="9.1796875" style="69" customWidth="1"/>
    <col min="1292" max="1536" width="0" style="69" hidden="1"/>
    <col min="1537" max="1537" width="0" style="69" hidden="1" customWidth="1"/>
    <col min="1538" max="1538" width="22.7265625" style="69" customWidth="1"/>
    <col min="1539" max="1544" width="13" style="69" customWidth="1"/>
    <col min="1545" max="1546" width="13.54296875" style="69" customWidth="1"/>
    <col min="1547" max="1547" width="9.1796875" style="69" customWidth="1"/>
    <col min="1548" max="1792" width="0" style="69" hidden="1"/>
    <col min="1793" max="1793" width="0" style="69" hidden="1" customWidth="1"/>
    <col min="1794" max="1794" width="22.7265625" style="69" customWidth="1"/>
    <col min="1795" max="1800" width="13" style="69" customWidth="1"/>
    <col min="1801" max="1802" width="13.54296875" style="69" customWidth="1"/>
    <col min="1803" max="1803" width="9.1796875" style="69" customWidth="1"/>
    <col min="1804" max="2048" width="0" style="69" hidden="1"/>
    <col min="2049" max="2049" width="0" style="69" hidden="1" customWidth="1"/>
    <col min="2050" max="2050" width="22.7265625" style="69" customWidth="1"/>
    <col min="2051" max="2056" width="13" style="69" customWidth="1"/>
    <col min="2057" max="2058" width="13.54296875" style="69" customWidth="1"/>
    <col min="2059" max="2059" width="9.1796875" style="69" customWidth="1"/>
    <col min="2060" max="2304" width="0" style="69" hidden="1"/>
    <col min="2305" max="2305" width="0" style="69" hidden="1" customWidth="1"/>
    <col min="2306" max="2306" width="22.7265625" style="69" customWidth="1"/>
    <col min="2307" max="2312" width="13" style="69" customWidth="1"/>
    <col min="2313" max="2314" width="13.54296875" style="69" customWidth="1"/>
    <col min="2315" max="2315" width="9.1796875" style="69" customWidth="1"/>
    <col min="2316" max="2560" width="0" style="69" hidden="1"/>
    <col min="2561" max="2561" width="0" style="69" hidden="1" customWidth="1"/>
    <col min="2562" max="2562" width="22.7265625" style="69" customWidth="1"/>
    <col min="2563" max="2568" width="13" style="69" customWidth="1"/>
    <col min="2569" max="2570" width="13.54296875" style="69" customWidth="1"/>
    <col min="2571" max="2571" width="9.1796875" style="69" customWidth="1"/>
    <col min="2572" max="2816" width="0" style="69" hidden="1"/>
    <col min="2817" max="2817" width="0" style="69" hidden="1" customWidth="1"/>
    <col min="2818" max="2818" width="22.7265625" style="69" customWidth="1"/>
    <col min="2819" max="2824" width="13" style="69" customWidth="1"/>
    <col min="2825" max="2826" width="13.54296875" style="69" customWidth="1"/>
    <col min="2827" max="2827" width="9.1796875" style="69" customWidth="1"/>
    <col min="2828" max="3072" width="0" style="69" hidden="1"/>
    <col min="3073" max="3073" width="0" style="69" hidden="1" customWidth="1"/>
    <col min="3074" max="3074" width="22.7265625" style="69" customWidth="1"/>
    <col min="3075" max="3080" width="13" style="69" customWidth="1"/>
    <col min="3081" max="3082" width="13.54296875" style="69" customWidth="1"/>
    <col min="3083" max="3083" width="9.1796875" style="69" customWidth="1"/>
    <col min="3084" max="3328" width="0" style="69" hidden="1"/>
    <col min="3329" max="3329" width="0" style="69" hidden="1" customWidth="1"/>
    <col min="3330" max="3330" width="22.7265625" style="69" customWidth="1"/>
    <col min="3331" max="3336" width="13" style="69" customWidth="1"/>
    <col min="3337" max="3338" width="13.54296875" style="69" customWidth="1"/>
    <col min="3339" max="3339" width="9.1796875" style="69" customWidth="1"/>
    <col min="3340" max="3584" width="0" style="69" hidden="1"/>
    <col min="3585" max="3585" width="0" style="69" hidden="1" customWidth="1"/>
    <col min="3586" max="3586" width="22.7265625" style="69" customWidth="1"/>
    <col min="3587" max="3592" width="13" style="69" customWidth="1"/>
    <col min="3593" max="3594" width="13.54296875" style="69" customWidth="1"/>
    <col min="3595" max="3595" width="9.1796875" style="69" customWidth="1"/>
    <col min="3596" max="3840" width="0" style="69" hidden="1"/>
    <col min="3841" max="3841" width="0" style="69" hidden="1" customWidth="1"/>
    <col min="3842" max="3842" width="22.7265625" style="69" customWidth="1"/>
    <col min="3843" max="3848" width="13" style="69" customWidth="1"/>
    <col min="3849" max="3850" width="13.54296875" style="69" customWidth="1"/>
    <col min="3851" max="3851" width="9.1796875" style="69" customWidth="1"/>
    <col min="3852" max="4096" width="0" style="69" hidden="1"/>
    <col min="4097" max="4097" width="0" style="69" hidden="1" customWidth="1"/>
    <col min="4098" max="4098" width="22.7265625" style="69" customWidth="1"/>
    <col min="4099" max="4104" width="13" style="69" customWidth="1"/>
    <col min="4105" max="4106" width="13.54296875" style="69" customWidth="1"/>
    <col min="4107" max="4107" width="9.1796875" style="69" customWidth="1"/>
    <col min="4108" max="4352" width="0" style="69" hidden="1"/>
    <col min="4353" max="4353" width="0" style="69" hidden="1" customWidth="1"/>
    <col min="4354" max="4354" width="22.7265625" style="69" customWidth="1"/>
    <col min="4355" max="4360" width="13" style="69" customWidth="1"/>
    <col min="4361" max="4362" width="13.54296875" style="69" customWidth="1"/>
    <col min="4363" max="4363" width="9.1796875" style="69" customWidth="1"/>
    <col min="4364" max="4608" width="0" style="69" hidden="1"/>
    <col min="4609" max="4609" width="0" style="69" hidden="1" customWidth="1"/>
    <col min="4610" max="4610" width="22.7265625" style="69" customWidth="1"/>
    <col min="4611" max="4616" width="13" style="69" customWidth="1"/>
    <col min="4617" max="4618" width="13.54296875" style="69" customWidth="1"/>
    <col min="4619" max="4619" width="9.1796875" style="69" customWidth="1"/>
    <col min="4620" max="4864" width="0" style="69" hidden="1"/>
    <col min="4865" max="4865" width="0" style="69" hidden="1" customWidth="1"/>
    <col min="4866" max="4866" width="22.7265625" style="69" customWidth="1"/>
    <col min="4867" max="4872" width="13" style="69" customWidth="1"/>
    <col min="4873" max="4874" width="13.54296875" style="69" customWidth="1"/>
    <col min="4875" max="4875" width="9.1796875" style="69" customWidth="1"/>
    <col min="4876" max="5120" width="0" style="69" hidden="1"/>
    <col min="5121" max="5121" width="0" style="69" hidden="1" customWidth="1"/>
    <col min="5122" max="5122" width="22.7265625" style="69" customWidth="1"/>
    <col min="5123" max="5128" width="13" style="69" customWidth="1"/>
    <col min="5129" max="5130" width="13.54296875" style="69" customWidth="1"/>
    <col min="5131" max="5131" width="9.1796875" style="69" customWidth="1"/>
    <col min="5132" max="5376" width="0" style="69" hidden="1"/>
    <col min="5377" max="5377" width="0" style="69" hidden="1" customWidth="1"/>
    <col min="5378" max="5378" width="22.7265625" style="69" customWidth="1"/>
    <col min="5379" max="5384" width="13" style="69" customWidth="1"/>
    <col min="5385" max="5386" width="13.54296875" style="69" customWidth="1"/>
    <col min="5387" max="5387" width="9.1796875" style="69" customWidth="1"/>
    <col min="5388" max="5632" width="0" style="69" hidden="1"/>
    <col min="5633" max="5633" width="0" style="69" hidden="1" customWidth="1"/>
    <col min="5634" max="5634" width="22.7265625" style="69" customWidth="1"/>
    <col min="5635" max="5640" width="13" style="69" customWidth="1"/>
    <col min="5641" max="5642" width="13.54296875" style="69" customWidth="1"/>
    <col min="5643" max="5643" width="9.1796875" style="69" customWidth="1"/>
    <col min="5644" max="5888" width="0" style="69" hidden="1"/>
    <col min="5889" max="5889" width="0" style="69" hidden="1" customWidth="1"/>
    <col min="5890" max="5890" width="22.7265625" style="69" customWidth="1"/>
    <col min="5891" max="5896" width="13" style="69" customWidth="1"/>
    <col min="5897" max="5898" width="13.54296875" style="69" customWidth="1"/>
    <col min="5899" max="5899" width="9.1796875" style="69" customWidth="1"/>
    <col min="5900" max="6144" width="0" style="69" hidden="1"/>
    <col min="6145" max="6145" width="0" style="69" hidden="1" customWidth="1"/>
    <col min="6146" max="6146" width="22.7265625" style="69" customWidth="1"/>
    <col min="6147" max="6152" width="13" style="69" customWidth="1"/>
    <col min="6153" max="6154" width="13.54296875" style="69" customWidth="1"/>
    <col min="6155" max="6155" width="9.1796875" style="69" customWidth="1"/>
    <col min="6156" max="6400" width="0" style="69" hidden="1"/>
    <col min="6401" max="6401" width="0" style="69" hidden="1" customWidth="1"/>
    <col min="6402" max="6402" width="22.7265625" style="69" customWidth="1"/>
    <col min="6403" max="6408" width="13" style="69" customWidth="1"/>
    <col min="6409" max="6410" width="13.54296875" style="69" customWidth="1"/>
    <col min="6411" max="6411" width="9.1796875" style="69" customWidth="1"/>
    <col min="6412" max="6656" width="0" style="69" hidden="1"/>
    <col min="6657" max="6657" width="0" style="69" hidden="1" customWidth="1"/>
    <col min="6658" max="6658" width="22.7265625" style="69" customWidth="1"/>
    <col min="6659" max="6664" width="13" style="69" customWidth="1"/>
    <col min="6665" max="6666" width="13.54296875" style="69" customWidth="1"/>
    <col min="6667" max="6667" width="9.1796875" style="69" customWidth="1"/>
    <col min="6668" max="6912" width="0" style="69" hidden="1"/>
    <col min="6913" max="6913" width="0" style="69" hidden="1" customWidth="1"/>
    <col min="6914" max="6914" width="22.7265625" style="69" customWidth="1"/>
    <col min="6915" max="6920" width="13" style="69" customWidth="1"/>
    <col min="6921" max="6922" width="13.54296875" style="69" customWidth="1"/>
    <col min="6923" max="6923" width="9.1796875" style="69" customWidth="1"/>
    <col min="6924" max="7168" width="0" style="69" hidden="1"/>
    <col min="7169" max="7169" width="0" style="69" hidden="1" customWidth="1"/>
    <col min="7170" max="7170" width="22.7265625" style="69" customWidth="1"/>
    <col min="7171" max="7176" width="13" style="69" customWidth="1"/>
    <col min="7177" max="7178" width="13.54296875" style="69" customWidth="1"/>
    <col min="7179" max="7179" width="9.1796875" style="69" customWidth="1"/>
    <col min="7180" max="7424" width="0" style="69" hidden="1"/>
    <col min="7425" max="7425" width="0" style="69" hidden="1" customWidth="1"/>
    <col min="7426" max="7426" width="22.7265625" style="69" customWidth="1"/>
    <col min="7427" max="7432" width="13" style="69" customWidth="1"/>
    <col min="7433" max="7434" width="13.54296875" style="69" customWidth="1"/>
    <col min="7435" max="7435" width="9.1796875" style="69" customWidth="1"/>
    <col min="7436" max="7680" width="0" style="69" hidden="1"/>
    <col min="7681" max="7681" width="0" style="69" hidden="1" customWidth="1"/>
    <col min="7682" max="7682" width="22.7265625" style="69" customWidth="1"/>
    <col min="7683" max="7688" width="13" style="69" customWidth="1"/>
    <col min="7689" max="7690" width="13.54296875" style="69" customWidth="1"/>
    <col min="7691" max="7691" width="9.1796875" style="69" customWidth="1"/>
    <col min="7692" max="7936" width="0" style="69" hidden="1"/>
    <col min="7937" max="7937" width="0" style="69" hidden="1" customWidth="1"/>
    <col min="7938" max="7938" width="22.7265625" style="69" customWidth="1"/>
    <col min="7939" max="7944" width="13" style="69" customWidth="1"/>
    <col min="7945" max="7946" width="13.54296875" style="69" customWidth="1"/>
    <col min="7947" max="7947" width="9.1796875" style="69" customWidth="1"/>
    <col min="7948" max="8192" width="0" style="69" hidden="1"/>
    <col min="8193" max="8193" width="0" style="69" hidden="1" customWidth="1"/>
    <col min="8194" max="8194" width="22.7265625" style="69" customWidth="1"/>
    <col min="8195" max="8200" width="13" style="69" customWidth="1"/>
    <col min="8201" max="8202" width="13.54296875" style="69" customWidth="1"/>
    <col min="8203" max="8203" width="9.1796875" style="69" customWidth="1"/>
    <col min="8204" max="8448" width="0" style="69" hidden="1"/>
    <col min="8449" max="8449" width="0" style="69" hidden="1" customWidth="1"/>
    <col min="8450" max="8450" width="22.7265625" style="69" customWidth="1"/>
    <col min="8451" max="8456" width="13" style="69" customWidth="1"/>
    <col min="8457" max="8458" width="13.54296875" style="69" customWidth="1"/>
    <col min="8459" max="8459" width="9.1796875" style="69" customWidth="1"/>
    <col min="8460" max="8704" width="0" style="69" hidden="1"/>
    <col min="8705" max="8705" width="0" style="69" hidden="1" customWidth="1"/>
    <col min="8706" max="8706" width="22.7265625" style="69" customWidth="1"/>
    <col min="8707" max="8712" width="13" style="69" customWidth="1"/>
    <col min="8713" max="8714" width="13.54296875" style="69" customWidth="1"/>
    <col min="8715" max="8715" width="9.1796875" style="69" customWidth="1"/>
    <col min="8716" max="8960" width="0" style="69" hidden="1"/>
    <col min="8961" max="8961" width="0" style="69" hidden="1" customWidth="1"/>
    <col min="8962" max="8962" width="22.7265625" style="69" customWidth="1"/>
    <col min="8963" max="8968" width="13" style="69" customWidth="1"/>
    <col min="8969" max="8970" width="13.54296875" style="69" customWidth="1"/>
    <col min="8971" max="8971" width="9.1796875" style="69" customWidth="1"/>
    <col min="8972" max="9216" width="0" style="69" hidden="1"/>
    <col min="9217" max="9217" width="0" style="69" hidden="1" customWidth="1"/>
    <col min="9218" max="9218" width="22.7265625" style="69" customWidth="1"/>
    <col min="9219" max="9224" width="13" style="69" customWidth="1"/>
    <col min="9225" max="9226" width="13.54296875" style="69" customWidth="1"/>
    <col min="9227" max="9227" width="9.1796875" style="69" customWidth="1"/>
    <col min="9228" max="9472" width="0" style="69" hidden="1"/>
    <col min="9473" max="9473" width="0" style="69" hidden="1" customWidth="1"/>
    <col min="9474" max="9474" width="22.7265625" style="69" customWidth="1"/>
    <col min="9475" max="9480" width="13" style="69" customWidth="1"/>
    <col min="9481" max="9482" width="13.54296875" style="69" customWidth="1"/>
    <col min="9483" max="9483" width="9.1796875" style="69" customWidth="1"/>
    <col min="9484" max="9728" width="0" style="69" hidden="1"/>
    <col min="9729" max="9729" width="0" style="69" hidden="1" customWidth="1"/>
    <col min="9730" max="9730" width="22.7265625" style="69" customWidth="1"/>
    <col min="9731" max="9736" width="13" style="69" customWidth="1"/>
    <col min="9737" max="9738" width="13.54296875" style="69" customWidth="1"/>
    <col min="9739" max="9739" width="9.1796875" style="69" customWidth="1"/>
    <col min="9740" max="9984" width="0" style="69" hidden="1"/>
    <col min="9985" max="9985" width="0" style="69" hidden="1" customWidth="1"/>
    <col min="9986" max="9986" width="22.7265625" style="69" customWidth="1"/>
    <col min="9987" max="9992" width="13" style="69" customWidth="1"/>
    <col min="9993" max="9994" width="13.54296875" style="69" customWidth="1"/>
    <col min="9995" max="9995" width="9.1796875" style="69" customWidth="1"/>
    <col min="9996" max="10240" width="0" style="69" hidden="1"/>
    <col min="10241" max="10241" width="0" style="69" hidden="1" customWidth="1"/>
    <col min="10242" max="10242" width="22.7265625" style="69" customWidth="1"/>
    <col min="10243" max="10248" width="13" style="69" customWidth="1"/>
    <col min="10249" max="10250" width="13.54296875" style="69" customWidth="1"/>
    <col min="10251" max="10251" width="9.1796875" style="69" customWidth="1"/>
    <col min="10252" max="10496" width="0" style="69" hidden="1"/>
    <col min="10497" max="10497" width="0" style="69" hidden="1" customWidth="1"/>
    <col min="10498" max="10498" width="22.7265625" style="69" customWidth="1"/>
    <col min="10499" max="10504" width="13" style="69" customWidth="1"/>
    <col min="10505" max="10506" width="13.54296875" style="69" customWidth="1"/>
    <col min="10507" max="10507" width="9.1796875" style="69" customWidth="1"/>
    <col min="10508" max="10752" width="0" style="69" hidden="1"/>
    <col min="10753" max="10753" width="0" style="69" hidden="1" customWidth="1"/>
    <col min="10754" max="10754" width="22.7265625" style="69" customWidth="1"/>
    <col min="10755" max="10760" width="13" style="69" customWidth="1"/>
    <col min="10761" max="10762" width="13.54296875" style="69" customWidth="1"/>
    <col min="10763" max="10763" width="9.1796875" style="69" customWidth="1"/>
    <col min="10764" max="11008" width="0" style="69" hidden="1"/>
    <col min="11009" max="11009" width="0" style="69" hidden="1" customWidth="1"/>
    <col min="11010" max="11010" width="22.7265625" style="69" customWidth="1"/>
    <col min="11011" max="11016" width="13" style="69" customWidth="1"/>
    <col min="11017" max="11018" width="13.54296875" style="69" customWidth="1"/>
    <col min="11019" max="11019" width="9.1796875" style="69" customWidth="1"/>
    <col min="11020" max="11264" width="0" style="69" hidden="1"/>
    <col min="11265" max="11265" width="0" style="69" hidden="1" customWidth="1"/>
    <col min="11266" max="11266" width="22.7265625" style="69" customWidth="1"/>
    <col min="11267" max="11272" width="13" style="69" customWidth="1"/>
    <col min="11273" max="11274" width="13.54296875" style="69" customWidth="1"/>
    <col min="11275" max="11275" width="9.1796875" style="69" customWidth="1"/>
    <col min="11276" max="11520" width="0" style="69" hidden="1"/>
    <col min="11521" max="11521" width="0" style="69" hidden="1" customWidth="1"/>
    <col min="11522" max="11522" width="22.7265625" style="69" customWidth="1"/>
    <col min="11523" max="11528" width="13" style="69" customWidth="1"/>
    <col min="11529" max="11530" width="13.54296875" style="69" customWidth="1"/>
    <col min="11531" max="11531" width="9.1796875" style="69" customWidth="1"/>
    <col min="11532" max="11776" width="0" style="69" hidden="1"/>
    <col min="11777" max="11777" width="0" style="69" hidden="1" customWidth="1"/>
    <col min="11778" max="11778" width="22.7265625" style="69" customWidth="1"/>
    <col min="11779" max="11784" width="13" style="69" customWidth="1"/>
    <col min="11785" max="11786" width="13.54296875" style="69" customWidth="1"/>
    <col min="11787" max="11787" width="9.1796875" style="69" customWidth="1"/>
    <col min="11788" max="12032" width="0" style="69" hidden="1"/>
    <col min="12033" max="12033" width="0" style="69" hidden="1" customWidth="1"/>
    <col min="12034" max="12034" width="22.7265625" style="69" customWidth="1"/>
    <col min="12035" max="12040" width="13" style="69" customWidth="1"/>
    <col min="12041" max="12042" width="13.54296875" style="69" customWidth="1"/>
    <col min="12043" max="12043" width="9.1796875" style="69" customWidth="1"/>
    <col min="12044" max="12288" width="0" style="69" hidden="1"/>
    <col min="12289" max="12289" width="0" style="69" hidden="1" customWidth="1"/>
    <col min="12290" max="12290" width="22.7265625" style="69" customWidth="1"/>
    <col min="12291" max="12296" width="13" style="69" customWidth="1"/>
    <col min="12297" max="12298" width="13.54296875" style="69" customWidth="1"/>
    <col min="12299" max="12299" width="9.1796875" style="69" customWidth="1"/>
    <col min="12300" max="12544" width="0" style="69" hidden="1"/>
    <col min="12545" max="12545" width="0" style="69" hidden="1" customWidth="1"/>
    <col min="12546" max="12546" width="22.7265625" style="69" customWidth="1"/>
    <col min="12547" max="12552" width="13" style="69" customWidth="1"/>
    <col min="12553" max="12554" width="13.54296875" style="69" customWidth="1"/>
    <col min="12555" max="12555" width="9.1796875" style="69" customWidth="1"/>
    <col min="12556" max="12800" width="0" style="69" hidden="1"/>
    <col min="12801" max="12801" width="0" style="69" hidden="1" customWidth="1"/>
    <col min="12802" max="12802" width="22.7265625" style="69" customWidth="1"/>
    <col min="12803" max="12808" width="13" style="69" customWidth="1"/>
    <col min="12809" max="12810" width="13.54296875" style="69" customWidth="1"/>
    <col min="12811" max="12811" width="9.1796875" style="69" customWidth="1"/>
    <col min="12812" max="13056" width="0" style="69" hidden="1"/>
    <col min="13057" max="13057" width="0" style="69" hidden="1" customWidth="1"/>
    <col min="13058" max="13058" width="22.7265625" style="69" customWidth="1"/>
    <col min="13059" max="13064" width="13" style="69" customWidth="1"/>
    <col min="13065" max="13066" width="13.54296875" style="69" customWidth="1"/>
    <col min="13067" max="13067" width="9.1796875" style="69" customWidth="1"/>
    <col min="13068" max="13312" width="0" style="69" hidden="1"/>
    <col min="13313" max="13313" width="0" style="69" hidden="1" customWidth="1"/>
    <col min="13314" max="13314" width="22.7265625" style="69" customWidth="1"/>
    <col min="13315" max="13320" width="13" style="69" customWidth="1"/>
    <col min="13321" max="13322" width="13.54296875" style="69" customWidth="1"/>
    <col min="13323" max="13323" width="9.1796875" style="69" customWidth="1"/>
    <col min="13324" max="13568" width="0" style="69" hidden="1"/>
    <col min="13569" max="13569" width="0" style="69" hidden="1" customWidth="1"/>
    <col min="13570" max="13570" width="22.7265625" style="69" customWidth="1"/>
    <col min="13571" max="13576" width="13" style="69" customWidth="1"/>
    <col min="13577" max="13578" width="13.54296875" style="69" customWidth="1"/>
    <col min="13579" max="13579" width="9.1796875" style="69" customWidth="1"/>
    <col min="13580" max="13824" width="0" style="69" hidden="1"/>
    <col min="13825" max="13825" width="0" style="69" hidden="1" customWidth="1"/>
    <col min="13826" max="13826" width="22.7265625" style="69" customWidth="1"/>
    <col min="13827" max="13832" width="13" style="69" customWidth="1"/>
    <col min="13833" max="13834" width="13.54296875" style="69" customWidth="1"/>
    <col min="13835" max="13835" width="9.1796875" style="69" customWidth="1"/>
    <col min="13836" max="14080" width="0" style="69" hidden="1"/>
    <col min="14081" max="14081" width="0" style="69" hidden="1" customWidth="1"/>
    <col min="14082" max="14082" width="22.7265625" style="69" customWidth="1"/>
    <col min="14083" max="14088" width="13" style="69" customWidth="1"/>
    <col min="14089" max="14090" width="13.54296875" style="69" customWidth="1"/>
    <col min="14091" max="14091" width="9.1796875" style="69" customWidth="1"/>
    <col min="14092" max="14336" width="0" style="69" hidden="1"/>
    <col min="14337" max="14337" width="0" style="69" hidden="1" customWidth="1"/>
    <col min="14338" max="14338" width="22.7265625" style="69" customWidth="1"/>
    <col min="14339" max="14344" width="13" style="69" customWidth="1"/>
    <col min="14345" max="14346" width="13.54296875" style="69" customWidth="1"/>
    <col min="14347" max="14347" width="9.1796875" style="69" customWidth="1"/>
    <col min="14348" max="14592" width="0" style="69" hidden="1"/>
    <col min="14593" max="14593" width="0" style="69" hidden="1" customWidth="1"/>
    <col min="14594" max="14594" width="22.7265625" style="69" customWidth="1"/>
    <col min="14595" max="14600" width="13" style="69" customWidth="1"/>
    <col min="14601" max="14602" width="13.54296875" style="69" customWidth="1"/>
    <col min="14603" max="14603" width="9.1796875" style="69" customWidth="1"/>
    <col min="14604" max="14848" width="0" style="69" hidden="1"/>
    <col min="14849" max="14849" width="0" style="69" hidden="1" customWidth="1"/>
    <col min="14850" max="14850" width="22.7265625" style="69" customWidth="1"/>
    <col min="14851" max="14856" width="13" style="69" customWidth="1"/>
    <col min="14857" max="14858" width="13.54296875" style="69" customWidth="1"/>
    <col min="14859" max="14859" width="9.1796875" style="69" customWidth="1"/>
    <col min="14860" max="15104" width="0" style="69" hidden="1"/>
    <col min="15105" max="15105" width="0" style="69" hidden="1" customWidth="1"/>
    <col min="15106" max="15106" width="22.7265625" style="69" customWidth="1"/>
    <col min="15107" max="15112" width="13" style="69" customWidth="1"/>
    <col min="15113" max="15114" width="13.54296875" style="69" customWidth="1"/>
    <col min="15115" max="15115" width="9.1796875" style="69" customWidth="1"/>
    <col min="15116" max="15360" width="0" style="69" hidden="1"/>
    <col min="15361" max="15361" width="0" style="69" hidden="1" customWidth="1"/>
    <col min="15362" max="15362" width="22.7265625" style="69" customWidth="1"/>
    <col min="15363" max="15368" width="13" style="69" customWidth="1"/>
    <col min="15369" max="15370" width="13.54296875" style="69" customWidth="1"/>
    <col min="15371" max="15371" width="9.1796875" style="69" customWidth="1"/>
    <col min="15372" max="15616" width="0" style="69" hidden="1"/>
    <col min="15617" max="15617" width="0" style="69" hidden="1" customWidth="1"/>
    <col min="15618" max="15618" width="22.7265625" style="69" customWidth="1"/>
    <col min="15619" max="15624" width="13" style="69" customWidth="1"/>
    <col min="15625" max="15626" width="13.54296875" style="69" customWidth="1"/>
    <col min="15627" max="15627" width="9.1796875" style="69" customWidth="1"/>
    <col min="15628" max="15872" width="0" style="69" hidden="1"/>
    <col min="15873" max="15873" width="0" style="69" hidden="1" customWidth="1"/>
    <col min="15874" max="15874" width="22.7265625" style="69" customWidth="1"/>
    <col min="15875" max="15880" width="13" style="69" customWidth="1"/>
    <col min="15881" max="15882" width="13.54296875" style="69" customWidth="1"/>
    <col min="15883" max="15883" width="9.1796875" style="69" customWidth="1"/>
    <col min="15884" max="16128" width="0" style="69" hidden="1"/>
    <col min="16129" max="16129" width="0" style="69" hidden="1" customWidth="1"/>
    <col min="16130" max="16130" width="22.7265625" style="69" customWidth="1"/>
    <col min="16131" max="16136" width="13" style="69" customWidth="1"/>
    <col min="16137" max="16138" width="13.54296875" style="69" customWidth="1"/>
    <col min="16139" max="16139" width="9.1796875" style="69" customWidth="1"/>
    <col min="16140" max="16384" width="0" style="69" hidden="1"/>
  </cols>
  <sheetData>
    <row r="1" spans="1:19" ht="39.75" customHeight="1" x14ac:dyDescent="0.35">
      <c r="B1" s="149" t="s">
        <v>87</v>
      </c>
      <c r="C1" s="150"/>
      <c r="D1" s="150"/>
      <c r="E1" s="150"/>
      <c r="F1" s="150"/>
      <c r="G1" s="150"/>
      <c r="H1" s="150"/>
      <c r="I1" s="150"/>
      <c r="J1" s="151"/>
    </row>
    <row r="2" spans="1:19" ht="30" customHeight="1" x14ac:dyDescent="0.35">
      <c r="B2" s="83"/>
      <c r="C2" s="70" t="s">
        <v>72</v>
      </c>
      <c r="D2" s="70" t="s">
        <v>73</v>
      </c>
      <c r="E2" s="70" t="s">
        <v>74</v>
      </c>
      <c r="F2" s="70" t="s">
        <v>75</v>
      </c>
      <c r="G2" s="70" t="s">
        <v>76</v>
      </c>
      <c r="H2" s="70" t="s">
        <v>77</v>
      </c>
      <c r="I2" s="70" t="s">
        <v>78</v>
      </c>
      <c r="J2" s="71" t="s">
        <v>1</v>
      </c>
      <c r="L2" s="70"/>
      <c r="M2" s="70"/>
      <c r="N2" s="85"/>
      <c r="O2" s="85"/>
      <c r="P2" s="85"/>
      <c r="Q2" s="85"/>
      <c r="R2" s="70"/>
      <c r="S2" s="71"/>
    </row>
    <row r="3" spans="1:19" s="36" customFormat="1" ht="26.25" customHeight="1" x14ac:dyDescent="0.35">
      <c r="A3" s="38"/>
      <c r="B3" s="37" t="s">
        <v>80</v>
      </c>
      <c r="C3" s="72">
        <v>140.96</v>
      </c>
      <c r="D3" s="72">
        <v>183.5</v>
      </c>
      <c r="E3" s="72">
        <v>558</v>
      </c>
      <c r="F3" s="72">
        <v>1453.6</v>
      </c>
      <c r="G3" s="72">
        <v>4127.49</v>
      </c>
      <c r="H3" s="72">
        <v>3754.16</v>
      </c>
      <c r="I3" s="72">
        <v>16990.839520000001</v>
      </c>
      <c r="J3" s="72">
        <v>27208.54952</v>
      </c>
      <c r="K3" s="73"/>
      <c r="L3" s="86"/>
      <c r="M3" s="86"/>
      <c r="N3" s="86"/>
      <c r="O3" s="86"/>
      <c r="P3" s="86"/>
      <c r="Q3" s="86"/>
      <c r="R3" s="86"/>
      <c r="S3" s="86"/>
    </row>
    <row r="4" spans="1:19" s="37" customFormat="1" ht="26.25" customHeight="1" x14ac:dyDescent="0.35">
      <c r="A4" s="38"/>
      <c r="B4" s="37" t="s">
        <v>55</v>
      </c>
      <c r="C4" s="74">
        <v>110.96</v>
      </c>
      <c r="D4" s="74">
        <v>143.5</v>
      </c>
      <c r="E4" s="74">
        <v>386</v>
      </c>
      <c r="F4" s="74">
        <v>1035.5999999999999</v>
      </c>
      <c r="G4" s="74">
        <v>2307.13</v>
      </c>
      <c r="H4" s="74">
        <v>2109.16</v>
      </c>
      <c r="I4" s="74">
        <v>8735.4595200000003</v>
      </c>
      <c r="J4" s="74">
        <v>14827.809520000003</v>
      </c>
      <c r="L4" s="86"/>
      <c r="M4" s="86"/>
      <c r="N4" s="86"/>
      <c r="O4" s="86"/>
      <c r="P4" s="86"/>
      <c r="Q4" s="86"/>
      <c r="R4" s="86"/>
      <c r="S4" s="86"/>
    </row>
    <row r="5" spans="1:19" s="50" customFormat="1" ht="14" x14ac:dyDescent="0.35">
      <c r="A5" s="40">
        <v>51</v>
      </c>
      <c r="B5" s="50" t="s">
        <v>7</v>
      </c>
      <c r="C5" s="75">
        <v>3</v>
      </c>
      <c r="D5" s="75">
        <v>2</v>
      </c>
      <c r="E5" s="75">
        <v>6</v>
      </c>
      <c r="F5" s="75">
        <v>24</v>
      </c>
      <c r="G5" s="75">
        <v>75.33</v>
      </c>
      <c r="H5" s="75">
        <v>51</v>
      </c>
      <c r="I5" s="75">
        <v>413.33</v>
      </c>
      <c r="J5" s="76">
        <v>574.66</v>
      </c>
      <c r="K5" s="45"/>
      <c r="L5" s="86"/>
      <c r="M5" s="86"/>
      <c r="N5" s="86"/>
      <c r="O5" s="86"/>
      <c r="P5" s="86"/>
      <c r="Q5" s="86"/>
      <c r="R5" s="86"/>
      <c r="S5" s="86"/>
    </row>
    <row r="6" spans="1:19" s="50" customFormat="1" ht="14" x14ac:dyDescent="0.35">
      <c r="A6" s="40">
        <v>52</v>
      </c>
      <c r="B6" s="50" t="s">
        <v>8</v>
      </c>
      <c r="C6" s="75">
        <v>3</v>
      </c>
      <c r="D6" s="75">
        <v>5</v>
      </c>
      <c r="E6" s="75">
        <v>10</v>
      </c>
      <c r="F6" s="75">
        <v>18</v>
      </c>
      <c r="G6" s="75">
        <v>35</v>
      </c>
      <c r="H6" s="75">
        <v>49</v>
      </c>
      <c r="I6" s="75">
        <v>178</v>
      </c>
      <c r="J6" s="76">
        <v>298</v>
      </c>
      <c r="K6" s="45"/>
      <c r="L6" s="86"/>
      <c r="M6" s="86"/>
      <c r="N6" s="86"/>
      <c r="O6" s="86"/>
      <c r="P6" s="86"/>
      <c r="Q6" s="86"/>
      <c r="R6" s="86"/>
      <c r="S6" s="86"/>
    </row>
    <row r="7" spans="1:19" s="50" customFormat="1" ht="14" x14ac:dyDescent="0.35">
      <c r="A7" s="40">
        <v>86</v>
      </c>
      <c r="B7" s="50" t="s">
        <v>9</v>
      </c>
      <c r="C7" s="75">
        <v>4</v>
      </c>
      <c r="D7" s="75">
        <v>2</v>
      </c>
      <c r="E7" s="75">
        <v>12</v>
      </c>
      <c r="F7" s="75">
        <v>23</v>
      </c>
      <c r="G7" s="75">
        <v>58</v>
      </c>
      <c r="H7" s="75">
        <v>70</v>
      </c>
      <c r="I7" s="75">
        <v>233</v>
      </c>
      <c r="J7" s="76">
        <v>402</v>
      </c>
      <c r="K7" s="45"/>
      <c r="L7" s="86"/>
      <c r="M7" s="86"/>
      <c r="N7" s="86"/>
      <c r="O7" s="86"/>
      <c r="P7" s="86"/>
      <c r="Q7" s="86"/>
      <c r="R7" s="86"/>
      <c r="S7" s="86"/>
    </row>
    <row r="8" spans="1:19" s="50" customFormat="1" ht="14" x14ac:dyDescent="0.35">
      <c r="A8" s="40">
        <v>53</v>
      </c>
      <c r="B8" s="50" t="s">
        <v>10</v>
      </c>
      <c r="C8" s="75">
        <v>3</v>
      </c>
      <c r="D8" s="75">
        <v>2</v>
      </c>
      <c r="E8" s="75">
        <v>10</v>
      </c>
      <c r="F8" s="75">
        <v>24</v>
      </c>
      <c r="G8" s="75">
        <v>51</v>
      </c>
      <c r="H8" s="75">
        <v>53</v>
      </c>
      <c r="I8" s="75">
        <v>190</v>
      </c>
      <c r="J8" s="76">
        <v>333</v>
      </c>
      <c r="K8" s="45"/>
      <c r="L8" s="86"/>
      <c r="M8" s="86"/>
      <c r="N8" s="86"/>
      <c r="O8" s="86"/>
      <c r="P8" s="86"/>
      <c r="Q8" s="86"/>
      <c r="R8" s="86"/>
      <c r="S8" s="86"/>
    </row>
    <row r="9" spans="1:19" s="50" customFormat="1" ht="14" x14ac:dyDescent="0.35">
      <c r="A9" s="40">
        <v>54</v>
      </c>
      <c r="B9" s="50" t="s">
        <v>11</v>
      </c>
      <c r="C9" s="75">
        <v>3</v>
      </c>
      <c r="D9" s="75">
        <v>3</v>
      </c>
      <c r="E9" s="75">
        <v>9</v>
      </c>
      <c r="F9" s="75">
        <v>30</v>
      </c>
      <c r="G9" s="75">
        <v>27</v>
      </c>
      <c r="H9" s="75">
        <v>27</v>
      </c>
      <c r="I9" s="75">
        <v>129</v>
      </c>
      <c r="J9" s="76">
        <v>228</v>
      </c>
      <c r="K9" s="45"/>
      <c r="L9" s="86"/>
      <c r="M9" s="86"/>
      <c r="N9" s="86"/>
      <c r="O9" s="86"/>
      <c r="P9" s="86"/>
      <c r="Q9" s="86"/>
      <c r="R9" s="86"/>
      <c r="S9" s="86"/>
    </row>
    <row r="10" spans="1:19" s="50" customFormat="1" ht="14" x14ac:dyDescent="0.35">
      <c r="A10" s="40">
        <v>55</v>
      </c>
      <c r="B10" s="50" t="s">
        <v>12</v>
      </c>
      <c r="C10" s="75">
        <v>3</v>
      </c>
      <c r="D10" s="75">
        <v>3</v>
      </c>
      <c r="E10" s="75">
        <v>9</v>
      </c>
      <c r="F10" s="75">
        <v>33</v>
      </c>
      <c r="G10" s="75">
        <v>62</v>
      </c>
      <c r="H10" s="75">
        <v>70</v>
      </c>
      <c r="I10" s="75">
        <v>298</v>
      </c>
      <c r="J10" s="76">
        <v>478</v>
      </c>
      <c r="K10" s="45"/>
      <c r="L10" s="86"/>
      <c r="M10" s="86"/>
      <c r="N10" s="86"/>
      <c r="O10" s="86"/>
      <c r="P10" s="86"/>
      <c r="Q10" s="86"/>
      <c r="R10" s="86"/>
      <c r="S10" s="86"/>
    </row>
    <row r="11" spans="1:19" s="50" customFormat="1" ht="14" x14ac:dyDescent="0.35">
      <c r="A11" s="40">
        <v>56</v>
      </c>
      <c r="B11" s="50" t="s">
        <v>13</v>
      </c>
      <c r="C11" s="75">
        <v>1</v>
      </c>
      <c r="D11" s="75">
        <v>3</v>
      </c>
      <c r="E11" s="75">
        <v>5</v>
      </c>
      <c r="F11" s="75">
        <v>14</v>
      </c>
      <c r="G11" s="75">
        <v>52</v>
      </c>
      <c r="H11" s="75">
        <v>79</v>
      </c>
      <c r="I11" s="75">
        <v>280</v>
      </c>
      <c r="J11" s="76">
        <v>434</v>
      </c>
      <c r="K11" s="45"/>
      <c r="L11" s="86"/>
      <c r="M11" s="86"/>
      <c r="N11" s="86"/>
      <c r="O11" s="86"/>
      <c r="P11" s="86"/>
      <c r="Q11" s="86"/>
      <c r="R11" s="86"/>
      <c r="S11" s="86"/>
    </row>
    <row r="12" spans="1:19" s="50" customFormat="1" ht="14" x14ac:dyDescent="0.35">
      <c r="A12" s="40">
        <v>57</v>
      </c>
      <c r="B12" s="50" t="s">
        <v>14</v>
      </c>
      <c r="C12" s="75">
        <v>3</v>
      </c>
      <c r="D12" s="75">
        <v>5</v>
      </c>
      <c r="E12" s="75">
        <v>11</v>
      </c>
      <c r="F12" s="75">
        <v>14</v>
      </c>
      <c r="G12" s="75">
        <v>37</v>
      </c>
      <c r="H12" s="75">
        <v>21</v>
      </c>
      <c r="I12" s="75">
        <v>113</v>
      </c>
      <c r="J12" s="76">
        <v>204</v>
      </c>
      <c r="K12" s="45"/>
      <c r="L12" s="86"/>
      <c r="M12" s="86"/>
      <c r="N12" s="86"/>
      <c r="O12" s="86"/>
      <c r="P12" s="86"/>
      <c r="Q12" s="86"/>
      <c r="R12" s="86"/>
      <c r="S12" s="86"/>
    </row>
    <row r="13" spans="1:19" s="50" customFormat="1" ht="14" x14ac:dyDescent="0.35">
      <c r="A13" s="40">
        <v>59</v>
      </c>
      <c r="B13" s="50" t="s">
        <v>15</v>
      </c>
      <c r="C13" s="75">
        <v>3</v>
      </c>
      <c r="D13" s="75">
        <v>3</v>
      </c>
      <c r="E13" s="75">
        <v>11</v>
      </c>
      <c r="F13" s="75">
        <v>15</v>
      </c>
      <c r="G13" s="75">
        <v>23</v>
      </c>
      <c r="H13" s="75">
        <v>34.659999999999997</v>
      </c>
      <c r="I13" s="75">
        <v>127.49</v>
      </c>
      <c r="J13" s="76">
        <v>217.15</v>
      </c>
      <c r="K13" s="45"/>
      <c r="L13" s="86"/>
      <c r="M13" s="86"/>
      <c r="N13" s="86"/>
      <c r="O13" s="86"/>
      <c r="P13" s="86"/>
      <c r="Q13" s="86"/>
      <c r="R13" s="86"/>
      <c r="S13" s="86"/>
    </row>
    <row r="14" spans="1:19" s="50" customFormat="1" ht="14" x14ac:dyDescent="0.35">
      <c r="A14" s="40">
        <v>60</v>
      </c>
      <c r="B14" s="50" t="s">
        <v>16</v>
      </c>
      <c r="C14" s="75">
        <v>2</v>
      </c>
      <c r="D14" s="75">
        <v>3</v>
      </c>
      <c r="E14" s="75">
        <v>12</v>
      </c>
      <c r="F14" s="75">
        <v>26</v>
      </c>
      <c r="G14" s="75">
        <v>63</v>
      </c>
      <c r="H14" s="75">
        <v>63</v>
      </c>
      <c r="I14" s="75">
        <v>217</v>
      </c>
      <c r="J14" s="76">
        <v>386</v>
      </c>
      <c r="K14" s="45"/>
      <c r="L14" s="86"/>
      <c r="M14" s="86"/>
      <c r="N14" s="86"/>
      <c r="O14" s="86"/>
      <c r="P14" s="86"/>
      <c r="Q14" s="86"/>
      <c r="R14" s="86"/>
      <c r="S14" s="86"/>
    </row>
    <row r="15" spans="1:19" s="50" customFormat="1" ht="14" x14ac:dyDescent="0.35">
      <c r="A15" s="40">
        <v>61</v>
      </c>
      <c r="B15" s="77" t="s">
        <v>56</v>
      </c>
      <c r="C15" s="75">
        <v>4</v>
      </c>
      <c r="D15" s="75">
        <v>8</v>
      </c>
      <c r="E15" s="75">
        <v>38</v>
      </c>
      <c r="F15" s="75">
        <v>62.43</v>
      </c>
      <c r="G15" s="75">
        <v>121</v>
      </c>
      <c r="H15" s="75">
        <v>98</v>
      </c>
      <c r="I15" s="75">
        <v>338.5</v>
      </c>
      <c r="J15" s="76">
        <v>669.93</v>
      </c>
      <c r="K15" s="45"/>
      <c r="L15" s="86"/>
      <c r="M15" s="86"/>
      <c r="N15" s="86"/>
      <c r="O15" s="86"/>
      <c r="P15" s="86"/>
      <c r="Q15" s="86"/>
      <c r="R15" s="86"/>
      <c r="S15" s="86"/>
    </row>
    <row r="16" spans="1:19" s="50" customFormat="1" ht="14" x14ac:dyDescent="0.35">
      <c r="A16" s="40">
        <v>62</v>
      </c>
      <c r="B16" s="50" t="s">
        <v>143</v>
      </c>
      <c r="C16" s="75">
        <f>C62+C63</f>
        <v>6</v>
      </c>
      <c r="D16" s="75">
        <f t="shared" ref="D16:J16" si="0">D62+D63</f>
        <v>8</v>
      </c>
      <c r="E16" s="75">
        <f t="shared" si="0"/>
        <v>22</v>
      </c>
      <c r="F16" s="75">
        <f t="shared" si="0"/>
        <v>42</v>
      </c>
      <c r="G16" s="75">
        <f t="shared" si="0"/>
        <v>77</v>
      </c>
      <c r="H16" s="75">
        <f t="shared" si="0"/>
        <v>68</v>
      </c>
      <c r="I16" s="75">
        <f t="shared" si="0"/>
        <v>248</v>
      </c>
      <c r="J16" s="76">
        <f t="shared" si="0"/>
        <v>471</v>
      </c>
      <c r="K16" s="45"/>
      <c r="L16" s="86"/>
      <c r="M16" s="86"/>
      <c r="N16" s="86"/>
      <c r="O16" s="86"/>
      <c r="P16" s="86"/>
      <c r="Q16" s="86"/>
      <c r="R16" s="86"/>
      <c r="S16" s="86"/>
    </row>
    <row r="17" spans="1:262" s="50" customFormat="1" ht="14" x14ac:dyDescent="0.35">
      <c r="A17" s="40">
        <v>58</v>
      </c>
      <c r="B17" s="50" t="s">
        <v>19</v>
      </c>
      <c r="C17" s="75">
        <v>1</v>
      </c>
      <c r="D17" s="75">
        <v>4</v>
      </c>
      <c r="E17" s="75">
        <v>6</v>
      </c>
      <c r="F17" s="75">
        <v>27</v>
      </c>
      <c r="G17" s="75">
        <v>56</v>
      </c>
      <c r="H17" s="75">
        <v>54</v>
      </c>
      <c r="I17" s="75">
        <v>202</v>
      </c>
      <c r="J17" s="76">
        <v>350</v>
      </c>
      <c r="K17" s="45"/>
      <c r="L17" s="86"/>
      <c r="M17" s="86"/>
      <c r="N17" s="86"/>
      <c r="O17" s="86"/>
      <c r="P17" s="86"/>
      <c r="Q17" s="86"/>
      <c r="R17" s="86"/>
      <c r="S17" s="86"/>
    </row>
    <row r="18" spans="1:262" s="50" customFormat="1" ht="14.5" thickBot="1" x14ac:dyDescent="0.4">
      <c r="A18" s="40">
        <v>63</v>
      </c>
      <c r="B18" s="50" t="s">
        <v>20</v>
      </c>
      <c r="C18" s="75">
        <v>2.76</v>
      </c>
      <c r="D18" s="75">
        <v>3</v>
      </c>
      <c r="E18" s="75">
        <v>16</v>
      </c>
      <c r="F18" s="75">
        <v>29</v>
      </c>
      <c r="G18" s="75">
        <v>47</v>
      </c>
      <c r="H18" s="75">
        <v>65</v>
      </c>
      <c r="I18" s="75">
        <v>249</v>
      </c>
      <c r="J18" s="76">
        <v>411.76</v>
      </c>
      <c r="K18" s="45"/>
      <c r="L18" s="86"/>
      <c r="M18" s="86"/>
      <c r="N18" s="86"/>
      <c r="O18" s="86"/>
      <c r="P18" s="86"/>
      <c r="Q18" s="86"/>
      <c r="R18" s="86"/>
      <c r="S18" s="86"/>
    </row>
    <row r="19" spans="1:262" s="50" customFormat="1" ht="14" x14ac:dyDescent="0.35">
      <c r="A19" s="40">
        <v>64</v>
      </c>
      <c r="B19" s="50" t="s">
        <v>21</v>
      </c>
      <c r="C19" s="75">
        <v>4</v>
      </c>
      <c r="D19" s="75">
        <v>9</v>
      </c>
      <c r="E19" s="75">
        <v>15</v>
      </c>
      <c r="F19" s="75">
        <v>45</v>
      </c>
      <c r="G19" s="75">
        <v>151</v>
      </c>
      <c r="H19" s="75">
        <v>103</v>
      </c>
      <c r="I19" s="75">
        <v>485</v>
      </c>
      <c r="J19" s="76">
        <v>812</v>
      </c>
      <c r="K19" s="45"/>
      <c r="L19" s="86"/>
      <c r="M19" s="86"/>
      <c r="N19" s="86"/>
      <c r="O19" s="86"/>
      <c r="P19" s="86"/>
      <c r="Q19" s="86"/>
      <c r="R19" s="86"/>
      <c r="S19" s="86"/>
      <c r="JB19" s="122"/>
    </row>
    <row r="20" spans="1:262" s="50" customFormat="1" ht="14" x14ac:dyDescent="0.35">
      <c r="A20" s="40">
        <v>65</v>
      </c>
      <c r="B20" s="50" t="s">
        <v>22</v>
      </c>
      <c r="C20" s="75">
        <v>2</v>
      </c>
      <c r="D20" s="75">
        <v>4</v>
      </c>
      <c r="E20" s="75">
        <v>4</v>
      </c>
      <c r="F20" s="75">
        <v>21</v>
      </c>
      <c r="G20" s="75">
        <v>31</v>
      </c>
      <c r="H20" s="75">
        <v>27</v>
      </c>
      <c r="I20" s="75">
        <v>115.5</v>
      </c>
      <c r="J20" s="76">
        <v>204.5</v>
      </c>
      <c r="K20" s="45"/>
      <c r="L20" s="86"/>
      <c r="M20" s="86"/>
      <c r="N20" s="86"/>
      <c r="O20" s="86"/>
      <c r="P20" s="86"/>
      <c r="Q20" s="86"/>
      <c r="R20" s="86"/>
      <c r="S20" s="86"/>
      <c r="JB20" s="121"/>
    </row>
    <row r="21" spans="1:262" s="50" customFormat="1" ht="14" x14ac:dyDescent="0.35">
      <c r="A21" s="40">
        <v>67</v>
      </c>
      <c r="B21" s="50" t="s">
        <v>25</v>
      </c>
      <c r="C21" s="75">
        <v>4</v>
      </c>
      <c r="D21" s="75">
        <v>6</v>
      </c>
      <c r="E21" s="75">
        <v>23</v>
      </c>
      <c r="F21" s="75">
        <v>54.5</v>
      </c>
      <c r="G21" s="75">
        <v>103</v>
      </c>
      <c r="H21" s="75">
        <v>97</v>
      </c>
      <c r="I21" s="75">
        <v>439.5</v>
      </c>
      <c r="J21" s="76">
        <v>727</v>
      </c>
      <c r="K21" s="45"/>
      <c r="L21" s="86"/>
      <c r="M21" s="86"/>
      <c r="N21" s="86"/>
      <c r="O21" s="86"/>
      <c r="P21" s="86"/>
      <c r="Q21" s="86"/>
      <c r="R21" s="86"/>
      <c r="S21" s="86"/>
      <c r="JB21" s="123"/>
    </row>
    <row r="22" spans="1:262" s="50" customFormat="1" ht="14" x14ac:dyDescent="0.35">
      <c r="A22" s="40">
        <v>68</v>
      </c>
      <c r="B22" s="50" t="s">
        <v>57</v>
      </c>
      <c r="C22" s="75">
        <v>3</v>
      </c>
      <c r="D22" s="75">
        <v>3</v>
      </c>
      <c r="E22" s="75">
        <v>9</v>
      </c>
      <c r="F22" s="75">
        <v>26</v>
      </c>
      <c r="G22" s="75">
        <v>59</v>
      </c>
      <c r="H22" s="75">
        <v>37</v>
      </c>
      <c r="I22" s="75">
        <v>173</v>
      </c>
      <c r="J22" s="76">
        <v>310</v>
      </c>
      <c r="K22" s="45"/>
      <c r="L22" s="86"/>
      <c r="M22" s="86"/>
      <c r="N22" s="86"/>
      <c r="O22" s="86"/>
      <c r="P22" s="86"/>
      <c r="Q22" s="86"/>
      <c r="R22" s="86"/>
      <c r="S22" s="86"/>
      <c r="JB22" s="123"/>
    </row>
    <row r="23" spans="1:262" s="50" customFormat="1" ht="14" x14ac:dyDescent="0.35">
      <c r="A23" s="40">
        <v>69</v>
      </c>
      <c r="B23" s="50" t="s">
        <v>27</v>
      </c>
      <c r="C23" s="117">
        <v>3</v>
      </c>
      <c r="D23" s="117">
        <v>3</v>
      </c>
      <c r="E23" s="117">
        <v>10.6</v>
      </c>
      <c r="F23" s="117">
        <v>20</v>
      </c>
      <c r="G23" s="117">
        <v>63</v>
      </c>
      <c r="H23" s="117">
        <v>77</v>
      </c>
      <c r="I23" s="117">
        <v>324</v>
      </c>
      <c r="J23" s="118">
        <v>500.6</v>
      </c>
      <c r="K23" s="73" t="s">
        <v>146</v>
      </c>
      <c r="L23" s="86"/>
      <c r="M23" s="86"/>
      <c r="N23" s="86"/>
      <c r="O23" s="86"/>
      <c r="P23" s="86"/>
      <c r="Q23" s="86"/>
      <c r="R23" s="86"/>
      <c r="S23" s="86"/>
      <c r="JB23" s="123"/>
    </row>
    <row r="24" spans="1:262" s="50" customFormat="1" ht="14" x14ac:dyDescent="0.35">
      <c r="A24" s="40">
        <v>70</v>
      </c>
      <c r="B24" s="50" t="s">
        <v>28</v>
      </c>
      <c r="C24" s="75">
        <v>3</v>
      </c>
      <c r="D24" s="75">
        <v>4</v>
      </c>
      <c r="E24" s="75">
        <v>13</v>
      </c>
      <c r="F24" s="75">
        <v>34</v>
      </c>
      <c r="G24" s="75">
        <v>100</v>
      </c>
      <c r="H24" s="75">
        <v>72</v>
      </c>
      <c r="I24" s="75">
        <v>355</v>
      </c>
      <c r="J24" s="76">
        <v>581</v>
      </c>
      <c r="K24" s="45"/>
      <c r="L24" s="86"/>
      <c r="M24" s="86"/>
      <c r="N24" s="86"/>
      <c r="O24" s="86"/>
      <c r="P24" s="86"/>
      <c r="Q24" s="86"/>
      <c r="R24" s="86"/>
      <c r="S24" s="86"/>
      <c r="JB24" s="123"/>
    </row>
    <row r="25" spans="1:262" s="50" customFormat="1" ht="14.5" thickBot="1" x14ac:dyDescent="0.4">
      <c r="A25" s="40">
        <v>71</v>
      </c>
      <c r="B25" s="50" t="s">
        <v>58</v>
      </c>
      <c r="C25" s="75">
        <v>2</v>
      </c>
      <c r="D25" s="75">
        <v>1</v>
      </c>
      <c r="E25" s="75">
        <v>1</v>
      </c>
      <c r="F25" s="75">
        <v>11</v>
      </c>
      <c r="G25" s="75">
        <v>10</v>
      </c>
      <c r="H25" s="75">
        <v>7</v>
      </c>
      <c r="I25" s="75">
        <v>46</v>
      </c>
      <c r="J25" s="76">
        <v>78</v>
      </c>
      <c r="K25" s="45"/>
      <c r="L25" s="86"/>
      <c r="M25" s="86"/>
      <c r="N25" s="86"/>
      <c r="O25" s="86"/>
      <c r="P25" s="86"/>
      <c r="Q25" s="86"/>
      <c r="R25" s="86"/>
      <c r="S25" s="86"/>
      <c r="JB25" s="124"/>
    </row>
    <row r="26" spans="1:262" s="50" customFormat="1" ht="14.5" thickBot="1" x14ac:dyDescent="0.4">
      <c r="A26" s="40">
        <v>73</v>
      </c>
      <c r="B26" s="50" t="s">
        <v>31</v>
      </c>
      <c r="C26" s="75">
        <v>4</v>
      </c>
      <c r="D26" s="75">
        <v>6</v>
      </c>
      <c r="E26" s="75">
        <v>17</v>
      </c>
      <c r="F26" s="75">
        <v>74</v>
      </c>
      <c r="G26" s="75">
        <v>113</v>
      </c>
      <c r="H26" s="75">
        <v>120</v>
      </c>
      <c r="I26" s="75">
        <v>490</v>
      </c>
      <c r="J26" s="76">
        <v>824</v>
      </c>
      <c r="K26" s="45"/>
      <c r="L26" s="86"/>
      <c r="M26" s="86"/>
      <c r="N26" s="86"/>
      <c r="O26" s="86"/>
      <c r="P26" s="86"/>
      <c r="Q26" s="86"/>
      <c r="R26" s="86"/>
      <c r="S26" s="86"/>
      <c r="JB26" s="125"/>
    </row>
    <row r="27" spans="1:262" s="50" customFormat="1" ht="14" x14ac:dyDescent="0.35">
      <c r="A27" s="40">
        <v>74</v>
      </c>
      <c r="B27" s="50" t="s">
        <v>32</v>
      </c>
      <c r="C27" s="75">
        <v>3</v>
      </c>
      <c r="D27" s="75">
        <v>4</v>
      </c>
      <c r="E27" s="75">
        <v>10</v>
      </c>
      <c r="F27" s="75">
        <v>36</v>
      </c>
      <c r="G27" s="75">
        <v>120</v>
      </c>
      <c r="H27" s="75">
        <v>114</v>
      </c>
      <c r="I27" s="75">
        <v>484</v>
      </c>
      <c r="J27" s="76">
        <v>771</v>
      </c>
      <c r="K27" s="45"/>
      <c r="L27" s="86"/>
      <c r="M27" s="86"/>
      <c r="N27" s="86"/>
      <c r="O27" s="86"/>
      <c r="P27" s="86"/>
      <c r="Q27" s="86"/>
      <c r="R27" s="86"/>
      <c r="S27" s="86"/>
    </row>
    <row r="28" spans="1:262" s="50" customFormat="1" ht="14" x14ac:dyDescent="0.35">
      <c r="A28" s="40">
        <v>75</v>
      </c>
      <c r="B28" s="50" t="s">
        <v>33</v>
      </c>
      <c r="C28" s="75">
        <v>3</v>
      </c>
      <c r="D28" s="75">
        <v>4</v>
      </c>
      <c r="E28" s="75">
        <v>6</v>
      </c>
      <c r="F28" s="75">
        <v>24</v>
      </c>
      <c r="G28" s="75">
        <v>74</v>
      </c>
      <c r="H28" s="75">
        <v>66</v>
      </c>
      <c r="I28" s="75">
        <v>276.5</v>
      </c>
      <c r="J28" s="76">
        <v>453.5</v>
      </c>
      <c r="K28" s="45"/>
      <c r="L28" s="86"/>
      <c r="M28" s="86"/>
      <c r="N28" s="86"/>
      <c r="O28" s="86"/>
      <c r="P28" s="86"/>
      <c r="Q28" s="86"/>
      <c r="R28" s="86"/>
      <c r="S28" s="86"/>
    </row>
    <row r="29" spans="1:262" s="50" customFormat="1" ht="14" x14ac:dyDescent="0.35">
      <c r="A29" s="40">
        <v>76</v>
      </c>
      <c r="B29" s="50" t="s">
        <v>34</v>
      </c>
      <c r="C29" s="75">
        <v>3</v>
      </c>
      <c r="D29" s="75">
        <v>4</v>
      </c>
      <c r="E29" s="75">
        <v>10</v>
      </c>
      <c r="F29" s="75">
        <v>24.9</v>
      </c>
      <c r="G29" s="75">
        <v>42.8</v>
      </c>
      <c r="H29" s="75">
        <v>40</v>
      </c>
      <c r="I29" s="75">
        <v>71</v>
      </c>
      <c r="J29" s="76">
        <v>195.7</v>
      </c>
      <c r="K29" s="45"/>
      <c r="L29" s="86"/>
      <c r="M29" s="86"/>
      <c r="N29" s="86"/>
      <c r="O29" s="86"/>
      <c r="P29" s="86"/>
      <c r="Q29" s="86"/>
      <c r="R29" s="86"/>
      <c r="S29" s="86"/>
    </row>
    <row r="30" spans="1:262" s="50" customFormat="1" ht="14" x14ac:dyDescent="0.35">
      <c r="A30" s="40">
        <v>79</v>
      </c>
      <c r="B30" s="50" t="s">
        <v>36</v>
      </c>
      <c r="C30" s="75">
        <v>2</v>
      </c>
      <c r="D30" s="75">
        <v>2</v>
      </c>
      <c r="E30" s="75">
        <v>7</v>
      </c>
      <c r="F30" s="75">
        <v>24</v>
      </c>
      <c r="G30" s="75">
        <v>41</v>
      </c>
      <c r="H30" s="75">
        <v>31</v>
      </c>
      <c r="I30" s="75">
        <v>156</v>
      </c>
      <c r="J30" s="76">
        <v>263</v>
      </c>
      <c r="K30" s="45"/>
      <c r="L30" s="86"/>
      <c r="M30" s="86"/>
      <c r="N30" s="86"/>
      <c r="O30" s="86"/>
      <c r="P30" s="86"/>
      <c r="Q30" s="86"/>
      <c r="R30" s="86"/>
      <c r="S30" s="86"/>
    </row>
    <row r="31" spans="1:262" s="50" customFormat="1" ht="14" x14ac:dyDescent="0.35">
      <c r="A31" s="40"/>
      <c r="B31" s="67" t="s">
        <v>81</v>
      </c>
      <c r="C31" s="68" t="s">
        <v>64</v>
      </c>
      <c r="D31" s="68" t="s">
        <v>64</v>
      </c>
      <c r="E31" s="68" t="s">
        <v>64</v>
      </c>
      <c r="F31" s="68" t="s">
        <v>64</v>
      </c>
      <c r="G31" s="68" t="s">
        <v>64</v>
      </c>
      <c r="H31" s="68" t="s">
        <v>64</v>
      </c>
      <c r="I31" s="68" t="s">
        <v>64</v>
      </c>
      <c r="J31" s="68" t="s">
        <v>64</v>
      </c>
      <c r="K31" s="45"/>
      <c r="L31" s="86"/>
      <c r="M31" s="86"/>
      <c r="N31" s="86"/>
      <c r="O31" s="86"/>
      <c r="P31" s="86"/>
      <c r="Q31" s="86"/>
      <c r="R31" s="86"/>
      <c r="S31" s="86"/>
    </row>
    <row r="32" spans="1:262" s="50" customFormat="1" ht="14" x14ac:dyDescent="0.35">
      <c r="A32" s="40">
        <v>80</v>
      </c>
      <c r="B32" s="50" t="s">
        <v>38</v>
      </c>
      <c r="C32" s="75">
        <v>3</v>
      </c>
      <c r="D32" s="75">
        <v>3</v>
      </c>
      <c r="E32" s="75">
        <v>9</v>
      </c>
      <c r="F32" s="75">
        <v>20</v>
      </c>
      <c r="G32" s="75">
        <v>45</v>
      </c>
      <c r="H32" s="75">
        <v>50</v>
      </c>
      <c r="I32" s="75">
        <v>200</v>
      </c>
      <c r="J32" s="76">
        <v>330</v>
      </c>
      <c r="K32" s="45"/>
      <c r="L32" s="86"/>
      <c r="M32" s="86"/>
      <c r="N32" s="86"/>
      <c r="O32" s="86"/>
      <c r="P32" s="86"/>
      <c r="Q32" s="86"/>
      <c r="R32" s="86"/>
      <c r="S32" s="86"/>
    </row>
    <row r="33" spans="1:19" s="50" customFormat="1" ht="14" x14ac:dyDescent="0.35">
      <c r="A33" s="40">
        <v>81</v>
      </c>
      <c r="B33" s="50" t="s">
        <v>39</v>
      </c>
      <c r="C33" s="75">
        <v>3</v>
      </c>
      <c r="D33" s="75">
        <v>3</v>
      </c>
      <c r="E33" s="75">
        <v>10</v>
      </c>
      <c r="F33" s="75">
        <v>25</v>
      </c>
      <c r="G33" s="75">
        <v>43</v>
      </c>
      <c r="H33" s="75">
        <v>37</v>
      </c>
      <c r="I33" s="75">
        <v>158</v>
      </c>
      <c r="J33" s="76">
        <v>279</v>
      </c>
      <c r="K33" s="45"/>
      <c r="L33" s="86"/>
      <c r="M33" s="86"/>
      <c r="N33" s="86"/>
      <c r="O33" s="86"/>
      <c r="P33" s="86"/>
      <c r="Q33" s="86"/>
      <c r="R33" s="86"/>
      <c r="S33" s="86"/>
    </row>
    <row r="34" spans="1:19" s="50" customFormat="1" ht="14" x14ac:dyDescent="0.35">
      <c r="A34" s="40">
        <v>83</v>
      </c>
      <c r="B34" s="50" t="s">
        <v>40</v>
      </c>
      <c r="C34" s="75">
        <v>3</v>
      </c>
      <c r="D34" s="75">
        <v>2</v>
      </c>
      <c r="E34" s="75">
        <v>6</v>
      </c>
      <c r="F34" s="75">
        <v>11</v>
      </c>
      <c r="G34" s="75">
        <v>22</v>
      </c>
      <c r="H34" s="75">
        <v>22</v>
      </c>
      <c r="I34" s="75">
        <v>85</v>
      </c>
      <c r="J34" s="76">
        <v>151</v>
      </c>
      <c r="K34" s="45"/>
      <c r="L34" s="86"/>
      <c r="M34" s="86"/>
      <c r="N34" s="86"/>
      <c r="O34" s="86"/>
      <c r="P34" s="86"/>
      <c r="Q34" s="86"/>
      <c r="R34" s="86"/>
      <c r="S34" s="86"/>
    </row>
    <row r="35" spans="1:19" s="50" customFormat="1" ht="14" x14ac:dyDescent="0.35">
      <c r="A35" s="40">
        <v>84</v>
      </c>
      <c r="B35" s="50" t="s">
        <v>41</v>
      </c>
      <c r="C35" s="75">
        <v>3</v>
      </c>
      <c r="D35" s="75">
        <v>3</v>
      </c>
      <c r="E35" s="75">
        <v>6</v>
      </c>
      <c r="F35" s="75">
        <v>28</v>
      </c>
      <c r="G35" s="75">
        <v>85</v>
      </c>
      <c r="H35" s="75">
        <v>74</v>
      </c>
      <c r="I35" s="75">
        <v>341.5</v>
      </c>
      <c r="J35" s="76">
        <v>540.5</v>
      </c>
      <c r="K35" s="45"/>
      <c r="L35" s="86"/>
      <c r="M35" s="86"/>
      <c r="N35" s="86"/>
      <c r="O35" s="86"/>
      <c r="P35" s="86"/>
      <c r="Q35" s="86"/>
      <c r="R35" s="86"/>
      <c r="S35" s="86"/>
    </row>
    <row r="36" spans="1:19" s="50" customFormat="1" ht="14" x14ac:dyDescent="0.35">
      <c r="A36" s="40">
        <v>85</v>
      </c>
      <c r="B36" s="50" t="s">
        <v>42</v>
      </c>
      <c r="C36" s="75">
        <v>3</v>
      </c>
      <c r="D36" s="75">
        <v>4</v>
      </c>
      <c r="E36" s="75">
        <v>10</v>
      </c>
      <c r="F36" s="75">
        <v>32.57</v>
      </c>
      <c r="G36" s="75">
        <v>58</v>
      </c>
      <c r="H36" s="75">
        <v>24</v>
      </c>
      <c r="I36" s="75">
        <v>115</v>
      </c>
      <c r="J36" s="76">
        <v>246.57</v>
      </c>
      <c r="K36" s="45"/>
      <c r="L36" s="86"/>
      <c r="M36" s="86"/>
      <c r="N36" s="86"/>
      <c r="O36" s="86"/>
      <c r="P36" s="86"/>
      <c r="Q36" s="86"/>
      <c r="R36" s="86"/>
      <c r="S36" s="86"/>
    </row>
    <row r="37" spans="1:19" s="50" customFormat="1" ht="14" x14ac:dyDescent="0.35">
      <c r="A37" s="40">
        <v>87</v>
      </c>
      <c r="B37" s="50" t="s">
        <v>43</v>
      </c>
      <c r="C37" s="75">
        <v>4</v>
      </c>
      <c r="D37" s="75">
        <v>4</v>
      </c>
      <c r="E37" s="75">
        <v>5</v>
      </c>
      <c r="F37" s="75">
        <v>12</v>
      </c>
      <c r="G37" s="75">
        <v>27</v>
      </c>
      <c r="H37" s="75">
        <v>24</v>
      </c>
      <c r="I37" s="75">
        <v>113</v>
      </c>
      <c r="J37" s="76">
        <v>189</v>
      </c>
      <c r="K37" s="45"/>
      <c r="L37" s="86"/>
      <c r="M37" s="86"/>
      <c r="N37" s="86"/>
      <c r="O37" s="86"/>
      <c r="P37" s="86"/>
      <c r="Q37" s="86"/>
      <c r="R37" s="86"/>
      <c r="S37" s="86"/>
    </row>
    <row r="38" spans="1:19" s="50" customFormat="1" ht="14" x14ac:dyDescent="0.35">
      <c r="A38" s="40">
        <v>90</v>
      </c>
      <c r="B38" s="50" t="s">
        <v>45</v>
      </c>
      <c r="C38" s="75">
        <v>2</v>
      </c>
      <c r="D38" s="75">
        <v>3</v>
      </c>
      <c r="E38" s="75">
        <v>7</v>
      </c>
      <c r="F38" s="75">
        <v>32</v>
      </c>
      <c r="G38" s="75">
        <v>65</v>
      </c>
      <c r="H38" s="75">
        <v>63</v>
      </c>
      <c r="I38" s="75">
        <v>249</v>
      </c>
      <c r="J38" s="76">
        <v>421</v>
      </c>
      <c r="K38" s="45"/>
      <c r="L38" s="86"/>
      <c r="M38" s="86"/>
      <c r="N38" s="86"/>
      <c r="O38" s="86"/>
      <c r="P38" s="86"/>
      <c r="Q38" s="86"/>
      <c r="R38" s="86"/>
      <c r="S38" s="86"/>
    </row>
    <row r="39" spans="1:19" s="50" customFormat="1" ht="14" x14ac:dyDescent="0.35">
      <c r="A39" s="40">
        <v>91</v>
      </c>
      <c r="B39" s="50" t="s">
        <v>46</v>
      </c>
      <c r="C39" s="75">
        <v>4</v>
      </c>
      <c r="D39" s="75">
        <v>4</v>
      </c>
      <c r="E39" s="75">
        <v>10</v>
      </c>
      <c r="F39" s="75">
        <v>17</v>
      </c>
      <c r="G39" s="75">
        <v>47</v>
      </c>
      <c r="H39" s="75">
        <v>28</v>
      </c>
      <c r="I39" s="75">
        <v>117</v>
      </c>
      <c r="J39" s="76">
        <v>227</v>
      </c>
      <c r="K39" s="45"/>
      <c r="L39" s="86"/>
      <c r="M39" s="86"/>
      <c r="N39" s="86"/>
      <c r="O39" s="86"/>
      <c r="P39" s="86"/>
      <c r="Q39" s="86"/>
      <c r="R39" s="86"/>
      <c r="S39" s="86"/>
    </row>
    <row r="40" spans="1:19" s="50" customFormat="1" ht="14" x14ac:dyDescent="0.35">
      <c r="A40" s="40">
        <v>92</v>
      </c>
      <c r="B40" s="50" t="s">
        <v>47</v>
      </c>
      <c r="C40" s="75">
        <v>3</v>
      </c>
      <c r="D40" s="75">
        <v>7.5</v>
      </c>
      <c r="E40" s="75">
        <v>10</v>
      </c>
      <c r="F40" s="75">
        <v>36.200000000000003</v>
      </c>
      <c r="G40" s="75">
        <v>90</v>
      </c>
      <c r="H40" s="75">
        <v>98.5</v>
      </c>
      <c r="I40" s="75">
        <v>348.5</v>
      </c>
      <c r="J40" s="76">
        <v>593.70000000000005</v>
      </c>
      <c r="K40" s="45"/>
      <c r="L40" s="86"/>
      <c r="M40" s="86"/>
      <c r="N40" s="86"/>
      <c r="O40" s="86"/>
      <c r="P40" s="86"/>
      <c r="Q40" s="86"/>
      <c r="R40" s="86"/>
      <c r="S40" s="86"/>
    </row>
    <row r="41" spans="1:19" s="50" customFormat="1" ht="14" x14ac:dyDescent="0.35">
      <c r="A41" s="40">
        <v>94</v>
      </c>
      <c r="B41" s="50" t="s">
        <v>49</v>
      </c>
      <c r="C41" s="75">
        <v>3</v>
      </c>
      <c r="D41" s="75">
        <v>4</v>
      </c>
      <c r="E41" s="75">
        <v>6</v>
      </c>
      <c r="F41" s="75">
        <v>14</v>
      </c>
      <c r="G41" s="75">
        <v>49</v>
      </c>
      <c r="H41" s="75">
        <v>37</v>
      </c>
      <c r="I41" s="75">
        <v>166.80951999999999</v>
      </c>
      <c r="J41" s="76">
        <v>279.80952000000002</v>
      </c>
      <c r="K41" s="45"/>
      <c r="L41" s="86"/>
      <c r="M41" s="86"/>
      <c r="N41" s="86"/>
      <c r="O41" s="86"/>
      <c r="P41" s="86"/>
      <c r="Q41" s="86"/>
      <c r="R41" s="86"/>
      <c r="S41" s="86"/>
    </row>
    <row r="42" spans="1:19" s="50" customFormat="1" ht="14" x14ac:dyDescent="0.35">
      <c r="A42" s="40">
        <v>96</v>
      </c>
      <c r="B42" s="50" t="s">
        <v>51</v>
      </c>
      <c r="C42" s="75">
        <v>2</v>
      </c>
      <c r="D42" s="75">
        <v>3</v>
      </c>
      <c r="E42" s="75">
        <v>5</v>
      </c>
      <c r="F42" s="75">
        <v>27</v>
      </c>
      <c r="G42" s="75">
        <v>56</v>
      </c>
      <c r="H42" s="75">
        <v>57</v>
      </c>
      <c r="I42" s="75">
        <v>207.5</v>
      </c>
      <c r="J42" s="76">
        <v>357.5</v>
      </c>
      <c r="K42" s="45"/>
      <c r="L42" s="86"/>
      <c r="M42" s="86"/>
      <c r="N42" s="86"/>
      <c r="O42" s="86"/>
      <c r="P42" s="86"/>
      <c r="Q42" s="86"/>
      <c r="R42" s="86"/>
      <c r="S42" s="86"/>
    </row>
    <row r="43" spans="1:19" s="50" customFormat="1" ht="14" x14ac:dyDescent="0.35">
      <c r="A43" s="40">
        <v>72</v>
      </c>
      <c r="B43" s="50" t="s">
        <v>30</v>
      </c>
      <c r="C43" s="75">
        <v>0.2</v>
      </c>
      <c r="D43" s="75">
        <v>0</v>
      </c>
      <c r="E43" s="75">
        <v>0</v>
      </c>
      <c r="F43" s="75">
        <v>1</v>
      </c>
      <c r="G43" s="75">
        <v>2</v>
      </c>
      <c r="H43" s="75">
        <v>2</v>
      </c>
      <c r="I43" s="75">
        <v>6</v>
      </c>
      <c r="J43" s="76">
        <v>11.2</v>
      </c>
      <c r="K43" s="45"/>
      <c r="L43" s="86"/>
      <c r="M43" s="86"/>
      <c r="N43" s="86"/>
      <c r="O43" s="86"/>
      <c r="P43" s="86"/>
      <c r="Q43" s="86"/>
      <c r="R43" s="86"/>
      <c r="S43" s="86"/>
    </row>
    <row r="44" spans="1:19" s="37" customFormat="1" ht="26.25" customHeight="1" x14ac:dyDescent="0.35">
      <c r="A44" s="38"/>
      <c r="B44" s="37" t="s">
        <v>59</v>
      </c>
      <c r="C44" s="39">
        <v>30</v>
      </c>
      <c r="D44" s="39">
        <v>40</v>
      </c>
      <c r="E44" s="39">
        <v>172</v>
      </c>
      <c r="F44" s="39">
        <v>418</v>
      </c>
      <c r="G44" s="39">
        <v>1820.36</v>
      </c>
      <c r="H44" s="39">
        <v>1645</v>
      </c>
      <c r="I44" s="39">
        <v>8255.3799999999992</v>
      </c>
      <c r="J44" s="39">
        <v>12380.74</v>
      </c>
      <c r="K44" s="45"/>
      <c r="L44" s="86"/>
      <c r="M44" s="86"/>
      <c r="N44" s="86"/>
      <c r="O44" s="86"/>
      <c r="P44" s="86"/>
      <c r="Q44" s="86"/>
      <c r="R44" s="86"/>
      <c r="S44" s="86"/>
    </row>
    <row r="45" spans="1:19" s="50" customFormat="1" ht="14" x14ac:dyDescent="0.35">
      <c r="A45" s="40">
        <v>66</v>
      </c>
      <c r="B45" s="50" t="s">
        <v>24</v>
      </c>
      <c r="C45" s="75">
        <v>4</v>
      </c>
      <c r="D45" s="75">
        <v>6</v>
      </c>
      <c r="E45" s="75">
        <v>21</v>
      </c>
      <c r="F45" s="75">
        <v>61</v>
      </c>
      <c r="G45" s="75">
        <v>208</v>
      </c>
      <c r="H45" s="87">
        <v>189</v>
      </c>
      <c r="I45" s="75">
        <v>1098</v>
      </c>
      <c r="J45" s="76">
        <v>1587</v>
      </c>
      <c r="K45" s="45"/>
      <c r="L45" s="86"/>
      <c r="M45" s="86"/>
      <c r="N45" s="86"/>
      <c r="O45" s="86"/>
      <c r="P45" s="86"/>
      <c r="Q45" s="86"/>
      <c r="R45" s="86"/>
      <c r="S45" s="86"/>
    </row>
    <row r="46" spans="1:19" s="50" customFormat="1" ht="14" x14ac:dyDescent="0.35">
      <c r="A46" s="40">
        <v>78</v>
      </c>
      <c r="B46" s="50" t="s">
        <v>35</v>
      </c>
      <c r="C46" s="75">
        <v>2</v>
      </c>
      <c r="D46" s="75">
        <v>3</v>
      </c>
      <c r="E46" s="75">
        <v>10</v>
      </c>
      <c r="F46" s="75">
        <v>20</v>
      </c>
      <c r="G46" s="87">
        <v>151</v>
      </c>
      <c r="H46" s="87">
        <v>58</v>
      </c>
      <c r="I46" s="75">
        <v>557</v>
      </c>
      <c r="J46" s="76">
        <v>801</v>
      </c>
      <c r="K46" s="45"/>
      <c r="L46" s="86"/>
      <c r="M46" s="86"/>
      <c r="N46" s="86"/>
      <c r="O46" s="86"/>
      <c r="P46" s="86"/>
      <c r="Q46" s="86"/>
      <c r="R46" s="86"/>
      <c r="S46" s="86"/>
    </row>
    <row r="47" spans="1:19" s="50" customFormat="1" ht="14" x14ac:dyDescent="0.35">
      <c r="A47" s="40">
        <v>89</v>
      </c>
      <c r="B47" s="50" t="s">
        <v>44</v>
      </c>
      <c r="C47" s="75">
        <v>3</v>
      </c>
      <c r="D47" s="75">
        <v>3</v>
      </c>
      <c r="E47" s="75">
        <v>9</v>
      </c>
      <c r="F47" s="75">
        <v>32</v>
      </c>
      <c r="G47" s="87">
        <v>115</v>
      </c>
      <c r="H47" s="87">
        <v>92</v>
      </c>
      <c r="I47" s="75">
        <v>433</v>
      </c>
      <c r="J47" s="76">
        <v>687</v>
      </c>
      <c r="K47" s="45"/>
      <c r="L47" s="86"/>
      <c r="M47" s="86"/>
      <c r="N47" s="86"/>
      <c r="O47" s="86"/>
      <c r="P47" s="86"/>
      <c r="Q47" s="86"/>
      <c r="R47" s="86"/>
      <c r="S47" s="86"/>
    </row>
    <row r="48" spans="1:19" s="50" customFormat="1" ht="14" x14ac:dyDescent="0.35">
      <c r="A48" s="40">
        <v>93</v>
      </c>
      <c r="B48" s="50" t="s">
        <v>60</v>
      </c>
      <c r="C48" s="75">
        <v>4</v>
      </c>
      <c r="D48" s="75">
        <v>4</v>
      </c>
      <c r="E48" s="75">
        <v>21</v>
      </c>
      <c r="F48" s="75">
        <v>19</v>
      </c>
      <c r="G48" s="87">
        <v>125</v>
      </c>
      <c r="H48" s="87">
        <v>125</v>
      </c>
      <c r="I48" s="75">
        <v>485</v>
      </c>
      <c r="J48" s="76">
        <v>783</v>
      </c>
      <c r="K48" s="45"/>
      <c r="L48" s="86"/>
      <c r="M48" s="86"/>
      <c r="N48" s="86"/>
      <c r="O48" s="86"/>
      <c r="P48" s="86"/>
      <c r="Q48" s="86"/>
      <c r="R48" s="86"/>
      <c r="S48" s="86"/>
    </row>
    <row r="49" spans="1:19" s="50" customFormat="1" ht="14" x14ac:dyDescent="0.35">
      <c r="A49" s="40">
        <v>95</v>
      </c>
      <c r="B49" s="50" t="s">
        <v>50</v>
      </c>
      <c r="C49" s="75">
        <v>4</v>
      </c>
      <c r="D49" s="75">
        <v>7</v>
      </c>
      <c r="E49" s="75">
        <v>18</v>
      </c>
      <c r="F49" s="75">
        <v>50</v>
      </c>
      <c r="G49" s="87">
        <v>254</v>
      </c>
      <c r="H49" s="87">
        <v>237</v>
      </c>
      <c r="I49" s="75">
        <v>1055</v>
      </c>
      <c r="J49" s="76">
        <v>1625</v>
      </c>
      <c r="K49" s="45"/>
      <c r="L49" s="86"/>
      <c r="M49" s="86"/>
      <c r="N49" s="86"/>
      <c r="O49" s="86"/>
      <c r="P49" s="86"/>
      <c r="Q49" s="86"/>
      <c r="R49" s="86"/>
      <c r="S49" s="86"/>
    </row>
    <row r="50" spans="1:19" s="50" customFormat="1" ht="14" x14ac:dyDescent="0.35">
      <c r="A50" s="40">
        <v>97</v>
      </c>
      <c r="B50" s="50" t="s">
        <v>52</v>
      </c>
      <c r="C50" s="75">
        <v>4</v>
      </c>
      <c r="D50" s="75">
        <v>4</v>
      </c>
      <c r="E50" s="75">
        <v>13</v>
      </c>
      <c r="F50" s="75">
        <v>52</v>
      </c>
      <c r="G50" s="75">
        <v>198</v>
      </c>
      <c r="H50" s="75">
        <v>211</v>
      </c>
      <c r="I50" s="75">
        <v>791</v>
      </c>
      <c r="J50" s="76">
        <v>1273</v>
      </c>
      <c r="K50" s="45"/>
      <c r="L50" s="86"/>
      <c r="M50" s="86"/>
      <c r="N50" s="86"/>
      <c r="O50" s="86"/>
      <c r="P50" s="86"/>
      <c r="Q50" s="86"/>
      <c r="R50" s="86"/>
      <c r="S50" s="86"/>
    </row>
    <row r="51" spans="1:19" s="50" customFormat="1" ht="14" x14ac:dyDescent="0.35">
      <c r="A51" s="50">
        <v>77</v>
      </c>
      <c r="B51" s="44" t="s">
        <v>23</v>
      </c>
      <c r="C51" s="78">
        <v>9</v>
      </c>
      <c r="D51" s="78">
        <v>13</v>
      </c>
      <c r="E51" s="78">
        <v>80</v>
      </c>
      <c r="F51" s="78">
        <v>184</v>
      </c>
      <c r="G51" s="78">
        <v>769.36</v>
      </c>
      <c r="H51" s="78">
        <v>733</v>
      </c>
      <c r="I51" s="78">
        <v>3836.38</v>
      </c>
      <c r="J51" s="79">
        <v>5624.74</v>
      </c>
      <c r="K51" s="45"/>
      <c r="L51" s="86"/>
      <c r="M51" s="86"/>
      <c r="N51" s="86"/>
      <c r="O51" s="86"/>
      <c r="P51" s="86"/>
      <c r="Q51" s="86"/>
      <c r="R51" s="86"/>
      <c r="S51" s="86"/>
    </row>
    <row r="52" spans="1:19" s="81" customFormat="1" x14ac:dyDescent="0.35">
      <c r="A52" s="40"/>
      <c r="B52" s="69"/>
      <c r="C52" s="82"/>
      <c r="D52" s="82"/>
      <c r="E52" s="84"/>
      <c r="F52" s="84"/>
      <c r="G52" s="80"/>
      <c r="H52" s="80"/>
      <c r="I52" s="80"/>
      <c r="J52" s="80"/>
    </row>
    <row r="53" spans="1:19" s="50" customFormat="1" ht="12.5" x14ac:dyDescent="0.35">
      <c r="A53" s="40"/>
      <c r="B53" s="50" t="s">
        <v>88</v>
      </c>
      <c r="H53" s="45"/>
    </row>
    <row r="54" spans="1:19" s="50" customFormat="1" ht="12.5" x14ac:dyDescent="0.35">
      <c r="A54" s="40"/>
      <c r="H54" s="45"/>
    </row>
    <row r="55" spans="1:19" s="50" customFormat="1" ht="12.5" x14ac:dyDescent="0.35">
      <c r="A55" s="40"/>
      <c r="B55" s="63" t="s">
        <v>71</v>
      </c>
      <c r="D55" s="45"/>
      <c r="E55" s="45"/>
    </row>
    <row r="56" spans="1:19" x14ac:dyDescent="0.35">
      <c r="I56" s="82"/>
      <c r="J56" s="82"/>
    </row>
    <row r="57" spans="1:19" x14ac:dyDescent="0.35">
      <c r="H57" s="82"/>
    </row>
    <row r="58" spans="1:19" x14ac:dyDescent="0.35">
      <c r="C58" s="88"/>
      <c r="D58" s="48"/>
      <c r="E58" s="48"/>
    </row>
    <row r="59" spans="1:19" x14ac:dyDescent="0.35">
      <c r="C59" s="88"/>
      <c r="D59" s="48"/>
      <c r="E59" s="48"/>
    </row>
    <row r="62" spans="1:19" x14ac:dyDescent="0.35">
      <c r="B62" s="50" t="s">
        <v>18</v>
      </c>
      <c r="C62" s="75">
        <v>3</v>
      </c>
      <c r="D62" s="75">
        <v>3</v>
      </c>
      <c r="E62" s="75">
        <v>9</v>
      </c>
      <c r="F62" s="75">
        <v>21</v>
      </c>
      <c r="G62" s="75">
        <v>41</v>
      </c>
      <c r="H62" s="75">
        <v>40</v>
      </c>
      <c r="I62" s="75">
        <v>150</v>
      </c>
      <c r="J62" s="76">
        <v>267</v>
      </c>
    </row>
    <row r="63" spans="1:19" x14ac:dyDescent="0.35">
      <c r="B63" s="50" t="s">
        <v>53</v>
      </c>
      <c r="C63" s="75">
        <v>3</v>
      </c>
      <c r="D63" s="75">
        <v>5</v>
      </c>
      <c r="E63" s="75">
        <v>13</v>
      </c>
      <c r="F63" s="75">
        <v>21</v>
      </c>
      <c r="G63" s="75">
        <v>36</v>
      </c>
      <c r="H63" s="75">
        <v>28</v>
      </c>
      <c r="I63" s="75">
        <v>98</v>
      </c>
      <c r="J63" s="76">
        <v>204</v>
      </c>
    </row>
  </sheetData>
  <mergeCells count="1">
    <mergeCell ref="B1:J1"/>
  </mergeCells>
  <conditionalFormatting sqref="L3:S51">
    <cfRule type="cellIs" dxfId="19" priority="1" stopIfTrue="1" operator="greaterThan">
      <formula>0.5</formula>
    </cfRule>
    <cfRule type="cellIs" dxfId="18" priority="2" stopIfTrue="1" operator="lessThan">
      <formula>-0.5</formula>
    </cfRule>
  </conditionalFormatting>
  <printOptions horizontalCentered="1" verticalCentered="1"/>
  <pageMargins left="0.43" right="0.46" top="0.33" bottom="0.25" header="0.31" footer="0.51181102362204722"/>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indexed="22"/>
    <pageSetUpPr fitToPage="1"/>
  </sheetPr>
  <dimension ref="A1:O70"/>
  <sheetViews>
    <sheetView showGridLines="0" zoomScale="85" workbookViewId="0">
      <pane xSplit="2" ySplit="2" topLeftCell="C4" activePane="bottomRight" state="frozen"/>
      <selection activeCell="A4" sqref="A4:H4"/>
      <selection pane="topRight" activeCell="A4" sqref="A4:H4"/>
      <selection pane="bottomLeft" activeCell="A4" sqref="A4:H4"/>
      <selection pane="bottomRight" activeCell="A4" sqref="A4:H4"/>
    </sheetView>
  </sheetViews>
  <sheetFormatPr defaultColWidth="0" defaultRowHeight="15.5" x14ac:dyDescent="0.35"/>
  <cols>
    <col min="1" max="1" width="4.7265625" style="40" hidden="1" customWidth="1"/>
    <col min="2" max="2" width="25.26953125" style="69" customWidth="1"/>
    <col min="3" max="8" width="13" style="69" customWidth="1"/>
    <col min="9" max="9" width="9.1796875" style="69" customWidth="1"/>
    <col min="10" max="256" width="0" style="69" hidden="1"/>
    <col min="257" max="257" width="0" style="69" hidden="1" customWidth="1"/>
    <col min="258" max="258" width="25.26953125" style="69" customWidth="1"/>
    <col min="259" max="263" width="13" style="69" customWidth="1"/>
    <col min="264" max="264" width="9.1796875" style="69" customWidth="1"/>
    <col min="265" max="511" width="0" style="69" hidden="1"/>
    <col min="512" max="512" width="0" style="69" hidden="1" customWidth="1"/>
    <col min="513" max="513" width="25.26953125" style="69" customWidth="1"/>
    <col min="514" max="519" width="13" style="69" customWidth="1"/>
    <col min="520" max="520" width="9.1796875" style="69" customWidth="1"/>
    <col min="521" max="767" width="0" style="69" hidden="1"/>
    <col min="768" max="768" width="0" style="69" hidden="1" customWidth="1"/>
    <col min="769" max="769" width="25.26953125" style="69" customWidth="1"/>
    <col min="770" max="775" width="13" style="69" customWidth="1"/>
    <col min="776" max="776" width="9.1796875" style="69" customWidth="1"/>
    <col min="777" max="1023" width="0" style="69" hidden="1"/>
    <col min="1024" max="1024" width="0" style="69" hidden="1" customWidth="1"/>
    <col min="1025" max="1025" width="25.26953125" style="69" customWidth="1"/>
    <col min="1026" max="1031" width="13" style="69" customWidth="1"/>
    <col min="1032" max="1032" width="9.1796875" style="69" customWidth="1"/>
    <col min="1033" max="1279" width="0" style="69" hidden="1"/>
    <col min="1280" max="1280" width="0" style="69" hidden="1" customWidth="1"/>
    <col min="1281" max="1281" width="25.26953125" style="69" customWidth="1"/>
    <col min="1282" max="1287" width="13" style="69" customWidth="1"/>
    <col min="1288" max="1288" width="9.1796875" style="69" customWidth="1"/>
    <col min="1289" max="1535" width="0" style="69" hidden="1"/>
    <col min="1536" max="1536" width="0" style="69" hidden="1" customWidth="1"/>
    <col min="1537" max="1537" width="25.26953125" style="69" customWidth="1"/>
    <col min="1538" max="1543" width="13" style="69" customWidth="1"/>
    <col min="1544" max="1544" width="9.1796875" style="69" customWidth="1"/>
    <col min="1545" max="1791" width="0" style="69" hidden="1"/>
    <col min="1792" max="1792" width="0" style="69" hidden="1" customWidth="1"/>
    <col min="1793" max="1793" width="25.26953125" style="69" customWidth="1"/>
    <col min="1794" max="1799" width="13" style="69" customWidth="1"/>
    <col min="1800" max="1800" width="9.1796875" style="69" customWidth="1"/>
    <col min="1801" max="2047" width="0" style="69" hidden="1"/>
    <col min="2048" max="2048" width="0" style="69" hidden="1" customWidth="1"/>
    <col min="2049" max="2049" width="25.26953125" style="69" customWidth="1"/>
    <col min="2050" max="2055" width="13" style="69" customWidth="1"/>
    <col min="2056" max="2056" width="9.1796875" style="69" customWidth="1"/>
    <col min="2057" max="2303" width="0" style="69" hidden="1"/>
    <col min="2304" max="2304" width="0" style="69" hidden="1" customWidth="1"/>
    <col min="2305" max="2305" width="25.26953125" style="69" customWidth="1"/>
    <col min="2306" max="2311" width="13" style="69" customWidth="1"/>
    <col min="2312" max="2312" width="9.1796875" style="69" customWidth="1"/>
    <col min="2313" max="2559" width="0" style="69" hidden="1"/>
    <col min="2560" max="2560" width="0" style="69" hidden="1" customWidth="1"/>
    <col min="2561" max="2561" width="25.26953125" style="69" customWidth="1"/>
    <col min="2562" max="2567" width="13" style="69" customWidth="1"/>
    <col min="2568" max="2568" width="9.1796875" style="69" customWidth="1"/>
    <col min="2569" max="2815" width="0" style="69" hidden="1"/>
    <col min="2816" max="2816" width="0" style="69" hidden="1" customWidth="1"/>
    <col min="2817" max="2817" width="25.26953125" style="69" customWidth="1"/>
    <col min="2818" max="2823" width="13" style="69" customWidth="1"/>
    <col min="2824" max="2824" width="9.1796875" style="69" customWidth="1"/>
    <col min="2825" max="3071" width="0" style="69" hidden="1"/>
    <col min="3072" max="3072" width="0" style="69" hidden="1" customWidth="1"/>
    <col min="3073" max="3073" width="25.26953125" style="69" customWidth="1"/>
    <col min="3074" max="3079" width="13" style="69" customWidth="1"/>
    <col min="3080" max="3080" width="9.1796875" style="69" customWidth="1"/>
    <col min="3081" max="3327" width="0" style="69" hidden="1"/>
    <col min="3328" max="3328" width="0" style="69" hidden="1" customWidth="1"/>
    <col min="3329" max="3329" width="25.26953125" style="69" customWidth="1"/>
    <col min="3330" max="3335" width="13" style="69" customWidth="1"/>
    <col min="3336" max="3336" width="9.1796875" style="69" customWidth="1"/>
    <col min="3337" max="3583" width="0" style="69" hidden="1"/>
    <col min="3584" max="3584" width="0" style="69" hidden="1" customWidth="1"/>
    <col min="3585" max="3585" width="25.26953125" style="69" customWidth="1"/>
    <col min="3586" max="3591" width="13" style="69" customWidth="1"/>
    <col min="3592" max="3592" width="9.1796875" style="69" customWidth="1"/>
    <col min="3593" max="3839" width="0" style="69" hidden="1"/>
    <col min="3840" max="3840" width="0" style="69" hidden="1" customWidth="1"/>
    <col min="3841" max="3841" width="25.26953125" style="69" customWidth="1"/>
    <col min="3842" max="3847" width="13" style="69" customWidth="1"/>
    <col min="3848" max="3848" width="9.1796875" style="69" customWidth="1"/>
    <col min="3849" max="4095" width="0" style="69" hidden="1"/>
    <col min="4096" max="4096" width="0" style="69" hidden="1" customWidth="1"/>
    <col min="4097" max="4097" width="25.26953125" style="69" customWidth="1"/>
    <col min="4098" max="4103" width="13" style="69" customWidth="1"/>
    <col min="4104" max="4104" width="9.1796875" style="69" customWidth="1"/>
    <col min="4105" max="4351" width="0" style="69" hidden="1"/>
    <col min="4352" max="4352" width="0" style="69" hidden="1" customWidth="1"/>
    <col min="4353" max="4353" width="25.26953125" style="69" customWidth="1"/>
    <col min="4354" max="4359" width="13" style="69" customWidth="1"/>
    <col min="4360" max="4360" width="9.1796875" style="69" customWidth="1"/>
    <col min="4361" max="4607" width="0" style="69" hidden="1"/>
    <col min="4608" max="4608" width="0" style="69" hidden="1" customWidth="1"/>
    <col min="4609" max="4609" width="25.26953125" style="69" customWidth="1"/>
    <col min="4610" max="4615" width="13" style="69" customWidth="1"/>
    <col min="4616" max="4616" width="9.1796875" style="69" customWidth="1"/>
    <col min="4617" max="4863" width="0" style="69" hidden="1"/>
    <col min="4864" max="4864" width="0" style="69" hidden="1" customWidth="1"/>
    <col min="4865" max="4865" width="25.26953125" style="69" customWidth="1"/>
    <col min="4866" max="4871" width="13" style="69" customWidth="1"/>
    <col min="4872" max="4872" width="9.1796875" style="69" customWidth="1"/>
    <col min="4873" max="5119" width="0" style="69" hidden="1"/>
    <col min="5120" max="5120" width="0" style="69" hidden="1" customWidth="1"/>
    <col min="5121" max="5121" width="25.26953125" style="69" customWidth="1"/>
    <col min="5122" max="5127" width="13" style="69" customWidth="1"/>
    <col min="5128" max="5128" width="9.1796875" style="69" customWidth="1"/>
    <col min="5129" max="5375" width="0" style="69" hidden="1"/>
    <col min="5376" max="5376" width="0" style="69" hidden="1" customWidth="1"/>
    <col min="5377" max="5377" width="25.26953125" style="69" customWidth="1"/>
    <col min="5378" max="5383" width="13" style="69" customWidth="1"/>
    <col min="5384" max="5384" width="9.1796875" style="69" customWidth="1"/>
    <col min="5385" max="5631" width="0" style="69" hidden="1"/>
    <col min="5632" max="5632" width="0" style="69" hidden="1" customWidth="1"/>
    <col min="5633" max="5633" width="25.26953125" style="69" customWidth="1"/>
    <col min="5634" max="5639" width="13" style="69" customWidth="1"/>
    <col min="5640" max="5640" width="9.1796875" style="69" customWidth="1"/>
    <col min="5641" max="5887" width="0" style="69" hidden="1"/>
    <col min="5888" max="5888" width="0" style="69" hidden="1" customWidth="1"/>
    <col min="5889" max="5889" width="25.26953125" style="69" customWidth="1"/>
    <col min="5890" max="5895" width="13" style="69" customWidth="1"/>
    <col min="5896" max="5896" width="9.1796875" style="69" customWidth="1"/>
    <col min="5897" max="6143" width="0" style="69" hidden="1"/>
    <col min="6144" max="6144" width="0" style="69" hidden="1" customWidth="1"/>
    <col min="6145" max="6145" width="25.26953125" style="69" customWidth="1"/>
    <col min="6146" max="6151" width="13" style="69" customWidth="1"/>
    <col min="6152" max="6152" width="9.1796875" style="69" customWidth="1"/>
    <col min="6153" max="6399" width="0" style="69" hidden="1"/>
    <col min="6400" max="6400" width="0" style="69" hidden="1" customWidth="1"/>
    <col min="6401" max="6401" width="25.26953125" style="69" customWidth="1"/>
    <col min="6402" max="6407" width="13" style="69" customWidth="1"/>
    <col min="6408" max="6408" width="9.1796875" style="69" customWidth="1"/>
    <col min="6409" max="6655" width="0" style="69" hidden="1"/>
    <col min="6656" max="6656" width="0" style="69" hidden="1" customWidth="1"/>
    <col min="6657" max="6657" width="25.26953125" style="69" customWidth="1"/>
    <col min="6658" max="6663" width="13" style="69" customWidth="1"/>
    <col min="6664" max="6664" width="9.1796875" style="69" customWidth="1"/>
    <col min="6665" max="6911" width="0" style="69" hidden="1"/>
    <col min="6912" max="6912" width="0" style="69" hidden="1" customWidth="1"/>
    <col min="6913" max="6913" width="25.26953125" style="69" customWidth="1"/>
    <col min="6914" max="6919" width="13" style="69" customWidth="1"/>
    <col min="6920" max="6920" width="9.1796875" style="69" customWidth="1"/>
    <col min="6921" max="7167" width="0" style="69" hidden="1"/>
    <col min="7168" max="7168" width="0" style="69" hidden="1" customWidth="1"/>
    <col min="7169" max="7169" width="25.26953125" style="69" customWidth="1"/>
    <col min="7170" max="7175" width="13" style="69" customWidth="1"/>
    <col min="7176" max="7176" width="9.1796875" style="69" customWidth="1"/>
    <col min="7177" max="7423" width="0" style="69" hidden="1"/>
    <col min="7424" max="7424" width="0" style="69" hidden="1" customWidth="1"/>
    <col min="7425" max="7425" width="25.26953125" style="69" customWidth="1"/>
    <col min="7426" max="7431" width="13" style="69" customWidth="1"/>
    <col min="7432" max="7432" width="9.1796875" style="69" customWidth="1"/>
    <col min="7433" max="7679" width="0" style="69" hidden="1"/>
    <col min="7680" max="7680" width="0" style="69" hidden="1" customWidth="1"/>
    <col min="7681" max="7681" width="25.26953125" style="69" customWidth="1"/>
    <col min="7682" max="7687" width="13" style="69" customWidth="1"/>
    <col min="7688" max="7688" width="9.1796875" style="69" customWidth="1"/>
    <col min="7689" max="7935" width="0" style="69" hidden="1"/>
    <col min="7936" max="7936" width="0" style="69" hidden="1" customWidth="1"/>
    <col min="7937" max="7937" width="25.26953125" style="69" customWidth="1"/>
    <col min="7938" max="7943" width="13" style="69" customWidth="1"/>
    <col min="7944" max="7944" width="9.1796875" style="69" customWidth="1"/>
    <col min="7945" max="8191" width="0" style="69" hidden="1"/>
    <col min="8192" max="8192" width="0" style="69" hidden="1" customWidth="1"/>
    <col min="8193" max="8193" width="25.26953125" style="69" customWidth="1"/>
    <col min="8194" max="8199" width="13" style="69" customWidth="1"/>
    <col min="8200" max="8200" width="9.1796875" style="69" customWidth="1"/>
    <col min="8201" max="8447" width="0" style="69" hidden="1"/>
    <col min="8448" max="8448" width="0" style="69" hidden="1" customWidth="1"/>
    <col min="8449" max="8449" width="25.26953125" style="69" customWidth="1"/>
    <col min="8450" max="8455" width="13" style="69" customWidth="1"/>
    <col min="8456" max="8456" width="9.1796875" style="69" customWidth="1"/>
    <col min="8457" max="8703" width="0" style="69" hidden="1"/>
    <col min="8704" max="8704" width="0" style="69" hidden="1" customWidth="1"/>
    <col min="8705" max="8705" width="25.26953125" style="69" customWidth="1"/>
    <col min="8706" max="8711" width="13" style="69" customWidth="1"/>
    <col min="8712" max="8712" width="9.1796875" style="69" customWidth="1"/>
    <col min="8713" max="8959" width="0" style="69" hidden="1"/>
    <col min="8960" max="8960" width="0" style="69" hidden="1" customWidth="1"/>
    <col min="8961" max="8961" width="25.26953125" style="69" customWidth="1"/>
    <col min="8962" max="8967" width="13" style="69" customWidth="1"/>
    <col min="8968" max="8968" width="9.1796875" style="69" customWidth="1"/>
    <col min="8969" max="9215" width="0" style="69" hidden="1"/>
    <col min="9216" max="9216" width="0" style="69" hidden="1" customWidth="1"/>
    <col min="9217" max="9217" width="25.26953125" style="69" customWidth="1"/>
    <col min="9218" max="9223" width="13" style="69" customWidth="1"/>
    <col min="9224" max="9224" width="9.1796875" style="69" customWidth="1"/>
    <col min="9225" max="9471" width="0" style="69" hidden="1"/>
    <col min="9472" max="9472" width="0" style="69" hidden="1" customWidth="1"/>
    <col min="9473" max="9473" width="25.26953125" style="69" customWidth="1"/>
    <col min="9474" max="9479" width="13" style="69" customWidth="1"/>
    <col min="9480" max="9480" width="9.1796875" style="69" customWidth="1"/>
    <col min="9481" max="9727" width="0" style="69" hidden="1"/>
    <col min="9728" max="9728" width="0" style="69" hidden="1" customWidth="1"/>
    <col min="9729" max="9729" width="25.26953125" style="69" customWidth="1"/>
    <col min="9730" max="9735" width="13" style="69" customWidth="1"/>
    <col min="9736" max="9736" width="9.1796875" style="69" customWidth="1"/>
    <col min="9737" max="9983" width="0" style="69" hidden="1"/>
    <col min="9984" max="9984" width="0" style="69" hidden="1" customWidth="1"/>
    <col min="9985" max="9985" width="25.26953125" style="69" customWidth="1"/>
    <col min="9986" max="9991" width="13" style="69" customWidth="1"/>
    <col min="9992" max="9992" width="9.1796875" style="69" customWidth="1"/>
    <col min="9993" max="10239" width="0" style="69" hidden="1"/>
    <col min="10240" max="10240" width="0" style="69" hidden="1" customWidth="1"/>
    <col min="10241" max="10241" width="25.26953125" style="69" customWidth="1"/>
    <col min="10242" max="10247" width="13" style="69" customWidth="1"/>
    <col min="10248" max="10248" width="9.1796875" style="69" customWidth="1"/>
    <col min="10249" max="10495" width="0" style="69" hidden="1"/>
    <col min="10496" max="10496" width="0" style="69" hidden="1" customWidth="1"/>
    <col min="10497" max="10497" width="25.26953125" style="69" customWidth="1"/>
    <col min="10498" max="10503" width="13" style="69" customWidth="1"/>
    <col min="10504" max="10504" width="9.1796875" style="69" customWidth="1"/>
    <col min="10505" max="10751" width="0" style="69" hidden="1"/>
    <col min="10752" max="10752" width="0" style="69" hidden="1" customWidth="1"/>
    <col min="10753" max="10753" width="25.26953125" style="69" customWidth="1"/>
    <col min="10754" max="10759" width="13" style="69" customWidth="1"/>
    <col min="10760" max="10760" width="9.1796875" style="69" customWidth="1"/>
    <col min="10761" max="11007" width="0" style="69" hidden="1"/>
    <col min="11008" max="11008" width="0" style="69" hidden="1" customWidth="1"/>
    <col min="11009" max="11009" width="25.26953125" style="69" customWidth="1"/>
    <col min="11010" max="11015" width="13" style="69" customWidth="1"/>
    <col min="11016" max="11016" width="9.1796875" style="69" customWidth="1"/>
    <col min="11017" max="11263" width="0" style="69" hidden="1"/>
    <col min="11264" max="11264" width="0" style="69" hidden="1" customWidth="1"/>
    <col min="11265" max="11265" width="25.26953125" style="69" customWidth="1"/>
    <col min="11266" max="11271" width="13" style="69" customWidth="1"/>
    <col min="11272" max="11272" width="9.1796875" style="69" customWidth="1"/>
    <col min="11273" max="11519" width="0" style="69" hidden="1"/>
    <col min="11520" max="11520" width="0" style="69" hidden="1" customWidth="1"/>
    <col min="11521" max="11521" width="25.26953125" style="69" customWidth="1"/>
    <col min="11522" max="11527" width="13" style="69" customWidth="1"/>
    <col min="11528" max="11528" width="9.1796875" style="69" customWidth="1"/>
    <col min="11529" max="11775" width="0" style="69" hidden="1"/>
    <col min="11776" max="11776" width="0" style="69" hidden="1" customWidth="1"/>
    <col min="11777" max="11777" width="25.26953125" style="69" customWidth="1"/>
    <col min="11778" max="11783" width="13" style="69" customWidth="1"/>
    <col min="11784" max="11784" width="9.1796875" style="69" customWidth="1"/>
    <col min="11785" max="12031" width="0" style="69" hidden="1"/>
    <col min="12032" max="12032" width="0" style="69" hidden="1" customWidth="1"/>
    <col min="12033" max="12033" width="25.26953125" style="69" customWidth="1"/>
    <col min="12034" max="12039" width="13" style="69" customWidth="1"/>
    <col min="12040" max="12040" width="9.1796875" style="69" customWidth="1"/>
    <col min="12041" max="12287" width="0" style="69" hidden="1"/>
    <col min="12288" max="12288" width="0" style="69" hidden="1" customWidth="1"/>
    <col min="12289" max="12289" width="25.26953125" style="69" customWidth="1"/>
    <col min="12290" max="12295" width="13" style="69" customWidth="1"/>
    <col min="12296" max="12296" width="9.1796875" style="69" customWidth="1"/>
    <col min="12297" max="12543" width="0" style="69" hidden="1"/>
    <col min="12544" max="12544" width="0" style="69" hidden="1" customWidth="1"/>
    <col min="12545" max="12545" width="25.26953125" style="69" customWidth="1"/>
    <col min="12546" max="12551" width="13" style="69" customWidth="1"/>
    <col min="12552" max="12552" width="9.1796875" style="69" customWidth="1"/>
    <col min="12553" max="12799" width="0" style="69" hidden="1"/>
    <col min="12800" max="12800" width="0" style="69" hidden="1" customWidth="1"/>
    <col min="12801" max="12801" width="25.26953125" style="69" customWidth="1"/>
    <col min="12802" max="12807" width="13" style="69" customWidth="1"/>
    <col min="12808" max="12808" width="9.1796875" style="69" customWidth="1"/>
    <col min="12809" max="13055" width="0" style="69" hidden="1"/>
    <col min="13056" max="13056" width="0" style="69" hidden="1" customWidth="1"/>
    <col min="13057" max="13057" width="25.26953125" style="69" customWidth="1"/>
    <col min="13058" max="13063" width="13" style="69" customWidth="1"/>
    <col min="13064" max="13064" width="9.1796875" style="69" customWidth="1"/>
    <col min="13065" max="13311" width="0" style="69" hidden="1"/>
    <col min="13312" max="13312" width="0" style="69" hidden="1" customWidth="1"/>
    <col min="13313" max="13313" width="25.26953125" style="69" customWidth="1"/>
    <col min="13314" max="13319" width="13" style="69" customWidth="1"/>
    <col min="13320" max="13320" width="9.1796875" style="69" customWidth="1"/>
    <col min="13321" max="13567" width="0" style="69" hidden="1"/>
    <col min="13568" max="13568" width="0" style="69" hidden="1" customWidth="1"/>
    <col min="13569" max="13569" width="25.26953125" style="69" customWidth="1"/>
    <col min="13570" max="13575" width="13" style="69" customWidth="1"/>
    <col min="13576" max="13576" width="9.1796875" style="69" customWidth="1"/>
    <col min="13577" max="13823" width="0" style="69" hidden="1"/>
    <col min="13824" max="13824" width="0" style="69" hidden="1" customWidth="1"/>
    <col min="13825" max="13825" width="25.26953125" style="69" customWidth="1"/>
    <col min="13826" max="13831" width="13" style="69" customWidth="1"/>
    <col min="13832" max="13832" width="9.1796875" style="69" customWidth="1"/>
    <col min="13833" max="14079" width="0" style="69" hidden="1"/>
    <col min="14080" max="14080" width="0" style="69" hidden="1" customWidth="1"/>
    <col min="14081" max="14081" width="25.26953125" style="69" customWidth="1"/>
    <col min="14082" max="14087" width="13" style="69" customWidth="1"/>
    <col min="14088" max="14088" width="9.1796875" style="69" customWidth="1"/>
    <col min="14089" max="14335" width="0" style="69" hidden="1"/>
    <col min="14336" max="14336" width="0" style="69" hidden="1" customWidth="1"/>
    <col min="14337" max="14337" width="25.26953125" style="69" customWidth="1"/>
    <col min="14338" max="14343" width="13" style="69" customWidth="1"/>
    <col min="14344" max="14344" width="9.1796875" style="69" customWidth="1"/>
    <col min="14345" max="14591" width="0" style="69" hidden="1"/>
    <col min="14592" max="14592" width="0" style="69" hidden="1" customWidth="1"/>
    <col min="14593" max="14593" width="25.26953125" style="69" customWidth="1"/>
    <col min="14594" max="14599" width="13" style="69" customWidth="1"/>
    <col min="14600" max="14600" width="9.1796875" style="69" customWidth="1"/>
    <col min="14601" max="14847" width="0" style="69" hidden="1"/>
    <col min="14848" max="14848" width="0" style="69" hidden="1" customWidth="1"/>
    <col min="14849" max="14849" width="25.26953125" style="69" customWidth="1"/>
    <col min="14850" max="14855" width="13" style="69" customWidth="1"/>
    <col min="14856" max="14856" width="9.1796875" style="69" customWidth="1"/>
    <col min="14857" max="15103" width="0" style="69" hidden="1"/>
    <col min="15104" max="15104" width="0" style="69" hidden="1" customWidth="1"/>
    <col min="15105" max="15105" width="25.26953125" style="69" customWidth="1"/>
    <col min="15106" max="15111" width="13" style="69" customWidth="1"/>
    <col min="15112" max="15112" width="9.1796875" style="69" customWidth="1"/>
    <col min="15113" max="15359" width="0" style="69" hidden="1"/>
    <col min="15360" max="15360" width="0" style="69" hidden="1" customWidth="1"/>
    <col min="15361" max="15361" width="25.26953125" style="69" customWidth="1"/>
    <col min="15362" max="15367" width="13" style="69" customWidth="1"/>
    <col min="15368" max="15368" width="9.1796875" style="69" customWidth="1"/>
    <col min="15369" max="15615" width="0" style="69" hidden="1"/>
    <col min="15616" max="15616" width="0" style="69" hidden="1" customWidth="1"/>
    <col min="15617" max="15617" width="25.26953125" style="69" customWidth="1"/>
    <col min="15618" max="15623" width="13" style="69" customWidth="1"/>
    <col min="15624" max="15624" width="9.1796875" style="69" customWidth="1"/>
    <col min="15625" max="15871" width="0" style="69" hidden="1"/>
    <col min="15872" max="15872" width="0" style="69" hidden="1" customWidth="1"/>
    <col min="15873" max="15873" width="25.26953125" style="69" customWidth="1"/>
    <col min="15874" max="15879" width="13" style="69" customWidth="1"/>
    <col min="15880" max="15880" width="9.1796875" style="69" customWidth="1"/>
    <col min="15881" max="16127" width="0" style="69" hidden="1"/>
    <col min="16128" max="16128" width="0" style="69" hidden="1" customWidth="1"/>
    <col min="16129" max="16129" width="25.26953125" style="69" customWidth="1"/>
    <col min="16130" max="16135" width="13" style="69" customWidth="1"/>
    <col min="16136" max="16136" width="9.1796875" style="69" customWidth="1"/>
    <col min="16137" max="16384" width="0" style="69" hidden="1"/>
  </cols>
  <sheetData>
    <row r="1" spans="1:15" ht="39.75" customHeight="1" x14ac:dyDescent="0.35">
      <c r="B1" s="150" t="s">
        <v>89</v>
      </c>
      <c r="C1" s="150"/>
      <c r="D1" s="150"/>
      <c r="E1" s="150"/>
      <c r="F1" s="150"/>
      <c r="G1" s="150"/>
      <c r="H1" s="151"/>
    </row>
    <row r="2" spans="1:15" ht="30" customHeight="1" x14ac:dyDescent="0.35">
      <c r="C2" s="70" t="s">
        <v>74</v>
      </c>
      <c r="D2" s="70" t="s">
        <v>75</v>
      </c>
      <c r="E2" s="70" t="s">
        <v>76</v>
      </c>
      <c r="F2" s="70" t="s">
        <v>77</v>
      </c>
      <c r="G2" s="70" t="s">
        <v>78</v>
      </c>
      <c r="H2" s="71" t="s">
        <v>1</v>
      </c>
      <c r="J2" s="85"/>
      <c r="K2" s="85"/>
      <c r="L2" s="85"/>
      <c r="M2" s="85"/>
      <c r="N2" s="70"/>
      <c r="O2" s="71"/>
    </row>
    <row r="3" spans="1:15" s="36" customFormat="1" ht="26.25" customHeight="1" x14ac:dyDescent="0.35">
      <c r="A3" s="38"/>
      <c r="B3" s="37" t="s">
        <v>80</v>
      </c>
      <c r="C3" s="72">
        <v>0</v>
      </c>
      <c r="D3" s="72">
        <v>36.450000000000003</v>
      </c>
      <c r="E3" s="72">
        <v>968</v>
      </c>
      <c r="F3" s="72">
        <v>1858.1233333333334</v>
      </c>
      <c r="G3" s="72">
        <v>8472.5933333333305</v>
      </c>
      <c r="H3" s="72">
        <v>11335.166666666666</v>
      </c>
      <c r="I3" s="73"/>
      <c r="J3" s="86"/>
      <c r="K3" s="86"/>
      <c r="L3" s="86"/>
      <c r="M3" s="86"/>
      <c r="N3" s="86"/>
      <c r="O3" s="86"/>
    </row>
    <row r="4" spans="1:15" s="37" customFormat="1" ht="26.25" customHeight="1" x14ac:dyDescent="0.35">
      <c r="A4" s="38"/>
      <c r="B4" s="37" t="s">
        <v>55</v>
      </c>
      <c r="C4" s="74">
        <v>0</v>
      </c>
      <c r="D4" s="74">
        <v>36.450000000000003</v>
      </c>
      <c r="E4" s="74">
        <v>923.32</v>
      </c>
      <c r="F4" s="74">
        <v>1814.1833333333334</v>
      </c>
      <c r="G4" s="74">
        <v>8226.7933333333312</v>
      </c>
      <c r="H4" s="74">
        <v>11000.746666666666</v>
      </c>
      <c r="J4" s="86"/>
      <c r="K4" s="86"/>
      <c r="L4" s="86"/>
      <c r="M4" s="86"/>
      <c r="N4" s="86"/>
      <c r="O4" s="86"/>
    </row>
    <row r="5" spans="1:15" s="50" customFormat="1" ht="14" x14ac:dyDescent="0.35">
      <c r="A5" s="40">
        <v>51</v>
      </c>
      <c r="B5" s="50" t="s">
        <v>7</v>
      </c>
      <c r="C5" s="75">
        <v>0</v>
      </c>
      <c r="D5" s="75">
        <v>0</v>
      </c>
      <c r="E5" s="75">
        <v>11.5</v>
      </c>
      <c r="F5" s="75">
        <v>38</v>
      </c>
      <c r="G5" s="75">
        <v>137</v>
      </c>
      <c r="H5" s="76">
        <v>186.5</v>
      </c>
      <c r="I5" s="45"/>
      <c r="J5" s="86"/>
      <c r="K5" s="86"/>
      <c r="L5" s="86"/>
      <c r="M5" s="86"/>
      <c r="N5" s="86"/>
      <c r="O5" s="86"/>
    </row>
    <row r="6" spans="1:15" s="50" customFormat="1" ht="14" x14ac:dyDescent="0.35">
      <c r="A6" s="40">
        <v>52</v>
      </c>
      <c r="B6" s="50" t="s">
        <v>8</v>
      </c>
      <c r="C6" s="75">
        <v>0</v>
      </c>
      <c r="D6" s="75">
        <v>0</v>
      </c>
      <c r="E6" s="75">
        <v>9.5</v>
      </c>
      <c r="F6" s="75">
        <v>16.25</v>
      </c>
      <c r="G6" s="75">
        <v>99</v>
      </c>
      <c r="H6" s="76">
        <v>124.75</v>
      </c>
      <c r="I6" s="45"/>
      <c r="J6" s="86"/>
      <c r="K6" s="86"/>
      <c r="L6" s="86"/>
      <c r="M6" s="86"/>
      <c r="N6" s="86"/>
      <c r="O6" s="86"/>
    </row>
    <row r="7" spans="1:15" s="50" customFormat="1" ht="14" x14ac:dyDescent="0.35">
      <c r="A7" s="40">
        <v>86</v>
      </c>
      <c r="B7" s="50" t="s">
        <v>9</v>
      </c>
      <c r="C7" s="75">
        <v>0</v>
      </c>
      <c r="D7" s="75">
        <v>0</v>
      </c>
      <c r="E7" s="75">
        <v>8.6999999999999993</v>
      </c>
      <c r="F7" s="75">
        <v>17.5</v>
      </c>
      <c r="G7" s="75">
        <v>42.96</v>
      </c>
      <c r="H7" s="76">
        <v>69.16</v>
      </c>
      <c r="I7" s="45"/>
      <c r="J7" s="86"/>
      <c r="K7" s="86"/>
      <c r="L7" s="86"/>
      <c r="M7" s="86"/>
      <c r="N7" s="86"/>
      <c r="O7" s="86"/>
    </row>
    <row r="8" spans="1:15" s="50" customFormat="1" ht="14" x14ac:dyDescent="0.35">
      <c r="A8" s="40">
        <v>53</v>
      </c>
      <c r="B8" s="50" t="s">
        <v>10</v>
      </c>
      <c r="C8" s="75">
        <v>0</v>
      </c>
      <c r="D8" s="75">
        <v>0</v>
      </c>
      <c r="E8" s="75">
        <v>17.75</v>
      </c>
      <c r="F8" s="75">
        <v>28.26</v>
      </c>
      <c r="G8" s="75">
        <v>125</v>
      </c>
      <c r="H8" s="76">
        <v>171.01</v>
      </c>
      <c r="I8" s="45"/>
      <c r="J8" s="86"/>
      <c r="K8" s="86"/>
      <c r="L8" s="86"/>
      <c r="M8" s="86"/>
      <c r="N8" s="86"/>
      <c r="O8" s="86"/>
    </row>
    <row r="9" spans="1:15" s="50" customFormat="1" ht="14" x14ac:dyDescent="0.35">
      <c r="A9" s="40">
        <v>54</v>
      </c>
      <c r="B9" s="50" t="s">
        <v>11</v>
      </c>
      <c r="C9" s="75">
        <v>0</v>
      </c>
      <c r="D9" s="75">
        <v>0</v>
      </c>
      <c r="E9" s="75">
        <v>25</v>
      </c>
      <c r="F9" s="75">
        <v>70</v>
      </c>
      <c r="G9" s="75">
        <v>228</v>
      </c>
      <c r="H9" s="76">
        <v>323</v>
      </c>
      <c r="I9" s="45"/>
      <c r="J9" s="86"/>
      <c r="K9" s="86"/>
      <c r="L9" s="86"/>
      <c r="M9" s="86"/>
      <c r="N9" s="86"/>
      <c r="O9" s="86"/>
    </row>
    <row r="10" spans="1:15" s="50" customFormat="1" ht="14" x14ac:dyDescent="0.35">
      <c r="A10" s="40">
        <v>55</v>
      </c>
      <c r="B10" s="50" t="s">
        <v>12</v>
      </c>
      <c r="C10" s="75">
        <v>0</v>
      </c>
      <c r="D10" s="75">
        <v>0</v>
      </c>
      <c r="E10" s="75">
        <v>8.9600000000000009</v>
      </c>
      <c r="F10" s="75">
        <v>24.1</v>
      </c>
      <c r="G10" s="75">
        <v>122.5</v>
      </c>
      <c r="H10" s="76">
        <v>155.56</v>
      </c>
      <c r="I10" s="45"/>
      <c r="J10" s="86"/>
      <c r="K10" s="86"/>
      <c r="L10" s="86"/>
      <c r="M10" s="86"/>
      <c r="N10" s="86"/>
      <c r="O10" s="86"/>
    </row>
    <row r="11" spans="1:15" s="50" customFormat="1" ht="14" x14ac:dyDescent="0.35">
      <c r="A11" s="40">
        <v>56</v>
      </c>
      <c r="B11" s="50" t="s">
        <v>13</v>
      </c>
      <c r="C11" s="75">
        <v>0</v>
      </c>
      <c r="D11" s="75">
        <v>0</v>
      </c>
      <c r="E11" s="75">
        <v>4</v>
      </c>
      <c r="F11" s="75">
        <v>6.75</v>
      </c>
      <c r="G11" s="75">
        <v>53.25</v>
      </c>
      <c r="H11" s="76">
        <v>64</v>
      </c>
      <c r="I11" s="45"/>
      <c r="J11" s="86"/>
      <c r="K11" s="86"/>
      <c r="L11" s="86"/>
      <c r="M11" s="86"/>
      <c r="N11" s="86"/>
      <c r="O11" s="86"/>
    </row>
    <row r="12" spans="1:15" s="50" customFormat="1" ht="14" x14ac:dyDescent="0.35">
      <c r="A12" s="40">
        <v>57</v>
      </c>
      <c r="B12" s="50" t="s">
        <v>14</v>
      </c>
      <c r="C12" s="75">
        <v>0</v>
      </c>
      <c r="D12" s="75">
        <v>23</v>
      </c>
      <c r="E12" s="75">
        <v>33</v>
      </c>
      <c r="F12" s="75">
        <v>51</v>
      </c>
      <c r="G12" s="75">
        <v>323</v>
      </c>
      <c r="H12" s="76">
        <v>430</v>
      </c>
      <c r="I12" s="45"/>
      <c r="J12" s="86"/>
      <c r="K12" s="86"/>
      <c r="L12" s="86"/>
      <c r="M12" s="86"/>
      <c r="N12" s="86"/>
      <c r="O12" s="86"/>
    </row>
    <row r="13" spans="1:15" s="50" customFormat="1" ht="14" x14ac:dyDescent="0.35">
      <c r="A13" s="40">
        <v>59</v>
      </c>
      <c r="B13" s="50" t="s">
        <v>15</v>
      </c>
      <c r="C13" s="75">
        <v>0</v>
      </c>
      <c r="D13" s="75">
        <v>0</v>
      </c>
      <c r="E13" s="75">
        <v>24.25</v>
      </c>
      <c r="F13" s="75">
        <v>67.25</v>
      </c>
      <c r="G13" s="75">
        <v>265.14</v>
      </c>
      <c r="H13" s="76">
        <v>356.64</v>
      </c>
      <c r="I13" s="45"/>
      <c r="J13" s="86"/>
      <c r="K13" s="86"/>
      <c r="L13" s="86"/>
      <c r="M13" s="86"/>
      <c r="N13" s="86"/>
      <c r="O13" s="86"/>
    </row>
    <row r="14" spans="1:15" s="50" customFormat="1" ht="14" x14ac:dyDescent="0.35">
      <c r="A14" s="40">
        <v>60</v>
      </c>
      <c r="B14" s="50" t="s">
        <v>16</v>
      </c>
      <c r="C14" s="75">
        <v>0</v>
      </c>
      <c r="D14" s="75">
        <v>0</v>
      </c>
      <c r="E14" s="75">
        <v>23</v>
      </c>
      <c r="F14" s="75">
        <v>36</v>
      </c>
      <c r="G14" s="75">
        <v>164</v>
      </c>
      <c r="H14" s="76">
        <v>223</v>
      </c>
      <c r="I14" s="45"/>
      <c r="J14" s="86"/>
      <c r="K14" s="86"/>
      <c r="L14" s="86"/>
      <c r="M14" s="86"/>
      <c r="N14" s="86"/>
      <c r="O14" s="86"/>
    </row>
    <row r="15" spans="1:15" s="50" customFormat="1" ht="14" x14ac:dyDescent="0.35">
      <c r="A15" s="40">
        <v>61</v>
      </c>
      <c r="B15" s="77" t="s">
        <v>56</v>
      </c>
      <c r="C15" s="75">
        <v>0</v>
      </c>
      <c r="D15" s="75">
        <v>0</v>
      </c>
      <c r="E15" s="75">
        <v>105.5</v>
      </c>
      <c r="F15" s="75">
        <v>172.5</v>
      </c>
      <c r="G15" s="75">
        <v>839.26</v>
      </c>
      <c r="H15" s="76">
        <v>1117.26</v>
      </c>
      <c r="I15" s="45"/>
      <c r="J15" s="86"/>
      <c r="K15" s="86"/>
      <c r="L15" s="86"/>
      <c r="M15" s="86"/>
      <c r="N15" s="86"/>
      <c r="O15" s="86"/>
    </row>
    <row r="16" spans="1:15" s="50" customFormat="1" ht="14" x14ac:dyDescent="0.35">
      <c r="A16" s="40">
        <v>62</v>
      </c>
      <c r="B16" s="50" t="s">
        <v>143</v>
      </c>
      <c r="C16" s="75">
        <f>C69+C70</f>
        <v>0</v>
      </c>
      <c r="D16" s="75">
        <f t="shared" ref="D16:H16" si="0">D69+D70</f>
        <v>0</v>
      </c>
      <c r="E16" s="75">
        <f t="shared" si="0"/>
        <v>59</v>
      </c>
      <c r="F16" s="75">
        <f t="shared" si="0"/>
        <v>106</v>
      </c>
      <c r="G16" s="75">
        <f t="shared" si="0"/>
        <v>390.5</v>
      </c>
      <c r="H16" s="75">
        <f t="shared" si="0"/>
        <v>555.5</v>
      </c>
      <c r="I16" s="45"/>
      <c r="J16" s="86"/>
      <c r="K16" s="86"/>
      <c r="L16" s="86"/>
      <c r="M16" s="86"/>
      <c r="N16" s="86"/>
      <c r="O16" s="86"/>
    </row>
    <row r="17" spans="1:15" s="50" customFormat="1" ht="14" x14ac:dyDescent="0.35">
      <c r="A17" s="40">
        <v>58</v>
      </c>
      <c r="B17" s="50" t="s">
        <v>19</v>
      </c>
      <c r="C17" s="75">
        <v>0</v>
      </c>
      <c r="D17" s="75">
        <v>0</v>
      </c>
      <c r="E17" s="75">
        <v>14.28</v>
      </c>
      <c r="F17" s="75">
        <v>30.49</v>
      </c>
      <c r="G17" s="75">
        <v>109.64</v>
      </c>
      <c r="H17" s="76">
        <v>154.41</v>
      </c>
      <c r="I17" s="45"/>
      <c r="J17" s="86"/>
      <c r="K17" s="86"/>
      <c r="L17" s="86"/>
      <c r="M17" s="86"/>
      <c r="N17" s="86"/>
      <c r="O17" s="86"/>
    </row>
    <row r="18" spans="1:15" s="50" customFormat="1" ht="14" x14ac:dyDescent="0.35">
      <c r="A18" s="40">
        <v>63</v>
      </c>
      <c r="B18" s="50" t="s">
        <v>20</v>
      </c>
      <c r="C18" s="75">
        <v>0</v>
      </c>
      <c r="D18" s="75">
        <v>0</v>
      </c>
      <c r="E18" s="75">
        <v>14</v>
      </c>
      <c r="F18" s="75">
        <v>38.5</v>
      </c>
      <c r="G18" s="75">
        <v>143.75</v>
      </c>
      <c r="H18" s="76">
        <v>196.25</v>
      </c>
      <c r="I18" s="45"/>
      <c r="J18" s="86"/>
      <c r="K18" s="86"/>
      <c r="L18" s="86"/>
      <c r="M18" s="86"/>
      <c r="N18" s="86"/>
      <c r="O18" s="86"/>
    </row>
    <row r="19" spans="1:15" s="50" customFormat="1" ht="14" x14ac:dyDescent="0.35">
      <c r="A19" s="40">
        <v>64</v>
      </c>
      <c r="B19" s="50" t="s">
        <v>21</v>
      </c>
      <c r="C19" s="75">
        <v>0</v>
      </c>
      <c r="D19" s="75">
        <v>7.75</v>
      </c>
      <c r="E19" s="75">
        <v>29.25</v>
      </c>
      <c r="F19" s="75">
        <v>65</v>
      </c>
      <c r="G19" s="75">
        <v>291.5</v>
      </c>
      <c r="H19" s="76">
        <v>393.5</v>
      </c>
      <c r="I19" s="45"/>
      <c r="J19" s="86"/>
      <c r="K19" s="86"/>
      <c r="L19" s="86"/>
      <c r="M19" s="86"/>
      <c r="N19" s="86"/>
      <c r="O19" s="86"/>
    </row>
    <row r="20" spans="1:15" s="50" customFormat="1" ht="14" x14ac:dyDescent="0.35">
      <c r="A20" s="40">
        <v>65</v>
      </c>
      <c r="B20" s="50" t="s">
        <v>22</v>
      </c>
      <c r="C20" s="75">
        <v>0</v>
      </c>
      <c r="D20" s="75">
        <v>4.7</v>
      </c>
      <c r="E20" s="75">
        <v>26.7</v>
      </c>
      <c r="F20" s="75">
        <v>34.1</v>
      </c>
      <c r="G20" s="75">
        <v>170.2</v>
      </c>
      <c r="H20" s="76">
        <v>235.7</v>
      </c>
      <c r="I20" s="45"/>
      <c r="J20" s="86"/>
      <c r="K20" s="86"/>
      <c r="L20" s="86"/>
      <c r="M20" s="86"/>
      <c r="N20" s="86"/>
      <c r="O20" s="86"/>
    </row>
    <row r="21" spans="1:15" s="50" customFormat="1" ht="14.5" x14ac:dyDescent="0.35">
      <c r="A21" s="40">
        <v>67</v>
      </c>
      <c r="B21" s="50" t="s">
        <v>90</v>
      </c>
      <c r="C21" s="75">
        <v>0</v>
      </c>
      <c r="D21" s="75">
        <v>0</v>
      </c>
      <c r="E21" s="75">
        <v>53.6</v>
      </c>
      <c r="F21" s="75">
        <v>94</v>
      </c>
      <c r="G21" s="75">
        <v>443.4</v>
      </c>
      <c r="H21" s="76">
        <v>591</v>
      </c>
      <c r="I21" s="45"/>
      <c r="J21" s="86"/>
      <c r="K21" s="86"/>
      <c r="L21" s="86"/>
      <c r="M21" s="86"/>
      <c r="N21" s="86"/>
      <c r="O21" s="86"/>
    </row>
    <row r="22" spans="1:15" s="50" customFormat="1" ht="14" x14ac:dyDescent="0.35">
      <c r="A22" s="40">
        <v>68</v>
      </c>
      <c r="B22" s="50" t="s">
        <v>57</v>
      </c>
      <c r="C22" s="75">
        <v>0</v>
      </c>
      <c r="D22" s="75">
        <v>0</v>
      </c>
      <c r="E22" s="75">
        <v>20</v>
      </c>
      <c r="F22" s="75">
        <v>52</v>
      </c>
      <c r="G22" s="75">
        <v>193</v>
      </c>
      <c r="H22" s="76">
        <v>265</v>
      </c>
      <c r="I22" s="45"/>
      <c r="J22" s="86"/>
      <c r="K22" s="86"/>
      <c r="L22" s="86"/>
      <c r="M22" s="86"/>
      <c r="N22" s="86"/>
      <c r="O22" s="86"/>
    </row>
    <row r="23" spans="1:15" s="50" customFormat="1" ht="14" x14ac:dyDescent="0.35">
      <c r="A23" s="40">
        <v>69</v>
      </c>
      <c r="B23" s="50" t="s">
        <v>27</v>
      </c>
      <c r="C23" s="117">
        <v>0</v>
      </c>
      <c r="D23" s="117">
        <v>1</v>
      </c>
      <c r="E23" s="117">
        <v>43.3</v>
      </c>
      <c r="F23" s="117">
        <v>36.1</v>
      </c>
      <c r="G23" s="117">
        <v>140.5</v>
      </c>
      <c r="H23" s="118">
        <v>220.9</v>
      </c>
      <c r="I23" s="73" t="s">
        <v>146</v>
      </c>
      <c r="J23" s="86"/>
      <c r="K23" s="86"/>
      <c r="L23" s="86"/>
      <c r="M23" s="86"/>
      <c r="N23" s="86"/>
      <c r="O23" s="86"/>
    </row>
    <row r="24" spans="1:15" s="50" customFormat="1" ht="14" x14ac:dyDescent="0.35">
      <c r="A24" s="40">
        <v>70</v>
      </c>
      <c r="B24" s="50" t="s">
        <v>28</v>
      </c>
      <c r="C24" s="75">
        <v>0</v>
      </c>
      <c r="D24" s="75">
        <v>0</v>
      </c>
      <c r="E24" s="75">
        <v>19</v>
      </c>
      <c r="F24" s="75">
        <v>36</v>
      </c>
      <c r="G24" s="75">
        <v>271</v>
      </c>
      <c r="H24" s="76">
        <v>326</v>
      </c>
      <c r="I24" s="45"/>
      <c r="J24" s="86"/>
      <c r="K24" s="86"/>
      <c r="L24" s="86"/>
      <c r="M24" s="86"/>
      <c r="N24" s="86"/>
      <c r="O24" s="86"/>
    </row>
    <row r="25" spans="1:15" s="50" customFormat="1" ht="14" x14ac:dyDescent="0.35">
      <c r="A25" s="40">
        <v>71</v>
      </c>
      <c r="B25" s="50" t="s">
        <v>58</v>
      </c>
      <c r="C25" s="75">
        <v>0</v>
      </c>
      <c r="D25" s="75">
        <v>0</v>
      </c>
      <c r="E25" s="75">
        <v>8.43</v>
      </c>
      <c r="F25" s="75">
        <v>14.5</v>
      </c>
      <c r="G25" s="75">
        <v>77.94</v>
      </c>
      <c r="H25" s="76">
        <v>100.87</v>
      </c>
      <c r="I25" s="45"/>
      <c r="J25" s="86"/>
      <c r="K25" s="86"/>
      <c r="L25" s="86"/>
      <c r="M25" s="86"/>
      <c r="N25" s="86"/>
      <c r="O25" s="86"/>
    </row>
    <row r="26" spans="1:15" s="50" customFormat="1" ht="14" x14ac:dyDescent="0.35">
      <c r="A26" s="40">
        <v>73</v>
      </c>
      <c r="B26" s="50" t="s">
        <v>31</v>
      </c>
      <c r="C26" s="75">
        <v>0</v>
      </c>
      <c r="D26" s="75">
        <v>0</v>
      </c>
      <c r="E26" s="75">
        <v>32</v>
      </c>
      <c r="F26" s="75">
        <v>89</v>
      </c>
      <c r="G26" s="75">
        <v>437</v>
      </c>
      <c r="H26" s="76">
        <v>558</v>
      </c>
      <c r="I26" s="45"/>
      <c r="J26" s="86"/>
      <c r="K26" s="86"/>
      <c r="L26" s="86"/>
      <c r="M26" s="86"/>
      <c r="N26" s="86"/>
      <c r="O26" s="86"/>
    </row>
    <row r="27" spans="1:15" s="50" customFormat="1" ht="14" x14ac:dyDescent="0.35">
      <c r="A27" s="40">
        <v>74</v>
      </c>
      <c r="B27" s="50" t="s">
        <v>32</v>
      </c>
      <c r="C27" s="75">
        <v>0</v>
      </c>
      <c r="D27" s="75">
        <v>0</v>
      </c>
      <c r="E27" s="75">
        <v>21</v>
      </c>
      <c r="F27" s="75">
        <v>40</v>
      </c>
      <c r="G27" s="75">
        <v>218</v>
      </c>
      <c r="H27" s="76">
        <v>279</v>
      </c>
      <c r="I27" s="45"/>
      <c r="J27" s="86"/>
      <c r="K27" s="86"/>
      <c r="L27" s="86"/>
      <c r="M27" s="86"/>
      <c r="N27" s="86"/>
      <c r="O27" s="86"/>
    </row>
    <row r="28" spans="1:15" s="50" customFormat="1" ht="14" x14ac:dyDescent="0.35">
      <c r="A28" s="40">
        <v>75</v>
      </c>
      <c r="B28" s="50" t="s">
        <v>33</v>
      </c>
      <c r="C28" s="75">
        <v>0</v>
      </c>
      <c r="D28" s="75">
        <v>0</v>
      </c>
      <c r="E28" s="75">
        <v>15.9</v>
      </c>
      <c r="F28" s="75">
        <v>29.9</v>
      </c>
      <c r="G28" s="75">
        <v>148.5</v>
      </c>
      <c r="H28" s="76">
        <v>194.3</v>
      </c>
      <c r="I28" s="45"/>
      <c r="J28" s="86"/>
      <c r="K28" s="86"/>
      <c r="L28" s="86"/>
      <c r="M28" s="86"/>
      <c r="N28" s="86"/>
      <c r="O28" s="86"/>
    </row>
    <row r="29" spans="1:15" s="50" customFormat="1" ht="14" x14ac:dyDescent="0.35">
      <c r="A29" s="40">
        <v>76</v>
      </c>
      <c r="B29" s="50" t="s">
        <v>34</v>
      </c>
      <c r="C29" s="75">
        <v>0</v>
      </c>
      <c r="D29" s="75">
        <v>0</v>
      </c>
      <c r="E29" s="75">
        <v>35.5</v>
      </c>
      <c r="F29" s="75">
        <v>75</v>
      </c>
      <c r="G29" s="75">
        <v>305.75</v>
      </c>
      <c r="H29" s="76">
        <v>416.25</v>
      </c>
      <c r="I29" s="45"/>
      <c r="J29" s="86"/>
      <c r="K29" s="86"/>
      <c r="L29" s="86"/>
      <c r="M29" s="86"/>
      <c r="N29" s="86"/>
      <c r="O29" s="86"/>
    </row>
    <row r="30" spans="1:15" s="50" customFormat="1" ht="14" x14ac:dyDescent="0.35">
      <c r="A30" s="40">
        <v>79</v>
      </c>
      <c r="B30" s="50" t="s">
        <v>36</v>
      </c>
      <c r="C30" s="75">
        <v>0</v>
      </c>
      <c r="D30" s="75">
        <v>0</v>
      </c>
      <c r="E30" s="75">
        <v>40.5</v>
      </c>
      <c r="F30" s="75">
        <v>86</v>
      </c>
      <c r="G30" s="75">
        <v>329.75</v>
      </c>
      <c r="H30" s="76">
        <v>456.25</v>
      </c>
      <c r="I30" s="45"/>
      <c r="J30" s="86"/>
      <c r="K30" s="86"/>
      <c r="L30" s="86"/>
      <c r="M30" s="86"/>
      <c r="N30" s="86"/>
      <c r="O30" s="86"/>
    </row>
    <row r="31" spans="1:15" s="50" customFormat="1" ht="14" x14ac:dyDescent="0.35">
      <c r="A31" s="40"/>
      <c r="B31" s="67" t="s">
        <v>81</v>
      </c>
      <c r="C31" s="68" t="s">
        <v>64</v>
      </c>
      <c r="D31" s="68" t="s">
        <v>64</v>
      </c>
      <c r="E31" s="68" t="s">
        <v>64</v>
      </c>
      <c r="F31" s="68" t="s">
        <v>64</v>
      </c>
      <c r="G31" s="68" t="s">
        <v>64</v>
      </c>
      <c r="H31" s="68" t="s">
        <v>64</v>
      </c>
      <c r="I31" s="68" t="s">
        <v>64</v>
      </c>
      <c r="J31" s="68" t="s">
        <v>64</v>
      </c>
      <c r="K31" s="86"/>
      <c r="L31" s="86"/>
      <c r="M31" s="86"/>
      <c r="N31" s="86"/>
      <c r="O31" s="86"/>
    </row>
    <row r="32" spans="1:15" s="50" customFormat="1" ht="14" x14ac:dyDescent="0.35">
      <c r="A32" s="40">
        <v>80</v>
      </c>
      <c r="B32" s="50" t="s">
        <v>38</v>
      </c>
      <c r="C32" s="75">
        <v>0</v>
      </c>
      <c r="D32" s="75">
        <v>0</v>
      </c>
      <c r="E32" s="75">
        <v>30</v>
      </c>
      <c r="F32" s="75">
        <v>68.5</v>
      </c>
      <c r="G32" s="75">
        <v>234.13</v>
      </c>
      <c r="H32" s="76">
        <v>332.63</v>
      </c>
      <c r="I32" s="45"/>
      <c r="J32" s="86"/>
      <c r="K32" s="86"/>
      <c r="L32" s="86"/>
      <c r="M32" s="86"/>
      <c r="N32" s="86"/>
      <c r="O32" s="86"/>
    </row>
    <row r="33" spans="1:15" s="50" customFormat="1" ht="14" x14ac:dyDescent="0.35">
      <c r="A33" s="40">
        <v>81</v>
      </c>
      <c r="B33" s="50" t="s">
        <v>39</v>
      </c>
      <c r="C33" s="75">
        <v>0</v>
      </c>
      <c r="D33" s="75">
        <v>0</v>
      </c>
      <c r="E33" s="75">
        <v>15.25</v>
      </c>
      <c r="F33" s="75">
        <v>32.25</v>
      </c>
      <c r="G33" s="75">
        <v>159.29</v>
      </c>
      <c r="H33" s="76">
        <v>206.79</v>
      </c>
      <c r="I33" s="45"/>
      <c r="J33" s="86"/>
      <c r="K33" s="86"/>
      <c r="L33" s="86"/>
      <c r="M33" s="86"/>
      <c r="N33" s="86"/>
      <c r="O33" s="86"/>
    </row>
    <row r="34" spans="1:15" s="50" customFormat="1" ht="14" x14ac:dyDescent="0.35">
      <c r="A34" s="40">
        <v>83</v>
      </c>
      <c r="B34" s="50" t="s">
        <v>40</v>
      </c>
      <c r="C34" s="75">
        <v>0</v>
      </c>
      <c r="D34" s="75">
        <v>0</v>
      </c>
      <c r="E34" s="75">
        <v>13</v>
      </c>
      <c r="F34" s="75">
        <v>27.5</v>
      </c>
      <c r="G34" s="75">
        <v>161</v>
      </c>
      <c r="H34" s="76">
        <v>201.5</v>
      </c>
      <c r="I34" s="45"/>
      <c r="J34" s="86"/>
      <c r="K34" s="86"/>
      <c r="L34" s="86"/>
      <c r="M34" s="86"/>
      <c r="N34" s="86"/>
      <c r="O34" s="86"/>
    </row>
    <row r="35" spans="1:15" s="50" customFormat="1" ht="14" x14ac:dyDescent="0.35">
      <c r="A35" s="40">
        <v>84</v>
      </c>
      <c r="B35" s="50" t="s">
        <v>41</v>
      </c>
      <c r="C35" s="75">
        <v>0</v>
      </c>
      <c r="D35" s="75">
        <v>0</v>
      </c>
      <c r="E35" s="75">
        <v>16</v>
      </c>
      <c r="F35" s="75">
        <v>19.5</v>
      </c>
      <c r="G35" s="75">
        <v>118.5</v>
      </c>
      <c r="H35" s="76">
        <v>154</v>
      </c>
      <c r="I35" s="45"/>
      <c r="J35" s="86"/>
      <c r="K35" s="86"/>
      <c r="L35" s="86"/>
      <c r="M35" s="86"/>
      <c r="N35" s="86"/>
      <c r="O35" s="86"/>
    </row>
    <row r="36" spans="1:15" s="50" customFormat="1" ht="14" x14ac:dyDescent="0.35">
      <c r="A36" s="40">
        <v>85</v>
      </c>
      <c r="B36" s="50" t="s">
        <v>42</v>
      </c>
      <c r="C36" s="75">
        <v>0</v>
      </c>
      <c r="D36" s="75">
        <v>0</v>
      </c>
      <c r="E36" s="75">
        <v>19.25</v>
      </c>
      <c r="F36" s="75">
        <v>29.75</v>
      </c>
      <c r="G36" s="75">
        <v>238.75</v>
      </c>
      <c r="H36" s="76">
        <v>287.75</v>
      </c>
      <c r="I36" s="45"/>
      <c r="J36" s="86"/>
      <c r="K36" s="86"/>
      <c r="L36" s="86"/>
      <c r="M36" s="86"/>
      <c r="N36" s="86"/>
      <c r="O36" s="86"/>
    </row>
    <row r="37" spans="1:15" s="50" customFormat="1" ht="14" x14ac:dyDescent="0.35">
      <c r="A37" s="40">
        <v>87</v>
      </c>
      <c r="B37" s="50" t="s">
        <v>43</v>
      </c>
      <c r="C37" s="75">
        <v>0</v>
      </c>
      <c r="D37" s="75">
        <v>0</v>
      </c>
      <c r="E37" s="75">
        <v>22</v>
      </c>
      <c r="F37" s="75">
        <v>45</v>
      </c>
      <c r="G37" s="75">
        <v>256</v>
      </c>
      <c r="H37" s="76">
        <v>323</v>
      </c>
      <c r="I37" s="45"/>
      <c r="J37" s="86"/>
      <c r="K37" s="86"/>
      <c r="L37" s="86"/>
      <c r="M37" s="86"/>
      <c r="N37" s="86"/>
      <c r="O37" s="86"/>
    </row>
    <row r="38" spans="1:15" s="50" customFormat="1" ht="14" x14ac:dyDescent="0.35">
      <c r="A38" s="40">
        <v>90</v>
      </c>
      <c r="B38" s="50" t="s">
        <v>45</v>
      </c>
      <c r="C38" s="75">
        <v>0</v>
      </c>
      <c r="D38" s="75">
        <v>0</v>
      </c>
      <c r="E38" s="75">
        <v>47</v>
      </c>
      <c r="F38" s="75">
        <v>69</v>
      </c>
      <c r="G38" s="75">
        <v>375</v>
      </c>
      <c r="H38" s="76">
        <v>491</v>
      </c>
      <c r="I38" s="45"/>
      <c r="J38" s="86"/>
      <c r="K38" s="86"/>
      <c r="L38" s="86"/>
      <c r="M38" s="86"/>
      <c r="N38" s="86"/>
      <c r="O38" s="86"/>
    </row>
    <row r="39" spans="1:15" s="50" customFormat="1" ht="14" x14ac:dyDescent="0.35">
      <c r="A39" s="40">
        <v>91</v>
      </c>
      <c r="B39" s="50" t="s">
        <v>46</v>
      </c>
      <c r="C39" s="75">
        <v>0</v>
      </c>
      <c r="D39" s="75">
        <v>0</v>
      </c>
      <c r="E39" s="75">
        <v>35</v>
      </c>
      <c r="F39" s="75">
        <v>72</v>
      </c>
      <c r="G39" s="75">
        <v>268</v>
      </c>
      <c r="H39" s="76">
        <v>375</v>
      </c>
      <c r="I39" s="45"/>
      <c r="J39" s="86"/>
      <c r="K39" s="86"/>
      <c r="L39" s="86"/>
      <c r="M39" s="86"/>
      <c r="N39" s="86"/>
      <c r="O39" s="86"/>
    </row>
    <row r="40" spans="1:15" s="50" customFormat="1" ht="14" x14ac:dyDescent="0.35">
      <c r="A40" s="40">
        <v>92</v>
      </c>
      <c r="B40" s="50" t="s">
        <v>47</v>
      </c>
      <c r="C40" s="75">
        <v>0</v>
      </c>
      <c r="D40" s="75">
        <v>0</v>
      </c>
      <c r="E40" s="75">
        <v>9</v>
      </c>
      <c r="F40" s="75">
        <v>25.25</v>
      </c>
      <c r="G40" s="75">
        <v>71.75</v>
      </c>
      <c r="H40" s="76">
        <v>106</v>
      </c>
      <c r="I40" s="45"/>
      <c r="J40" s="86"/>
      <c r="K40" s="86"/>
      <c r="L40" s="86"/>
      <c r="M40" s="86"/>
      <c r="N40" s="86"/>
      <c r="O40" s="86"/>
    </row>
    <row r="41" spans="1:15" s="50" customFormat="1" ht="14" x14ac:dyDescent="0.35">
      <c r="A41" s="40">
        <v>94</v>
      </c>
      <c r="B41" s="50" t="s">
        <v>49</v>
      </c>
      <c r="C41" s="75">
        <v>0</v>
      </c>
      <c r="D41" s="75">
        <v>0</v>
      </c>
      <c r="E41" s="75">
        <v>11</v>
      </c>
      <c r="F41" s="75">
        <v>15.833333333333334</v>
      </c>
      <c r="G41" s="75">
        <v>62.08333333333335</v>
      </c>
      <c r="H41" s="76">
        <v>88.916666666666686</v>
      </c>
      <c r="I41" s="45"/>
      <c r="J41" s="86"/>
      <c r="K41" s="86"/>
      <c r="L41" s="86"/>
      <c r="M41" s="86"/>
      <c r="N41" s="86"/>
      <c r="O41" s="86"/>
    </row>
    <row r="42" spans="1:15" s="50" customFormat="1" ht="14" x14ac:dyDescent="0.35">
      <c r="A42" s="40">
        <v>96</v>
      </c>
      <c r="B42" s="50" t="s">
        <v>51</v>
      </c>
      <c r="C42" s="75">
        <v>0</v>
      </c>
      <c r="D42" s="75">
        <v>0</v>
      </c>
      <c r="E42" s="75">
        <v>15.5</v>
      </c>
      <c r="F42" s="75">
        <v>51.5</v>
      </c>
      <c r="G42" s="75">
        <v>184.25</v>
      </c>
      <c r="H42" s="76">
        <v>251.25</v>
      </c>
      <c r="I42" s="45"/>
      <c r="J42" s="86"/>
      <c r="K42" s="86"/>
      <c r="L42" s="86"/>
      <c r="M42" s="86"/>
      <c r="N42" s="86"/>
      <c r="O42" s="86"/>
    </row>
    <row r="43" spans="1:15" s="50" customFormat="1" ht="14" x14ac:dyDescent="0.35">
      <c r="A43" s="40">
        <v>72</v>
      </c>
      <c r="B43" s="50" t="s">
        <v>30</v>
      </c>
      <c r="C43" s="75">
        <v>0</v>
      </c>
      <c r="D43" s="75">
        <v>1</v>
      </c>
      <c r="E43" s="75">
        <v>6</v>
      </c>
      <c r="F43" s="75">
        <v>6</v>
      </c>
      <c r="G43" s="75">
        <v>26</v>
      </c>
      <c r="H43" s="76">
        <v>39</v>
      </c>
      <c r="I43" s="45"/>
      <c r="J43" s="86"/>
      <c r="K43" s="86"/>
      <c r="L43" s="86"/>
      <c r="M43" s="86"/>
      <c r="N43" s="86"/>
      <c r="O43" s="86"/>
    </row>
    <row r="44" spans="1:15" s="37" customFormat="1" ht="26.25" customHeight="1" x14ac:dyDescent="0.35">
      <c r="A44" s="38"/>
      <c r="B44" s="37" t="s">
        <v>59</v>
      </c>
      <c r="C44" s="39">
        <v>0</v>
      </c>
      <c r="D44" s="39">
        <v>0</v>
      </c>
      <c r="E44" s="39">
        <v>44.68</v>
      </c>
      <c r="F44" s="39">
        <v>43.94</v>
      </c>
      <c r="G44" s="39">
        <v>245.8</v>
      </c>
      <c r="H44" s="39">
        <v>334.42</v>
      </c>
      <c r="I44" s="45"/>
      <c r="J44" s="86"/>
      <c r="K44" s="86"/>
      <c r="L44" s="86"/>
      <c r="M44" s="86"/>
      <c r="N44" s="86"/>
      <c r="O44" s="86"/>
    </row>
    <row r="45" spans="1:15" s="50" customFormat="1" ht="14" x14ac:dyDescent="0.35">
      <c r="A45" s="40">
        <v>66</v>
      </c>
      <c r="B45" s="50" t="s">
        <v>24</v>
      </c>
      <c r="C45" s="75">
        <v>0</v>
      </c>
      <c r="D45" s="75">
        <v>0</v>
      </c>
      <c r="E45" s="75">
        <v>1.43</v>
      </c>
      <c r="F45" s="87">
        <v>4.1900000000000004</v>
      </c>
      <c r="G45" s="75">
        <v>21.55</v>
      </c>
      <c r="H45" s="76">
        <v>27.17</v>
      </c>
      <c r="I45" s="45"/>
      <c r="J45" s="86"/>
      <c r="K45" s="86"/>
      <c r="L45" s="86"/>
      <c r="M45" s="86"/>
      <c r="N45" s="86"/>
      <c r="O45" s="86"/>
    </row>
    <row r="46" spans="1:15" s="50" customFormat="1" ht="14" x14ac:dyDescent="0.35">
      <c r="A46" s="40">
        <v>78</v>
      </c>
      <c r="B46" s="50" t="s">
        <v>35</v>
      </c>
      <c r="C46" s="75">
        <v>0</v>
      </c>
      <c r="D46" s="75">
        <v>0</v>
      </c>
      <c r="E46" s="87">
        <f>25*(36/122)</f>
        <v>7.3770491803278686</v>
      </c>
      <c r="F46" s="87">
        <f>6*(36/122)</f>
        <v>1.7704918032786885</v>
      </c>
      <c r="G46" s="75">
        <f>91*(36/122)</f>
        <v>26.852459016393443</v>
      </c>
      <c r="H46" s="76">
        <f>122-86</f>
        <v>36</v>
      </c>
      <c r="I46" s="45"/>
      <c r="J46" s="86"/>
      <c r="K46" s="86"/>
      <c r="L46" s="86"/>
      <c r="M46" s="86"/>
      <c r="N46" s="86"/>
      <c r="O46" s="86"/>
    </row>
    <row r="47" spans="1:15" s="50" customFormat="1" ht="14" x14ac:dyDescent="0.35">
      <c r="A47" s="40">
        <v>89</v>
      </c>
      <c r="B47" s="50" t="s">
        <v>44</v>
      </c>
      <c r="C47" s="75">
        <v>0</v>
      </c>
      <c r="D47" s="75">
        <v>0</v>
      </c>
      <c r="E47" s="87">
        <v>6.25</v>
      </c>
      <c r="F47" s="87">
        <v>12.75</v>
      </c>
      <c r="G47" s="75">
        <v>43.25</v>
      </c>
      <c r="H47" s="76">
        <v>62.25</v>
      </c>
      <c r="I47" s="45"/>
      <c r="J47" s="86"/>
      <c r="K47" s="86"/>
      <c r="L47" s="86"/>
      <c r="M47" s="86"/>
      <c r="N47" s="86"/>
      <c r="O47" s="86"/>
    </row>
    <row r="48" spans="1:15" s="50" customFormat="1" ht="14" x14ac:dyDescent="0.35">
      <c r="A48" s="40">
        <v>93</v>
      </c>
      <c r="B48" s="50" t="s">
        <v>60</v>
      </c>
      <c r="C48" s="75">
        <v>0</v>
      </c>
      <c r="D48" s="75">
        <v>0</v>
      </c>
      <c r="E48" s="87">
        <v>1</v>
      </c>
      <c r="F48" s="87">
        <v>1</v>
      </c>
      <c r="G48" s="75">
        <v>9</v>
      </c>
      <c r="H48" s="76">
        <v>11</v>
      </c>
      <c r="I48" s="45"/>
      <c r="J48" s="86"/>
      <c r="K48" s="86"/>
      <c r="L48" s="86"/>
      <c r="M48" s="86"/>
      <c r="N48" s="86"/>
      <c r="O48" s="86"/>
    </row>
    <row r="49" spans="1:15" s="50" customFormat="1" ht="14.5" x14ac:dyDescent="0.35">
      <c r="A49" s="40">
        <v>95</v>
      </c>
      <c r="B49" s="50" t="s">
        <v>91</v>
      </c>
      <c r="C49" s="75">
        <v>0</v>
      </c>
      <c r="D49" s="75">
        <v>0</v>
      </c>
      <c r="E49" s="87">
        <v>0</v>
      </c>
      <c r="F49" s="87">
        <v>0</v>
      </c>
      <c r="G49" s="75">
        <v>0</v>
      </c>
      <c r="H49" s="76">
        <v>0</v>
      </c>
      <c r="I49" s="45"/>
      <c r="J49" s="86"/>
      <c r="K49" s="86"/>
      <c r="L49" s="86"/>
      <c r="M49" s="86"/>
      <c r="N49" s="86"/>
      <c r="O49" s="86"/>
    </row>
    <row r="50" spans="1:15" s="50" customFormat="1" ht="14" x14ac:dyDescent="0.35">
      <c r="A50" s="40">
        <v>97</v>
      </c>
      <c r="B50" s="50" t="s">
        <v>52</v>
      </c>
      <c r="C50" s="75">
        <v>0</v>
      </c>
      <c r="D50" s="75">
        <v>0</v>
      </c>
      <c r="E50" s="75">
        <v>11</v>
      </c>
      <c r="F50" s="75">
        <v>20</v>
      </c>
      <c r="G50" s="75">
        <v>81</v>
      </c>
      <c r="H50" s="76">
        <v>112</v>
      </c>
      <c r="I50" s="45"/>
      <c r="J50" s="86"/>
      <c r="K50" s="86"/>
      <c r="L50" s="86"/>
      <c r="M50" s="86"/>
      <c r="N50" s="86"/>
      <c r="O50" s="86"/>
    </row>
    <row r="51" spans="1:15" s="50" customFormat="1" ht="14.5" x14ac:dyDescent="0.35">
      <c r="A51" s="50">
        <v>77</v>
      </c>
      <c r="B51" s="44" t="s">
        <v>92</v>
      </c>
      <c r="C51" s="78">
        <v>0</v>
      </c>
      <c r="D51" s="78">
        <v>0</v>
      </c>
      <c r="E51" s="78">
        <v>0</v>
      </c>
      <c r="F51" s="78">
        <v>0</v>
      </c>
      <c r="G51" s="78">
        <v>0</v>
      </c>
      <c r="H51" s="79">
        <v>0</v>
      </c>
      <c r="I51" s="45"/>
      <c r="J51" s="86"/>
      <c r="K51" s="86"/>
      <c r="L51" s="86"/>
      <c r="M51" s="86"/>
      <c r="N51" s="86"/>
      <c r="O51" s="86"/>
    </row>
    <row r="52" spans="1:15" s="81" customFormat="1" x14ac:dyDescent="0.35">
      <c r="A52" s="40"/>
      <c r="B52" s="69"/>
      <c r="C52" s="84"/>
      <c r="D52" s="84"/>
      <c r="E52" s="80"/>
      <c r="F52" s="80"/>
      <c r="G52" s="80"/>
      <c r="H52" s="80"/>
    </row>
    <row r="53" spans="1:15" s="50" customFormat="1" ht="12.5" x14ac:dyDescent="0.35">
      <c r="A53" s="40"/>
      <c r="B53" s="50" t="s">
        <v>93</v>
      </c>
      <c r="F53" s="45"/>
    </row>
    <row r="54" spans="1:15" s="50" customFormat="1" ht="12.5" x14ac:dyDescent="0.35">
      <c r="A54" s="40"/>
      <c r="B54" s="50" t="s">
        <v>94</v>
      </c>
      <c r="F54" s="45"/>
    </row>
    <row r="55" spans="1:15" s="50" customFormat="1" ht="12.5" x14ac:dyDescent="0.35">
      <c r="A55" s="40"/>
      <c r="F55" s="45"/>
    </row>
    <row r="56" spans="1:15" s="50" customFormat="1" ht="12.5" x14ac:dyDescent="0.35">
      <c r="A56" s="40"/>
      <c r="B56" s="63" t="s">
        <v>71</v>
      </c>
      <c r="C56" s="45"/>
    </row>
    <row r="57" spans="1:15" x14ac:dyDescent="0.35">
      <c r="G57" s="82"/>
      <c r="H57" s="82"/>
    </row>
    <row r="58" spans="1:15" x14ac:dyDescent="0.35">
      <c r="C58" s="88"/>
      <c r="D58" s="48"/>
      <c r="E58" s="48"/>
      <c r="F58" s="82"/>
    </row>
    <row r="59" spans="1:15" x14ac:dyDescent="0.35">
      <c r="C59" s="88"/>
      <c r="D59" s="48"/>
      <c r="E59" s="48"/>
    </row>
    <row r="69" spans="2:8" x14ac:dyDescent="0.35">
      <c r="B69" s="50" t="s">
        <v>18</v>
      </c>
      <c r="C69" s="75">
        <v>0</v>
      </c>
      <c r="D69" s="75">
        <v>0</v>
      </c>
      <c r="E69" s="75">
        <v>34.25</v>
      </c>
      <c r="F69" s="75">
        <v>62</v>
      </c>
      <c r="G69" s="75">
        <v>198</v>
      </c>
      <c r="H69" s="76">
        <v>294.25</v>
      </c>
    </row>
    <row r="70" spans="2:8" x14ac:dyDescent="0.35">
      <c r="B70" s="50" t="s">
        <v>53</v>
      </c>
      <c r="C70" s="75">
        <v>0</v>
      </c>
      <c r="D70" s="75">
        <v>0</v>
      </c>
      <c r="E70" s="75">
        <v>24.75</v>
      </c>
      <c r="F70" s="75">
        <v>44</v>
      </c>
      <c r="G70" s="75">
        <v>192.5</v>
      </c>
      <c r="H70" s="76">
        <v>261.25</v>
      </c>
    </row>
  </sheetData>
  <mergeCells count="1">
    <mergeCell ref="B1:H1"/>
  </mergeCells>
  <conditionalFormatting sqref="J3:O51">
    <cfRule type="cellIs" dxfId="17" priority="1" stopIfTrue="1" operator="lessThan">
      <formula>-0.5</formula>
    </cfRule>
    <cfRule type="cellIs" dxfId="16" priority="2" stopIfTrue="1" operator="greaterThan">
      <formula>0.5</formula>
    </cfRule>
  </conditionalFormatting>
  <pageMargins left="0.37" right="0.24" top="0.55000000000000004" bottom="1" header="0.5" footer="0.5"/>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indexed="22"/>
  </sheetPr>
  <dimension ref="A1:O65"/>
  <sheetViews>
    <sheetView showGridLines="0" zoomScale="85" zoomScaleNormal="85" workbookViewId="0">
      <pane xSplit="2" ySplit="2" topLeftCell="C3" activePane="bottomRight" state="frozen"/>
      <selection activeCell="A4" sqref="A4:H4"/>
      <selection pane="topRight" activeCell="A4" sqref="A4:H4"/>
      <selection pane="bottomLeft" activeCell="A4" sqref="A4:H4"/>
      <selection pane="bottomRight" activeCell="A4" sqref="A4:H4"/>
    </sheetView>
  </sheetViews>
  <sheetFormatPr defaultColWidth="0" defaultRowHeight="15.5" x14ac:dyDescent="0.35"/>
  <cols>
    <col min="1" max="1" width="3.453125" style="40" hidden="1" customWidth="1"/>
    <col min="2" max="2" width="25.26953125" style="69" customWidth="1"/>
    <col min="3" max="8" width="13" style="69" customWidth="1"/>
    <col min="9" max="9" width="9.1796875" style="69" customWidth="1"/>
    <col min="10" max="256" width="0" style="69" hidden="1"/>
    <col min="257" max="257" width="0" style="69" hidden="1" customWidth="1"/>
    <col min="258" max="258" width="25.26953125" style="69" customWidth="1"/>
    <col min="259" max="264" width="13" style="69" customWidth="1"/>
    <col min="265" max="265" width="9.1796875" style="69" customWidth="1"/>
    <col min="266" max="512" width="0" style="69" hidden="1"/>
    <col min="513" max="513" width="0" style="69" hidden="1" customWidth="1"/>
    <col min="514" max="514" width="25.26953125" style="69" customWidth="1"/>
    <col min="515" max="520" width="13" style="69" customWidth="1"/>
    <col min="521" max="521" width="9.1796875" style="69" customWidth="1"/>
    <col min="522" max="768" width="0" style="69" hidden="1"/>
    <col min="769" max="769" width="0" style="69" hidden="1" customWidth="1"/>
    <col min="770" max="770" width="25.26953125" style="69" customWidth="1"/>
    <col min="771" max="776" width="13" style="69" customWidth="1"/>
    <col min="777" max="777" width="9.1796875" style="69" customWidth="1"/>
    <col min="778" max="1024" width="0" style="69" hidden="1"/>
    <col min="1025" max="1025" width="0" style="69" hidden="1" customWidth="1"/>
    <col min="1026" max="1026" width="25.26953125" style="69" customWidth="1"/>
    <col min="1027" max="1032" width="13" style="69" customWidth="1"/>
    <col min="1033" max="1033" width="9.1796875" style="69" customWidth="1"/>
    <col min="1034" max="1280" width="0" style="69" hidden="1"/>
    <col min="1281" max="1281" width="0" style="69" hidden="1" customWidth="1"/>
    <col min="1282" max="1282" width="25.26953125" style="69" customWidth="1"/>
    <col min="1283" max="1288" width="13" style="69" customWidth="1"/>
    <col min="1289" max="1289" width="9.1796875" style="69" customWidth="1"/>
    <col min="1290" max="1536" width="0" style="69" hidden="1"/>
    <col min="1537" max="1537" width="0" style="69" hidden="1" customWidth="1"/>
    <col min="1538" max="1538" width="25.26953125" style="69" customWidth="1"/>
    <col min="1539" max="1544" width="13" style="69" customWidth="1"/>
    <col min="1545" max="1545" width="9.1796875" style="69" customWidth="1"/>
    <col min="1546" max="1792" width="0" style="69" hidden="1"/>
    <col min="1793" max="1793" width="0" style="69" hidden="1" customWidth="1"/>
    <col min="1794" max="1794" width="25.26953125" style="69" customWidth="1"/>
    <col min="1795" max="1800" width="13" style="69" customWidth="1"/>
    <col min="1801" max="1801" width="9.1796875" style="69" customWidth="1"/>
    <col min="1802" max="2048" width="0" style="69" hidden="1"/>
    <col min="2049" max="2049" width="0" style="69" hidden="1" customWidth="1"/>
    <col min="2050" max="2050" width="25.26953125" style="69" customWidth="1"/>
    <col min="2051" max="2056" width="13" style="69" customWidth="1"/>
    <col min="2057" max="2057" width="9.1796875" style="69" customWidth="1"/>
    <col min="2058" max="2304" width="0" style="69" hidden="1"/>
    <col min="2305" max="2305" width="0" style="69" hidden="1" customWidth="1"/>
    <col min="2306" max="2306" width="25.26953125" style="69" customWidth="1"/>
    <col min="2307" max="2312" width="13" style="69" customWidth="1"/>
    <col min="2313" max="2313" width="9.1796875" style="69" customWidth="1"/>
    <col min="2314" max="2560" width="0" style="69" hidden="1"/>
    <col min="2561" max="2561" width="0" style="69" hidden="1" customWidth="1"/>
    <col min="2562" max="2562" width="25.26953125" style="69" customWidth="1"/>
    <col min="2563" max="2568" width="13" style="69" customWidth="1"/>
    <col min="2569" max="2569" width="9.1796875" style="69" customWidth="1"/>
    <col min="2570" max="2816" width="0" style="69" hidden="1"/>
    <col min="2817" max="2817" width="0" style="69" hidden="1" customWidth="1"/>
    <col min="2818" max="2818" width="25.26953125" style="69" customWidth="1"/>
    <col min="2819" max="2824" width="13" style="69" customWidth="1"/>
    <col min="2825" max="2825" width="9.1796875" style="69" customWidth="1"/>
    <col min="2826" max="3072" width="0" style="69" hidden="1"/>
    <col min="3073" max="3073" width="0" style="69" hidden="1" customWidth="1"/>
    <col min="3074" max="3074" width="25.26953125" style="69" customWidth="1"/>
    <col min="3075" max="3080" width="13" style="69" customWidth="1"/>
    <col min="3081" max="3081" width="9.1796875" style="69" customWidth="1"/>
    <col min="3082" max="3328" width="0" style="69" hidden="1"/>
    <col min="3329" max="3329" width="0" style="69" hidden="1" customWidth="1"/>
    <col min="3330" max="3330" width="25.26953125" style="69" customWidth="1"/>
    <col min="3331" max="3336" width="13" style="69" customWidth="1"/>
    <col min="3337" max="3337" width="9.1796875" style="69" customWidth="1"/>
    <col min="3338" max="3584" width="0" style="69" hidden="1"/>
    <col min="3585" max="3585" width="0" style="69" hidden="1" customWidth="1"/>
    <col min="3586" max="3586" width="25.26953125" style="69" customWidth="1"/>
    <col min="3587" max="3592" width="13" style="69" customWidth="1"/>
    <col min="3593" max="3593" width="9.1796875" style="69" customWidth="1"/>
    <col min="3594" max="3840" width="0" style="69" hidden="1"/>
    <col min="3841" max="3841" width="0" style="69" hidden="1" customWidth="1"/>
    <col min="3842" max="3842" width="25.26953125" style="69" customWidth="1"/>
    <col min="3843" max="3848" width="13" style="69" customWidth="1"/>
    <col min="3849" max="3849" width="9.1796875" style="69" customWidth="1"/>
    <col min="3850" max="4096" width="0" style="69" hidden="1"/>
    <col min="4097" max="4097" width="0" style="69" hidden="1" customWidth="1"/>
    <col min="4098" max="4098" width="25.26953125" style="69" customWidth="1"/>
    <col min="4099" max="4104" width="13" style="69" customWidth="1"/>
    <col min="4105" max="4105" width="9.1796875" style="69" customWidth="1"/>
    <col min="4106" max="4352" width="0" style="69" hidden="1"/>
    <col min="4353" max="4353" width="0" style="69" hidden="1" customWidth="1"/>
    <col min="4354" max="4354" width="25.26953125" style="69" customWidth="1"/>
    <col min="4355" max="4360" width="13" style="69" customWidth="1"/>
    <col min="4361" max="4361" width="9.1796875" style="69" customWidth="1"/>
    <col min="4362" max="4608" width="0" style="69" hidden="1"/>
    <col min="4609" max="4609" width="0" style="69" hidden="1" customWidth="1"/>
    <col min="4610" max="4610" width="25.26953125" style="69" customWidth="1"/>
    <col min="4611" max="4616" width="13" style="69" customWidth="1"/>
    <col min="4617" max="4617" width="9.1796875" style="69" customWidth="1"/>
    <col min="4618" max="4864" width="0" style="69" hidden="1"/>
    <col min="4865" max="4865" width="0" style="69" hidden="1" customWidth="1"/>
    <col min="4866" max="4866" width="25.26953125" style="69" customWidth="1"/>
    <col min="4867" max="4872" width="13" style="69" customWidth="1"/>
    <col min="4873" max="4873" width="9.1796875" style="69" customWidth="1"/>
    <col min="4874" max="5120" width="0" style="69" hidden="1"/>
    <col min="5121" max="5121" width="0" style="69" hidden="1" customWidth="1"/>
    <col min="5122" max="5122" width="25.26953125" style="69" customWidth="1"/>
    <col min="5123" max="5128" width="13" style="69" customWidth="1"/>
    <col min="5129" max="5129" width="9.1796875" style="69" customWidth="1"/>
    <col min="5130" max="5376" width="0" style="69" hidden="1"/>
    <col min="5377" max="5377" width="0" style="69" hidden="1" customWidth="1"/>
    <col min="5378" max="5378" width="25.26953125" style="69" customWidth="1"/>
    <col min="5379" max="5384" width="13" style="69" customWidth="1"/>
    <col min="5385" max="5385" width="9.1796875" style="69" customWidth="1"/>
    <col min="5386" max="5632" width="0" style="69" hidden="1"/>
    <col min="5633" max="5633" width="0" style="69" hidden="1" customWidth="1"/>
    <col min="5634" max="5634" width="25.26953125" style="69" customWidth="1"/>
    <col min="5635" max="5640" width="13" style="69" customWidth="1"/>
    <col min="5641" max="5641" width="9.1796875" style="69" customWidth="1"/>
    <col min="5642" max="5888" width="0" style="69" hidden="1"/>
    <col min="5889" max="5889" width="0" style="69" hidden="1" customWidth="1"/>
    <col min="5890" max="5890" width="25.26953125" style="69" customWidth="1"/>
    <col min="5891" max="5896" width="13" style="69" customWidth="1"/>
    <col min="5897" max="5897" width="9.1796875" style="69" customWidth="1"/>
    <col min="5898" max="6144" width="0" style="69" hidden="1"/>
    <col min="6145" max="6145" width="0" style="69" hidden="1" customWidth="1"/>
    <col min="6146" max="6146" width="25.26953125" style="69" customWidth="1"/>
    <col min="6147" max="6152" width="13" style="69" customWidth="1"/>
    <col min="6153" max="6153" width="9.1796875" style="69" customWidth="1"/>
    <col min="6154" max="6400" width="0" style="69" hidden="1"/>
    <col min="6401" max="6401" width="0" style="69" hidden="1" customWidth="1"/>
    <col min="6402" max="6402" width="25.26953125" style="69" customWidth="1"/>
    <col min="6403" max="6408" width="13" style="69" customWidth="1"/>
    <col min="6409" max="6409" width="9.1796875" style="69" customWidth="1"/>
    <col min="6410" max="6656" width="0" style="69" hidden="1"/>
    <col min="6657" max="6657" width="0" style="69" hidden="1" customWidth="1"/>
    <col min="6658" max="6658" width="25.26953125" style="69" customWidth="1"/>
    <col min="6659" max="6664" width="13" style="69" customWidth="1"/>
    <col min="6665" max="6665" width="9.1796875" style="69" customWidth="1"/>
    <col min="6666" max="6912" width="0" style="69" hidden="1"/>
    <col min="6913" max="6913" width="0" style="69" hidden="1" customWidth="1"/>
    <col min="6914" max="6914" width="25.26953125" style="69" customWidth="1"/>
    <col min="6915" max="6920" width="13" style="69" customWidth="1"/>
    <col min="6921" max="6921" width="9.1796875" style="69" customWidth="1"/>
    <col min="6922" max="7168" width="0" style="69" hidden="1"/>
    <col min="7169" max="7169" width="0" style="69" hidden="1" customWidth="1"/>
    <col min="7170" max="7170" width="25.26953125" style="69" customWidth="1"/>
    <col min="7171" max="7176" width="13" style="69" customWidth="1"/>
    <col min="7177" max="7177" width="9.1796875" style="69" customWidth="1"/>
    <col min="7178" max="7424" width="0" style="69" hidden="1"/>
    <col min="7425" max="7425" width="0" style="69" hidden="1" customWidth="1"/>
    <col min="7426" max="7426" width="25.26953125" style="69" customWidth="1"/>
    <col min="7427" max="7432" width="13" style="69" customWidth="1"/>
    <col min="7433" max="7433" width="9.1796875" style="69" customWidth="1"/>
    <col min="7434" max="7680" width="0" style="69" hidden="1"/>
    <col min="7681" max="7681" width="0" style="69" hidden="1" customWidth="1"/>
    <col min="7682" max="7682" width="25.26953125" style="69" customWidth="1"/>
    <col min="7683" max="7688" width="13" style="69" customWidth="1"/>
    <col min="7689" max="7689" width="9.1796875" style="69" customWidth="1"/>
    <col min="7690" max="7936" width="0" style="69" hidden="1"/>
    <col min="7937" max="7937" width="0" style="69" hidden="1" customWidth="1"/>
    <col min="7938" max="7938" width="25.26953125" style="69" customWidth="1"/>
    <col min="7939" max="7944" width="13" style="69" customWidth="1"/>
    <col min="7945" max="7945" width="9.1796875" style="69" customWidth="1"/>
    <col min="7946" max="8192" width="0" style="69" hidden="1"/>
    <col min="8193" max="8193" width="0" style="69" hidden="1" customWidth="1"/>
    <col min="8194" max="8194" width="25.26953125" style="69" customWidth="1"/>
    <col min="8195" max="8200" width="13" style="69" customWidth="1"/>
    <col min="8201" max="8201" width="9.1796875" style="69" customWidth="1"/>
    <col min="8202" max="8448" width="0" style="69" hidden="1"/>
    <col min="8449" max="8449" width="0" style="69" hidden="1" customWidth="1"/>
    <col min="8450" max="8450" width="25.26953125" style="69" customWidth="1"/>
    <col min="8451" max="8456" width="13" style="69" customWidth="1"/>
    <col min="8457" max="8457" width="9.1796875" style="69" customWidth="1"/>
    <col min="8458" max="8704" width="0" style="69" hidden="1"/>
    <col min="8705" max="8705" width="0" style="69" hidden="1" customWidth="1"/>
    <col min="8706" max="8706" width="25.26953125" style="69" customWidth="1"/>
    <col min="8707" max="8712" width="13" style="69" customWidth="1"/>
    <col min="8713" max="8713" width="9.1796875" style="69" customWidth="1"/>
    <col min="8714" max="8960" width="0" style="69" hidden="1"/>
    <col min="8961" max="8961" width="0" style="69" hidden="1" customWidth="1"/>
    <col min="8962" max="8962" width="25.26953125" style="69" customWidth="1"/>
    <col min="8963" max="8968" width="13" style="69" customWidth="1"/>
    <col min="8969" max="8969" width="9.1796875" style="69" customWidth="1"/>
    <col min="8970" max="9216" width="0" style="69" hidden="1"/>
    <col min="9217" max="9217" width="0" style="69" hidden="1" customWidth="1"/>
    <col min="9218" max="9218" width="25.26953125" style="69" customWidth="1"/>
    <col min="9219" max="9224" width="13" style="69" customWidth="1"/>
    <col min="9225" max="9225" width="9.1796875" style="69" customWidth="1"/>
    <col min="9226" max="9472" width="0" style="69" hidden="1"/>
    <col min="9473" max="9473" width="0" style="69" hidden="1" customWidth="1"/>
    <col min="9474" max="9474" width="25.26953125" style="69" customWidth="1"/>
    <col min="9475" max="9480" width="13" style="69" customWidth="1"/>
    <col min="9481" max="9481" width="9.1796875" style="69" customWidth="1"/>
    <col min="9482" max="9728" width="0" style="69" hidden="1"/>
    <col min="9729" max="9729" width="0" style="69" hidden="1" customWidth="1"/>
    <col min="9730" max="9730" width="25.26953125" style="69" customWidth="1"/>
    <col min="9731" max="9736" width="13" style="69" customWidth="1"/>
    <col min="9737" max="9737" width="9.1796875" style="69" customWidth="1"/>
    <col min="9738" max="9984" width="0" style="69" hidden="1"/>
    <col min="9985" max="9985" width="0" style="69" hidden="1" customWidth="1"/>
    <col min="9986" max="9986" width="25.26953125" style="69" customWidth="1"/>
    <col min="9987" max="9992" width="13" style="69" customWidth="1"/>
    <col min="9993" max="9993" width="9.1796875" style="69" customWidth="1"/>
    <col min="9994" max="10240" width="0" style="69" hidden="1"/>
    <col min="10241" max="10241" width="0" style="69" hidden="1" customWidth="1"/>
    <col min="10242" max="10242" width="25.26953125" style="69" customWidth="1"/>
    <col min="10243" max="10248" width="13" style="69" customWidth="1"/>
    <col min="10249" max="10249" width="9.1796875" style="69" customWidth="1"/>
    <col min="10250" max="10496" width="0" style="69" hidden="1"/>
    <col min="10497" max="10497" width="0" style="69" hidden="1" customWidth="1"/>
    <col min="10498" max="10498" width="25.26953125" style="69" customWidth="1"/>
    <col min="10499" max="10504" width="13" style="69" customWidth="1"/>
    <col min="10505" max="10505" width="9.1796875" style="69" customWidth="1"/>
    <col min="10506" max="10752" width="0" style="69" hidden="1"/>
    <col min="10753" max="10753" width="0" style="69" hidden="1" customWidth="1"/>
    <col min="10754" max="10754" width="25.26953125" style="69" customWidth="1"/>
    <col min="10755" max="10760" width="13" style="69" customWidth="1"/>
    <col min="10761" max="10761" width="9.1796875" style="69" customWidth="1"/>
    <col min="10762" max="11008" width="0" style="69" hidden="1"/>
    <col min="11009" max="11009" width="0" style="69" hidden="1" customWidth="1"/>
    <col min="11010" max="11010" width="25.26953125" style="69" customWidth="1"/>
    <col min="11011" max="11016" width="13" style="69" customWidth="1"/>
    <col min="11017" max="11017" width="9.1796875" style="69" customWidth="1"/>
    <col min="11018" max="11264" width="0" style="69" hidden="1"/>
    <col min="11265" max="11265" width="0" style="69" hidden="1" customWidth="1"/>
    <col min="11266" max="11266" width="25.26953125" style="69" customWidth="1"/>
    <col min="11267" max="11272" width="13" style="69" customWidth="1"/>
    <col min="11273" max="11273" width="9.1796875" style="69" customWidth="1"/>
    <col min="11274" max="11520" width="0" style="69" hidden="1"/>
    <col min="11521" max="11521" width="0" style="69" hidden="1" customWidth="1"/>
    <col min="11522" max="11522" width="25.26953125" style="69" customWidth="1"/>
    <col min="11523" max="11528" width="13" style="69" customWidth="1"/>
    <col min="11529" max="11529" width="9.1796875" style="69" customWidth="1"/>
    <col min="11530" max="11776" width="0" style="69" hidden="1"/>
    <col min="11777" max="11777" width="0" style="69" hidden="1" customWidth="1"/>
    <col min="11778" max="11778" width="25.26953125" style="69" customWidth="1"/>
    <col min="11779" max="11784" width="13" style="69" customWidth="1"/>
    <col min="11785" max="11785" width="9.1796875" style="69" customWidth="1"/>
    <col min="11786" max="12032" width="0" style="69" hidden="1"/>
    <col min="12033" max="12033" width="0" style="69" hidden="1" customWidth="1"/>
    <col min="12034" max="12034" width="25.26953125" style="69" customWidth="1"/>
    <col min="12035" max="12040" width="13" style="69" customWidth="1"/>
    <col min="12041" max="12041" width="9.1796875" style="69" customWidth="1"/>
    <col min="12042" max="12288" width="0" style="69" hidden="1"/>
    <col min="12289" max="12289" width="0" style="69" hidden="1" customWidth="1"/>
    <col min="12290" max="12290" width="25.26953125" style="69" customWidth="1"/>
    <col min="12291" max="12296" width="13" style="69" customWidth="1"/>
    <col min="12297" max="12297" width="9.1796875" style="69" customWidth="1"/>
    <col min="12298" max="12544" width="0" style="69" hidden="1"/>
    <col min="12545" max="12545" width="0" style="69" hidden="1" customWidth="1"/>
    <col min="12546" max="12546" width="25.26953125" style="69" customWidth="1"/>
    <col min="12547" max="12552" width="13" style="69" customWidth="1"/>
    <col min="12553" max="12553" width="9.1796875" style="69" customWidth="1"/>
    <col min="12554" max="12800" width="0" style="69" hidden="1"/>
    <col min="12801" max="12801" width="0" style="69" hidden="1" customWidth="1"/>
    <col min="12802" max="12802" width="25.26953125" style="69" customWidth="1"/>
    <col min="12803" max="12808" width="13" style="69" customWidth="1"/>
    <col min="12809" max="12809" width="9.1796875" style="69" customWidth="1"/>
    <col min="12810" max="13056" width="0" style="69" hidden="1"/>
    <col min="13057" max="13057" width="0" style="69" hidden="1" customWidth="1"/>
    <col min="13058" max="13058" width="25.26953125" style="69" customWidth="1"/>
    <col min="13059" max="13064" width="13" style="69" customWidth="1"/>
    <col min="13065" max="13065" width="9.1796875" style="69" customWidth="1"/>
    <col min="13066" max="13312" width="0" style="69" hidden="1"/>
    <col min="13313" max="13313" width="0" style="69" hidden="1" customWidth="1"/>
    <col min="13314" max="13314" width="25.26953125" style="69" customWidth="1"/>
    <col min="13315" max="13320" width="13" style="69" customWidth="1"/>
    <col min="13321" max="13321" width="9.1796875" style="69" customWidth="1"/>
    <col min="13322" max="13568" width="0" style="69" hidden="1"/>
    <col min="13569" max="13569" width="0" style="69" hidden="1" customWidth="1"/>
    <col min="13570" max="13570" width="25.26953125" style="69" customWidth="1"/>
    <col min="13571" max="13576" width="13" style="69" customWidth="1"/>
    <col min="13577" max="13577" width="9.1796875" style="69" customWidth="1"/>
    <col min="13578" max="13824" width="0" style="69" hidden="1"/>
    <col min="13825" max="13825" width="0" style="69" hidden="1" customWidth="1"/>
    <col min="13826" max="13826" width="25.26953125" style="69" customWidth="1"/>
    <col min="13827" max="13832" width="13" style="69" customWidth="1"/>
    <col min="13833" max="13833" width="9.1796875" style="69" customWidth="1"/>
    <col min="13834" max="14080" width="0" style="69" hidden="1"/>
    <col min="14081" max="14081" width="0" style="69" hidden="1" customWidth="1"/>
    <col min="14082" max="14082" width="25.26953125" style="69" customWidth="1"/>
    <col min="14083" max="14088" width="13" style="69" customWidth="1"/>
    <col min="14089" max="14089" width="9.1796875" style="69" customWidth="1"/>
    <col min="14090" max="14336" width="0" style="69" hidden="1"/>
    <col min="14337" max="14337" width="0" style="69" hidden="1" customWidth="1"/>
    <col min="14338" max="14338" width="25.26953125" style="69" customWidth="1"/>
    <col min="14339" max="14344" width="13" style="69" customWidth="1"/>
    <col min="14345" max="14345" width="9.1796875" style="69" customWidth="1"/>
    <col min="14346" max="14592" width="0" style="69" hidden="1"/>
    <col min="14593" max="14593" width="0" style="69" hidden="1" customWidth="1"/>
    <col min="14594" max="14594" width="25.26953125" style="69" customWidth="1"/>
    <col min="14595" max="14600" width="13" style="69" customWidth="1"/>
    <col min="14601" max="14601" width="9.1796875" style="69" customWidth="1"/>
    <col min="14602" max="14848" width="0" style="69" hidden="1"/>
    <col min="14849" max="14849" width="0" style="69" hidden="1" customWidth="1"/>
    <col min="14850" max="14850" width="25.26953125" style="69" customWidth="1"/>
    <col min="14851" max="14856" width="13" style="69" customWidth="1"/>
    <col min="14857" max="14857" width="9.1796875" style="69" customWidth="1"/>
    <col min="14858" max="15104" width="0" style="69" hidden="1"/>
    <col min="15105" max="15105" width="0" style="69" hidden="1" customWidth="1"/>
    <col min="15106" max="15106" width="25.26953125" style="69" customWidth="1"/>
    <col min="15107" max="15112" width="13" style="69" customWidth="1"/>
    <col min="15113" max="15113" width="9.1796875" style="69" customWidth="1"/>
    <col min="15114" max="15360" width="0" style="69" hidden="1"/>
    <col min="15361" max="15361" width="0" style="69" hidden="1" customWidth="1"/>
    <col min="15362" max="15362" width="25.26953125" style="69" customWidth="1"/>
    <col min="15363" max="15368" width="13" style="69" customWidth="1"/>
    <col min="15369" max="15369" width="9.1796875" style="69" customWidth="1"/>
    <col min="15370" max="15616" width="0" style="69" hidden="1"/>
    <col min="15617" max="15617" width="0" style="69" hidden="1" customWidth="1"/>
    <col min="15618" max="15618" width="25.26953125" style="69" customWidth="1"/>
    <col min="15619" max="15624" width="13" style="69" customWidth="1"/>
    <col min="15625" max="15625" width="9.1796875" style="69" customWidth="1"/>
    <col min="15626" max="15872" width="0" style="69" hidden="1"/>
    <col min="15873" max="15873" width="0" style="69" hidden="1" customWidth="1"/>
    <col min="15874" max="15874" width="25.26953125" style="69" customWidth="1"/>
    <col min="15875" max="15880" width="13" style="69" customWidth="1"/>
    <col min="15881" max="15881" width="9.1796875" style="69" customWidth="1"/>
    <col min="15882" max="16128" width="0" style="69" hidden="1"/>
    <col min="16129" max="16129" width="0" style="69" hidden="1" customWidth="1"/>
    <col min="16130" max="16130" width="25.26953125" style="69" customWidth="1"/>
    <col min="16131" max="16136" width="13" style="69" customWidth="1"/>
    <col min="16137" max="16137" width="9.1796875" style="69" customWidth="1"/>
    <col min="16138" max="16384" width="0" style="69" hidden="1"/>
  </cols>
  <sheetData>
    <row r="1" spans="1:15" ht="39.75" customHeight="1" x14ac:dyDescent="0.35">
      <c r="B1" s="149" t="s">
        <v>95</v>
      </c>
      <c r="C1" s="150"/>
      <c r="D1" s="150"/>
      <c r="E1" s="150"/>
      <c r="F1" s="150"/>
      <c r="G1" s="150"/>
      <c r="H1" s="151"/>
    </row>
    <row r="2" spans="1:15" ht="30" customHeight="1" x14ac:dyDescent="0.35">
      <c r="C2" s="70" t="s">
        <v>74</v>
      </c>
      <c r="D2" s="70" t="s">
        <v>75</v>
      </c>
      <c r="E2" s="70" t="s">
        <v>76</v>
      </c>
      <c r="F2" s="70" t="s">
        <v>77</v>
      </c>
      <c r="G2" s="70" t="s">
        <v>78</v>
      </c>
      <c r="H2" s="71" t="s">
        <v>1</v>
      </c>
      <c r="J2" s="85"/>
      <c r="K2" s="85"/>
      <c r="L2" s="85"/>
      <c r="M2" s="85"/>
      <c r="N2" s="70"/>
      <c r="O2" s="71"/>
    </row>
    <row r="3" spans="1:15" s="36" customFormat="1" ht="26.25" customHeight="1" x14ac:dyDescent="0.35">
      <c r="A3" s="38"/>
      <c r="B3" s="37" t="s">
        <v>80</v>
      </c>
      <c r="C3" s="72">
        <v>24.5</v>
      </c>
      <c r="D3" s="72">
        <v>64.25</v>
      </c>
      <c r="E3" s="72">
        <v>270</v>
      </c>
      <c r="F3" s="72">
        <v>305.92</v>
      </c>
      <c r="G3" s="72">
        <v>655.19857000000002</v>
      </c>
      <c r="H3" s="72">
        <v>1319.8685700000001</v>
      </c>
      <c r="I3" s="73"/>
      <c r="J3" s="86"/>
      <c r="K3" s="86"/>
      <c r="L3" s="86"/>
      <c r="M3" s="86"/>
      <c r="N3" s="86"/>
      <c r="O3" s="86"/>
    </row>
    <row r="4" spans="1:15" s="37" customFormat="1" ht="26.25" customHeight="1" x14ac:dyDescent="0.35">
      <c r="A4" s="38"/>
      <c r="B4" s="37" t="s">
        <v>55</v>
      </c>
      <c r="C4" s="74">
        <v>17.5</v>
      </c>
      <c r="D4" s="74">
        <v>56.25</v>
      </c>
      <c r="E4" s="74">
        <v>198.16</v>
      </c>
      <c r="F4" s="74">
        <v>218.92</v>
      </c>
      <c r="G4" s="74">
        <v>457.61857000000003</v>
      </c>
      <c r="H4" s="74">
        <v>948.44857000000002</v>
      </c>
      <c r="J4" s="86"/>
      <c r="K4" s="86"/>
      <c r="L4" s="86"/>
      <c r="M4" s="86"/>
      <c r="N4" s="86"/>
      <c r="O4" s="86"/>
    </row>
    <row r="5" spans="1:15" s="50" customFormat="1" ht="14" x14ac:dyDescent="0.35">
      <c r="A5" s="40">
        <v>51</v>
      </c>
      <c r="B5" s="50" t="s">
        <v>7</v>
      </c>
      <c r="C5" s="75">
        <v>1</v>
      </c>
      <c r="D5" s="75">
        <v>1</v>
      </c>
      <c r="E5" s="75">
        <v>8.5</v>
      </c>
      <c r="F5" s="75">
        <v>9.6</v>
      </c>
      <c r="G5" s="75">
        <v>13</v>
      </c>
      <c r="H5" s="76">
        <v>33.1</v>
      </c>
      <c r="I5" s="45"/>
      <c r="J5" s="86"/>
      <c r="K5" s="86"/>
      <c r="L5" s="86"/>
      <c r="M5" s="86"/>
      <c r="N5" s="86"/>
      <c r="O5" s="86"/>
    </row>
    <row r="6" spans="1:15" s="50" customFormat="1" ht="14" x14ac:dyDescent="0.35">
      <c r="A6" s="40">
        <v>52</v>
      </c>
      <c r="B6" s="50" t="s">
        <v>8</v>
      </c>
      <c r="C6" s="75">
        <v>0.5</v>
      </c>
      <c r="D6" s="75">
        <v>4</v>
      </c>
      <c r="E6" s="75">
        <v>4</v>
      </c>
      <c r="F6" s="75">
        <v>6.5</v>
      </c>
      <c r="G6" s="75">
        <v>9.5</v>
      </c>
      <c r="H6" s="76">
        <v>24.5</v>
      </c>
      <c r="I6" s="45"/>
      <c r="J6" s="86"/>
      <c r="K6" s="86"/>
      <c r="L6" s="86"/>
      <c r="M6" s="86"/>
      <c r="N6" s="86"/>
      <c r="O6" s="86"/>
    </row>
    <row r="7" spans="1:15" s="50" customFormat="1" ht="14" x14ac:dyDescent="0.35">
      <c r="A7" s="40">
        <v>86</v>
      </c>
      <c r="B7" s="50" t="s">
        <v>9</v>
      </c>
      <c r="C7" s="75">
        <v>0</v>
      </c>
      <c r="D7" s="75">
        <v>0</v>
      </c>
      <c r="E7" s="75">
        <v>7</v>
      </c>
      <c r="F7" s="75">
        <v>6.5</v>
      </c>
      <c r="G7" s="75">
        <v>12.94</v>
      </c>
      <c r="H7" s="76">
        <v>26.44</v>
      </c>
      <c r="I7" s="45"/>
      <c r="J7" s="86"/>
      <c r="K7" s="86"/>
      <c r="L7" s="86"/>
      <c r="M7" s="86"/>
      <c r="N7" s="86"/>
      <c r="O7" s="86"/>
    </row>
    <row r="8" spans="1:15" s="50" customFormat="1" ht="14" x14ac:dyDescent="0.35">
      <c r="A8" s="40">
        <v>53</v>
      </c>
      <c r="B8" s="50" t="s">
        <v>10</v>
      </c>
      <c r="C8" s="75">
        <v>1</v>
      </c>
      <c r="D8" s="75">
        <v>1</v>
      </c>
      <c r="E8" s="75">
        <v>4</v>
      </c>
      <c r="F8" s="75">
        <v>4</v>
      </c>
      <c r="G8" s="75">
        <v>11.03</v>
      </c>
      <c r="H8" s="76">
        <v>21.03</v>
      </c>
      <c r="I8" s="45"/>
      <c r="J8" s="86"/>
      <c r="K8" s="86"/>
      <c r="L8" s="86"/>
      <c r="M8" s="86"/>
      <c r="N8" s="86"/>
      <c r="O8" s="86"/>
    </row>
    <row r="9" spans="1:15" s="50" customFormat="1" ht="14" x14ac:dyDescent="0.35">
      <c r="A9" s="40">
        <v>54</v>
      </c>
      <c r="B9" s="50" t="s">
        <v>11</v>
      </c>
      <c r="C9" s="75">
        <v>2</v>
      </c>
      <c r="D9" s="75">
        <v>2</v>
      </c>
      <c r="E9" s="75">
        <v>5</v>
      </c>
      <c r="F9" s="75">
        <v>12</v>
      </c>
      <c r="G9" s="75">
        <v>22</v>
      </c>
      <c r="H9" s="76">
        <v>43</v>
      </c>
      <c r="I9" s="45"/>
      <c r="J9" s="86"/>
      <c r="K9" s="86"/>
      <c r="L9" s="86"/>
      <c r="M9" s="86"/>
      <c r="N9" s="86"/>
      <c r="O9" s="86"/>
    </row>
    <row r="10" spans="1:15" s="50" customFormat="1" ht="14" x14ac:dyDescent="0.35">
      <c r="A10" s="40">
        <v>55</v>
      </c>
      <c r="B10" s="50" t="s">
        <v>12</v>
      </c>
      <c r="C10" s="75">
        <v>0</v>
      </c>
      <c r="D10" s="75">
        <v>1</v>
      </c>
      <c r="E10" s="75">
        <v>8</v>
      </c>
      <c r="F10" s="75">
        <v>2</v>
      </c>
      <c r="G10" s="75">
        <v>15</v>
      </c>
      <c r="H10" s="76">
        <v>26</v>
      </c>
      <c r="I10" s="45"/>
      <c r="J10" s="86"/>
      <c r="K10" s="86"/>
      <c r="L10" s="86"/>
      <c r="M10" s="86"/>
      <c r="N10" s="86"/>
      <c r="O10" s="86"/>
    </row>
    <row r="11" spans="1:15" s="50" customFormat="1" ht="14" x14ac:dyDescent="0.35">
      <c r="A11" s="40">
        <v>56</v>
      </c>
      <c r="B11" s="50" t="s">
        <v>13</v>
      </c>
      <c r="C11" s="75">
        <v>0</v>
      </c>
      <c r="D11" s="75">
        <v>0</v>
      </c>
      <c r="E11" s="75">
        <v>4</v>
      </c>
      <c r="F11" s="75">
        <v>9.5</v>
      </c>
      <c r="G11" s="75">
        <v>8.5</v>
      </c>
      <c r="H11" s="76">
        <v>22</v>
      </c>
      <c r="I11" s="45"/>
      <c r="J11" s="86"/>
      <c r="K11" s="86"/>
      <c r="L11" s="86"/>
      <c r="M11" s="86"/>
      <c r="N11" s="86"/>
      <c r="O11" s="86"/>
    </row>
    <row r="12" spans="1:15" s="50" customFormat="1" ht="14" x14ac:dyDescent="0.35">
      <c r="A12" s="40">
        <v>57</v>
      </c>
      <c r="B12" s="50" t="s">
        <v>14</v>
      </c>
      <c r="C12" s="75">
        <v>1</v>
      </c>
      <c r="D12" s="75">
        <v>1</v>
      </c>
      <c r="E12" s="75">
        <v>4</v>
      </c>
      <c r="F12" s="75">
        <v>5</v>
      </c>
      <c r="G12" s="75">
        <v>5.45</v>
      </c>
      <c r="H12" s="76">
        <v>16.45</v>
      </c>
      <c r="I12" s="45"/>
      <c r="J12" s="86"/>
      <c r="K12" s="86"/>
      <c r="L12" s="86"/>
      <c r="M12" s="86"/>
      <c r="N12" s="86"/>
      <c r="O12" s="86"/>
    </row>
    <row r="13" spans="1:15" s="50" customFormat="1" ht="14" x14ac:dyDescent="0.35">
      <c r="A13" s="40">
        <v>59</v>
      </c>
      <c r="B13" s="50" t="s">
        <v>15</v>
      </c>
      <c r="C13" s="75">
        <v>0</v>
      </c>
      <c r="D13" s="75">
        <v>0</v>
      </c>
      <c r="E13" s="75">
        <v>0</v>
      </c>
      <c r="F13" s="75">
        <v>0</v>
      </c>
      <c r="G13" s="75">
        <v>0</v>
      </c>
      <c r="H13" s="76">
        <v>0</v>
      </c>
      <c r="I13" s="45"/>
      <c r="J13" s="86"/>
      <c r="K13" s="86"/>
      <c r="L13" s="86"/>
      <c r="M13" s="86"/>
      <c r="N13" s="86"/>
      <c r="O13" s="86"/>
    </row>
    <row r="14" spans="1:15" s="50" customFormat="1" ht="14" x14ac:dyDescent="0.35">
      <c r="A14" s="40">
        <v>60</v>
      </c>
      <c r="B14" s="50" t="s">
        <v>16</v>
      </c>
      <c r="C14" s="75">
        <v>0</v>
      </c>
      <c r="D14" s="75">
        <v>0</v>
      </c>
      <c r="E14" s="75">
        <v>3</v>
      </c>
      <c r="F14" s="75">
        <v>5</v>
      </c>
      <c r="G14" s="75">
        <v>16</v>
      </c>
      <c r="H14" s="76">
        <v>24</v>
      </c>
      <c r="I14" s="45"/>
      <c r="J14" s="86"/>
      <c r="K14" s="86"/>
      <c r="L14" s="86"/>
      <c r="M14" s="86"/>
      <c r="N14" s="86"/>
      <c r="O14" s="86"/>
    </row>
    <row r="15" spans="1:15" s="50" customFormat="1" ht="14" x14ac:dyDescent="0.35">
      <c r="A15" s="40">
        <v>61</v>
      </c>
      <c r="B15" s="77" t="s">
        <v>56</v>
      </c>
      <c r="C15" s="75">
        <v>1</v>
      </c>
      <c r="D15" s="75">
        <v>3</v>
      </c>
      <c r="E15" s="75">
        <v>9</v>
      </c>
      <c r="F15" s="75">
        <v>11</v>
      </c>
      <c r="G15" s="75">
        <v>16</v>
      </c>
      <c r="H15" s="76">
        <v>40</v>
      </c>
      <c r="I15" s="45"/>
      <c r="J15" s="86"/>
      <c r="K15" s="86"/>
      <c r="L15" s="86"/>
      <c r="M15" s="86"/>
      <c r="N15" s="86"/>
      <c r="O15" s="86"/>
    </row>
    <row r="16" spans="1:15" s="50" customFormat="1" ht="14" x14ac:dyDescent="0.35">
      <c r="A16" s="40">
        <v>62</v>
      </c>
      <c r="B16" s="50" t="s">
        <v>143</v>
      </c>
      <c r="C16" s="75">
        <f>C64+C65</f>
        <v>0</v>
      </c>
      <c r="D16" s="75">
        <f t="shared" ref="D16:H16" si="0">D64+D65</f>
        <v>7</v>
      </c>
      <c r="E16" s="75">
        <f t="shared" si="0"/>
        <v>8.5</v>
      </c>
      <c r="F16" s="75">
        <f t="shared" si="0"/>
        <v>9</v>
      </c>
      <c r="G16" s="75">
        <f t="shared" si="0"/>
        <v>24.990000000000002</v>
      </c>
      <c r="H16" s="75">
        <f t="shared" si="0"/>
        <v>49.489999999999995</v>
      </c>
      <c r="I16" s="45"/>
      <c r="J16" s="86"/>
      <c r="K16" s="86"/>
      <c r="L16" s="86"/>
      <c r="M16" s="86"/>
      <c r="N16" s="86"/>
      <c r="O16" s="86"/>
    </row>
    <row r="17" spans="1:15" s="50" customFormat="1" ht="14" x14ac:dyDescent="0.35">
      <c r="A17" s="40">
        <v>58</v>
      </c>
      <c r="B17" s="50" t="s">
        <v>19</v>
      </c>
      <c r="C17" s="75">
        <v>0</v>
      </c>
      <c r="D17" s="75">
        <v>2</v>
      </c>
      <c r="E17" s="75">
        <v>6</v>
      </c>
      <c r="F17" s="75">
        <v>4</v>
      </c>
      <c r="G17" s="75">
        <v>18</v>
      </c>
      <c r="H17" s="76">
        <v>30</v>
      </c>
      <c r="I17" s="45"/>
      <c r="J17" s="86"/>
      <c r="K17" s="86"/>
      <c r="L17" s="86"/>
      <c r="M17" s="86"/>
      <c r="N17" s="86"/>
      <c r="O17" s="86"/>
    </row>
    <row r="18" spans="1:15" s="50" customFormat="1" ht="14" x14ac:dyDescent="0.35">
      <c r="A18" s="40">
        <v>63</v>
      </c>
      <c r="B18" s="50" t="s">
        <v>20</v>
      </c>
      <c r="C18" s="75">
        <v>0</v>
      </c>
      <c r="D18" s="75">
        <v>2.5</v>
      </c>
      <c r="E18" s="75">
        <v>5</v>
      </c>
      <c r="F18" s="75">
        <v>4</v>
      </c>
      <c r="G18" s="75">
        <v>17.928570000000001</v>
      </c>
      <c r="H18" s="76">
        <v>29.428570000000001</v>
      </c>
      <c r="I18" s="45"/>
      <c r="J18" s="86"/>
      <c r="K18" s="86"/>
      <c r="L18" s="86"/>
      <c r="M18" s="86"/>
      <c r="N18" s="86"/>
      <c r="O18" s="86"/>
    </row>
    <row r="19" spans="1:15" s="50" customFormat="1" ht="14" x14ac:dyDescent="0.35">
      <c r="A19" s="40">
        <v>64</v>
      </c>
      <c r="B19" s="50" t="s">
        <v>21</v>
      </c>
      <c r="C19" s="75">
        <v>0</v>
      </c>
      <c r="D19" s="75">
        <v>0.75</v>
      </c>
      <c r="E19" s="75">
        <v>3.75</v>
      </c>
      <c r="F19" s="75">
        <v>11.5</v>
      </c>
      <c r="G19" s="75">
        <v>24.25</v>
      </c>
      <c r="H19" s="76">
        <v>40.25</v>
      </c>
      <c r="I19" s="45"/>
      <c r="J19" s="86"/>
      <c r="K19" s="86"/>
      <c r="L19" s="86"/>
      <c r="M19" s="86"/>
      <c r="N19" s="86"/>
      <c r="O19" s="86"/>
    </row>
    <row r="20" spans="1:15" s="50" customFormat="1" ht="14" x14ac:dyDescent="0.35">
      <c r="A20" s="40">
        <v>65</v>
      </c>
      <c r="B20" s="50" t="s">
        <v>22</v>
      </c>
      <c r="C20" s="75">
        <v>0</v>
      </c>
      <c r="D20" s="75">
        <v>0</v>
      </c>
      <c r="E20" s="75">
        <v>5</v>
      </c>
      <c r="F20" s="75">
        <v>5</v>
      </c>
      <c r="G20" s="75">
        <v>10</v>
      </c>
      <c r="H20" s="76">
        <v>20</v>
      </c>
      <c r="I20" s="45"/>
      <c r="J20" s="86"/>
      <c r="K20" s="86"/>
      <c r="L20" s="86"/>
      <c r="M20" s="86"/>
      <c r="N20" s="86"/>
      <c r="O20" s="86"/>
    </row>
    <row r="21" spans="1:15" s="50" customFormat="1" ht="14" x14ac:dyDescent="0.35">
      <c r="A21" s="40">
        <v>67</v>
      </c>
      <c r="B21" s="50" t="s">
        <v>25</v>
      </c>
      <c r="C21" s="75">
        <v>2</v>
      </c>
      <c r="D21" s="75">
        <v>3</v>
      </c>
      <c r="E21" s="75">
        <v>5.2</v>
      </c>
      <c r="F21" s="75">
        <v>7.5</v>
      </c>
      <c r="G21" s="75">
        <v>17.61</v>
      </c>
      <c r="H21" s="76">
        <v>35.31</v>
      </c>
      <c r="I21" s="45"/>
      <c r="J21" s="86"/>
      <c r="K21" s="86"/>
      <c r="L21" s="86"/>
      <c r="M21" s="86"/>
      <c r="N21" s="86"/>
      <c r="O21" s="86"/>
    </row>
    <row r="22" spans="1:15" s="50" customFormat="1" ht="14" x14ac:dyDescent="0.35">
      <c r="A22" s="40">
        <v>68</v>
      </c>
      <c r="B22" s="50" t="s">
        <v>57</v>
      </c>
      <c r="C22" s="75">
        <v>0</v>
      </c>
      <c r="D22" s="75">
        <v>1</v>
      </c>
      <c r="E22" s="75">
        <v>6</v>
      </c>
      <c r="F22" s="75">
        <v>5.5</v>
      </c>
      <c r="G22" s="75">
        <v>10</v>
      </c>
      <c r="H22" s="76">
        <v>22.5</v>
      </c>
      <c r="I22" s="45"/>
      <c r="J22" s="86"/>
      <c r="K22" s="86"/>
      <c r="L22" s="86"/>
      <c r="M22" s="86"/>
      <c r="N22" s="86"/>
      <c r="O22" s="86"/>
    </row>
    <row r="23" spans="1:15" s="50" customFormat="1" ht="14" x14ac:dyDescent="0.35">
      <c r="A23" s="40">
        <v>69</v>
      </c>
      <c r="B23" s="50" t="s">
        <v>27</v>
      </c>
      <c r="C23" s="117">
        <v>0</v>
      </c>
      <c r="D23" s="117">
        <v>1</v>
      </c>
      <c r="E23" s="117">
        <v>11</v>
      </c>
      <c r="F23" s="117">
        <v>3</v>
      </c>
      <c r="G23" s="117">
        <v>10</v>
      </c>
      <c r="H23" s="118">
        <v>25</v>
      </c>
      <c r="I23" s="73" t="s">
        <v>146</v>
      </c>
      <c r="J23" s="86"/>
      <c r="K23" s="86"/>
      <c r="L23" s="86"/>
      <c r="M23" s="86"/>
      <c r="N23" s="86"/>
      <c r="O23" s="86"/>
    </row>
    <row r="24" spans="1:15" s="50" customFormat="1" ht="14" x14ac:dyDescent="0.35">
      <c r="A24" s="40">
        <v>70</v>
      </c>
      <c r="B24" s="50" t="s">
        <v>28</v>
      </c>
      <c r="C24" s="75">
        <v>0</v>
      </c>
      <c r="D24" s="75">
        <v>0</v>
      </c>
      <c r="E24" s="75">
        <v>6</v>
      </c>
      <c r="F24" s="75">
        <v>8</v>
      </c>
      <c r="G24" s="75">
        <v>17</v>
      </c>
      <c r="H24" s="76">
        <v>31</v>
      </c>
      <c r="I24" s="45"/>
      <c r="J24" s="86"/>
      <c r="K24" s="86"/>
      <c r="L24" s="86"/>
      <c r="M24" s="86"/>
      <c r="N24" s="86"/>
      <c r="O24" s="86"/>
    </row>
    <row r="25" spans="1:15" s="50" customFormat="1" ht="14" x14ac:dyDescent="0.35">
      <c r="A25" s="40">
        <v>71</v>
      </c>
      <c r="B25" s="50" t="s">
        <v>58</v>
      </c>
      <c r="C25" s="75">
        <v>0</v>
      </c>
      <c r="D25" s="75">
        <v>0</v>
      </c>
      <c r="E25" s="75">
        <v>0</v>
      </c>
      <c r="F25" s="75">
        <v>0</v>
      </c>
      <c r="G25" s="75">
        <v>0</v>
      </c>
      <c r="H25" s="76">
        <v>0</v>
      </c>
      <c r="I25" s="45"/>
      <c r="J25" s="86"/>
      <c r="K25" s="86"/>
      <c r="L25" s="86"/>
      <c r="M25" s="86"/>
      <c r="N25" s="86"/>
      <c r="O25" s="86"/>
    </row>
    <row r="26" spans="1:15" s="50" customFormat="1" ht="14" x14ac:dyDescent="0.35">
      <c r="A26" s="40">
        <v>73</v>
      </c>
      <c r="B26" s="50" t="s">
        <v>31</v>
      </c>
      <c r="C26" s="75">
        <v>1</v>
      </c>
      <c r="D26" s="75">
        <v>3</v>
      </c>
      <c r="E26" s="75">
        <v>6</v>
      </c>
      <c r="F26" s="75">
        <v>9</v>
      </c>
      <c r="G26" s="75">
        <v>16</v>
      </c>
      <c r="H26" s="76">
        <v>35</v>
      </c>
      <c r="I26" s="45"/>
      <c r="J26" s="86"/>
      <c r="K26" s="86"/>
      <c r="L26" s="86"/>
      <c r="M26" s="86"/>
      <c r="N26" s="86"/>
      <c r="O26" s="86"/>
    </row>
    <row r="27" spans="1:15" s="50" customFormat="1" ht="14" x14ac:dyDescent="0.35">
      <c r="A27" s="40">
        <v>74</v>
      </c>
      <c r="B27" s="50" t="s">
        <v>32</v>
      </c>
      <c r="C27" s="75">
        <v>0</v>
      </c>
      <c r="D27" s="75">
        <v>2</v>
      </c>
      <c r="E27" s="75">
        <v>12</v>
      </c>
      <c r="F27" s="75">
        <v>6</v>
      </c>
      <c r="G27" s="75">
        <v>22</v>
      </c>
      <c r="H27" s="76">
        <v>42</v>
      </c>
      <c r="I27" s="45"/>
      <c r="J27" s="86"/>
      <c r="K27" s="86"/>
      <c r="L27" s="86"/>
      <c r="M27" s="86"/>
      <c r="N27" s="86"/>
      <c r="O27" s="86"/>
    </row>
    <row r="28" spans="1:15" s="50" customFormat="1" ht="14" x14ac:dyDescent="0.35">
      <c r="A28" s="40">
        <v>75</v>
      </c>
      <c r="B28" s="50" t="s">
        <v>33</v>
      </c>
      <c r="C28" s="75">
        <v>1</v>
      </c>
      <c r="D28" s="75">
        <v>1</v>
      </c>
      <c r="E28" s="75">
        <v>4</v>
      </c>
      <c r="F28" s="75">
        <v>10</v>
      </c>
      <c r="G28" s="75">
        <v>11.5</v>
      </c>
      <c r="H28" s="76">
        <v>27.5</v>
      </c>
      <c r="I28" s="45"/>
      <c r="J28" s="86"/>
      <c r="K28" s="86"/>
      <c r="L28" s="86"/>
      <c r="M28" s="86"/>
      <c r="N28" s="86"/>
      <c r="O28" s="86"/>
    </row>
    <row r="29" spans="1:15" s="50" customFormat="1" ht="14" x14ac:dyDescent="0.35">
      <c r="A29" s="40">
        <v>76</v>
      </c>
      <c r="B29" s="50" t="s">
        <v>34</v>
      </c>
      <c r="C29" s="75">
        <v>0</v>
      </c>
      <c r="D29" s="75">
        <v>1</v>
      </c>
      <c r="E29" s="75">
        <v>3</v>
      </c>
      <c r="F29" s="75">
        <v>8</v>
      </c>
      <c r="G29" s="75">
        <v>9</v>
      </c>
      <c r="H29" s="76">
        <v>21</v>
      </c>
      <c r="I29" s="45"/>
      <c r="J29" s="86"/>
      <c r="K29" s="86"/>
      <c r="L29" s="86"/>
      <c r="M29" s="86"/>
      <c r="N29" s="86"/>
      <c r="O29" s="86"/>
    </row>
    <row r="30" spans="1:15" s="50" customFormat="1" ht="14" x14ac:dyDescent="0.35">
      <c r="A30" s="40">
        <v>79</v>
      </c>
      <c r="B30" s="50" t="s">
        <v>36</v>
      </c>
      <c r="C30" s="75">
        <v>0</v>
      </c>
      <c r="D30" s="75">
        <v>1</v>
      </c>
      <c r="E30" s="75">
        <v>7</v>
      </c>
      <c r="F30" s="75">
        <v>4</v>
      </c>
      <c r="G30" s="75">
        <v>11.07</v>
      </c>
      <c r="H30" s="76">
        <v>23.07</v>
      </c>
      <c r="I30" s="45"/>
      <c r="J30" s="86"/>
      <c r="K30" s="86"/>
      <c r="L30" s="86"/>
      <c r="M30" s="86"/>
      <c r="N30" s="86"/>
      <c r="O30" s="86"/>
    </row>
    <row r="31" spans="1:15" s="50" customFormat="1" ht="14" x14ac:dyDescent="0.35">
      <c r="A31" s="40"/>
      <c r="B31" s="67" t="s">
        <v>81</v>
      </c>
      <c r="C31" s="68" t="s">
        <v>64</v>
      </c>
      <c r="D31" s="68" t="s">
        <v>64</v>
      </c>
      <c r="E31" s="68" t="s">
        <v>64</v>
      </c>
      <c r="F31" s="68" t="s">
        <v>64</v>
      </c>
      <c r="G31" s="68" t="s">
        <v>64</v>
      </c>
      <c r="H31" s="68" t="s">
        <v>64</v>
      </c>
      <c r="I31" s="68" t="s">
        <v>64</v>
      </c>
      <c r="J31" s="68" t="s">
        <v>64</v>
      </c>
      <c r="K31" s="86"/>
      <c r="L31" s="86"/>
      <c r="M31" s="86"/>
      <c r="N31" s="86"/>
      <c r="O31" s="86"/>
    </row>
    <row r="32" spans="1:15" s="50" customFormat="1" ht="14" x14ac:dyDescent="0.35">
      <c r="A32" s="40">
        <v>80</v>
      </c>
      <c r="B32" s="50" t="s">
        <v>38</v>
      </c>
      <c r="C32" s="75">
        <v>1</v>
      </c>
      <c r="D32" s="75">
        <v>1</v>
      </c>
      <c r="E32" s="75">
        <v>6.21</v>
      </c>
      <c r="F32" s="75">
        <v>3.57</v>
      </c>
      <c r="G32" s="75">
        <v>11</v>
      </c>
      <c r="H32" s="76">
        <v>22.78</v>
      </c>
      <c r="I32" s="45"/>
      <c r="J32" s="86"/>
      <c r="K32" s="86"/>
      <c r="L32" s="86"/>
      <c r="M32" s="86"/>
      <c r="N32" s="86"/>
      <c r="O32" s="86"/>
    </row>
    <row r="33" spans="1:15" s="50" customFormat="1" ht="14" x14ac:dyDescent="0.35">
      <c r="A33" s="40">
        <v>81</v>
      </c>
      <c r="B33" s="50" t="s">
        <v>39</v>
      </c>
      <c r="C33" s="75">
        <v>0</v>
      </c>
      <c r="D33" s="75">
        <v>1</v>
      </c>
      <c r="E33" s="75">
        <v>4</v>
      </c>
      <c r="F33" s="75">
        <v>4</v>
      </c>
      <c r="G33" s="75">
        <v>12</v>
      </c>
      <c r="H33" s="76">
        <v>21</v>
      </c>
      <c r="I33" s="45"/>
      <c r="J33" s="86"/>
      <c r="K33" s="86"/>
      <c r="L33" s="86"/>
      <c r="M33" s="86"/>
      <c r="N33" s="86"/>
      <c r="O33" s="86"/>
    </row>
    <row r="34" spans="1:15" s="50" customFormat="1" ht="14" x14ac:dyDescent="0.35">
      <c r="A34" s="40">
        <v>83</v>
      </c>
      <c r="B34" s="50" t="s">
        <v>40</v>
      </c>
      <c r="C34" s="75">
        <v>0</v>
      </c>
      <c r="D34" s="75">
        <v>0</v>
      </c>
      <c r="E34" s="75">
        <v>4</v>
      </c>
      <c r="F34" s="75">
        <v>3.75</v>
      </c>
      <c r="G34" s="75">
        <v>8.6</v>
      </c>
      <c r="H34" s="76">
        <v>16.350000000000001</v>
      </c>
      <c r="I34" s="45"/>
      <c r="J34" s="86"/>
      <c r="K34" s="86"/>
      <c r="L34" s="86"/>
      <c r="M34" s="86"/>
      <c r="N34" s="86"/>
      <c r="O34" s="86"/>
    </row>
    <row r="35" spans="1:15" s="50" customFormat="1" ht="14" x14ac:dyDescent="0.35">
      <c r="A35" s="40">
        <v>84</v>
      </c>
      <c r="B35" s="50" t="s">
        <v>41</v>
      </c>
      <c r="C35" s="75">
        <v>1</v>
      </c>
      <c r="D35" s="75">
        <v>4</v>
      </c>
      <c r="E35" s="75">
        <v>4</v>
      </c>
      <c r="F35" s="75">
        <v>4.5</v>
      </c>
      <c r="G35" s="75">
        <v>14.5</v>
      </c>
      <c r="H35" s="76">
        <v>28</v>
      </c>
      <c r="I35" s="45"/>
      <c r="J35" s="86"/>
      <c r="K35" s="86"/>
      <c r="L35" s="86"/>
      <c r="M35" s="86"/>
      <c r="N35" s="86"/>
      <c r="O35" s="86"/>
    </row>
    <row r="36" spans="1:15" s="50" customFormat="1" ht="14" x14ac:dyDescent="0.35">
      <c r="A36" s="40">
        <v>85</v>
      </c>
      <c r="B36" s="50" t="s">
        <v>42</v>
      </c>
      <c r="C36" s="75">
        <v>0</v>
      </c>
      <c r="D36" s="75">
        <v>1</v>
      </c>
      <c r="E36" s="75">
        <v>4</v>
      </c>
      <c r="F36" s="75">
        <v>5</v>
      </c>
      <c r="G36" s="75">
        <v>13</v>
      </c>
      <c r="H36" s="76">
        <v>23</v>
      </c>
      <c r="I36" s="45"/>
      <c r="J36" s="86"/>
      <c r="K36" s="86"/>
      <c r="L36" s="86"/>
      <c r="M36" s="86"/>
      <c r="N36" s="86"/>
      <c r="O36" s="86"/>
    </row>
    <row r="37" spans="1:15" s="50" customFormat="1" ht="14" x14ac:dyDescent="0.35">
      <c r="A37" s="40">
        <v>87</v>
      </c>
      <c r="B37" s="50" t="s">
        <v>43</v>
      </c>
      <c r="C37" s="75">
        <v>0</v>
      </c>
      <c r="D37" s="75">
        <v>1</v>
      </c>
      <c r="E37" s="75">
        <v>5</v>
      </c>
      <c r="F37" s="75">
        <v>4</v>
      </c>
      <c r="G37" s="75">
        <v>8</v>
      </c>
      <c r="H37" s="76">
        <v>18</v>
      </c>
      <c r="I37" s="45"/>
      <c r="J37" s="86"/>
      <c r="K37" s="86"/>
      <c r="L37" s="86"/>
      <c r="M37" s="86"/>
      <c r="N37" s="86"/>
      <c r="O37" s="86"/>
    </row>
    <row r="38" spans="1:15" s="50" customFormat="1" ht="14" x14ac:dyDescent="0.35">
      <c r="A38" s="40">
        <v>90</v>
      </c>
      <c r="B38" s="50" t="s">
        <v>45</v>
      </c>
      <c r="C38" s="75">
        <v>2</v>
      </c>
      <c r="D38" s="75">
        <v>2</v>
      </c>
      <c r="E38" s="75">
        <v>8</v>
      </c>
      <c r="F38" s="75">
        <v>7</v>
      </c>
      <c r="G38" s="75">
        <v>11</v>
      </c>
      <c r="H38" s="76">
        <v>30</v>
      </c>
      <c r="I38" s="45"/>
      <c r="J38" s="86"/>
      <c r="K38" s="86"/>
      <c r="L38" s="86"/>
      <c r="M38" s="86"/>
      <c r="N38" s="86"/>
      <c r="O38" s="86"/>
    </row>
    <row r="39" spans="1:15" s="50" customFormat="1" ht="14" x14ac:dyDescent="0.35">
      <c r="A39" s="40">
        <v>91</v>
      </c>
      <c r="B39" s="50" t="s">
        <v>46</v>
      </c>
      <c r="C39" s="75">
        <v>0</v>
      </c>
      <c r="D39" s="75">
        <v>0</v>
      </c>
      <c r="E39" s="75">
        <v>0</v>
      </c>
      <c r="F39" s="75">
        <v>0</v>
      </c>
      <c r="G39" s="75">
        <v>0</v>
      </c>
      <c r="H39" s="76">
        <v>0</v>
      </c>
      <c r="I39" s="45"/>
      <c r="J39" s="86"/>
      <c r="K39" s="86"/>
      <c r="L39" s="86"/>
      <c r="M39" s="86"/>
      <c r="N39" s="86"/>
      <c r="O39" s="86"/>
    </row>
    <row r="40" spans="1:15" s="50" customFormat="1" ht="14" x14ac:dyDescent="0.35">
      <c r="A40" s="40">
        <v>92</v>
      </c>
      <c r="B40" s="50" t="s">
        <v>47</v>
      </c>
      <c r="C40" s="75">
        <v>1</v>
      </c>
      <c r="D40" s="75">
        <v>5</v>
      </c>
      <c r="E40" s="75">
        <v>7</v>
      </c>
      <c r="F40" s="75">
        <v>5</v>
      </c>
      <c r="G40" s="75">
        <v>11.25</v>
      </c>
      <c r="H40" s="76">
        <v>29.25</v>
      </c>
      <c r="I40" s="45"/>
      <c r="J40" s="86"/>
      <c r="K40" s="86"/>
      <c r="L40" s="86"/>
      <c r="M40" s="86"/>
      <c r="N40" s="86"/>
      <c r="O40" s="86"/>
    </row>
    <row r="41" spans="1:15" s="50" customFormat="1" ht="14" x14ac:dyDescent="0.35">
      <c r="A41" s="40">
        <v>94</v>
      </c>
      <c r="B41" s="50" t="s">
        <v>49</v>
      </c>
      <c r="C41" s="75">
        <v>0</v>
      </c>
      <c r="D41" s="75">
        <v>1</v>
      </c>
      <c r="E41" s="75">
        <v>5</v>
      </c>
      <c r="F41" s="75">
        <v>5</v>
      </c>
      <c r="G41" s="75">
        <v>6.5</v>
      </c>
      <c r="H41" s="76">
        <v>17.5</v>
      </c>
      <c r="I41" s="45"/>
      <c r="J41" s="86"/>
      <c r="K41" s="86"/>
      <c r="L41" s="86"/>
      <c r="M41" s="86"/>
      <c r="N41" s="86"/>
      <c r="O41" s="86"/>
    </row>
    <row r="42" spans="1:15" s="50" customFormat="1" ht="14" x14ac:dyDescent="0.35">
      <c r="A42" s="40">
        <v>96</v>
      </c>
      <c r="B42" s="50" t="s">
        <v>51</v>
      </c>
      <c r="C42" s="75">
        <v>2</v>
      </c>
      <c r="D42" s="75">
        <v>2</v>
      </c>
      <c r="E42" s="75">
        <v>5</v>
      </c>
      <c r="F42" s="75">
        <v>11.5</v>
      </c>
      <c r="G42" s="75">
        <v>13</v>
      </c>
      <c r="H42" s="76">
        <v>33.5</v>
      </c>
      <c r="I42" s="45"/>
      <c r="J42" s="86"/>
      <c r="K42" s="86"/>
      <c r="L42" s="86"/>
      <c r="M42" s="86"/>
      <c r="N42" s="86"/>
      <c r="O42" s="86"/>
    </row>
    <row r="43" spans="1:15" s="50" customFormat="1" ht="14" x14ac:dyDescent="0.35">
      <c r="A43" s="40">
        <v>72</v>
      </c>
      <c r="B43" s="50" t="s">
        <v>30</v>
      </c>
      <c r="C43" s="75">
        <v>0</v>
      </c>
      <c r="D43" s="75">
        <v>0</v>
      </c>
      <c r="E43" s="75">
        <v>0</v>
      </c>
      <c r="F43" s="75">
        <v>0</v>
      </c>
      <c r="G43" s="75">
        <v>0</v>
      </c>
      <c r="H43" s="76">
        <v>0</v>
      </c>
      <c r="I43" s="45"/>
      <c r="J43" s="86"/>
      <c r="K43" s="86"/>
      <c r="L43" s="86"/>
      <c r="M43" s="86"/>
      <c r="N43" s="86"/>
      <c r="O43" s="86"/>
    </row>
    <row r="44" spans="1:15" s="37" customFormat="1" ht="26.25" customHeight="1" x14ac:dyDescent="0.35">
      <c r="A44" s="38"/>
      <c r="B44" s="37" t="s">
        <v>59</v>
      </c>
      <c r="C44" s="39">
        <v>7</v>
      </c>
      <c r="D44" s="39">
        <v>8</v>
      </c>
      <c r="E44" s="39">
        <v>71.84</v>
      </c>
      <c r="F44" s="39">
        <v>87</v>
      </c>
      <c r="G44" s="39">
        <v>197.58</v>
      </c>
      <c r="H44" s="39">
        <v>371.42</v>
      </c>
      <c r="I44" s="45"/>
      <c r="J44" s="86"/>
      <c r="K44" s="86"/>
      <c r="L44" s="86"/>
      <c r="M44" s="86"/>
      <c r="N44" s="86"/>
      <c r="O44" s="86"/>
    </row>
    <row r="45" spans="1:15" s="50" customFormat="1" ht="14" x14ac:dyDescent="0.35">
      <c r="A45" s="40">
        <v>66</v>
      </c>
      <c r="B45" s="50" t="s">
        <v>24</v>
      </c>
      <c r="C45" s="75">
        <v>0</v>
      </c>
      <c r="D45" s="75">
        <v>2</v>
      </c>
      <c r="E45" s="75">
        <v>12</v>
      </c>
      <c r="F45" s="75">
        <v>5</v>
      </c>
      <c r="G45" s="75">
        <v>30.44</v>
      </c>
      <c r="H45" s="76">
        <v>49.44</v>
      </c>
      <c r="I45" s="45"/>
      <c r="J45" s="86"/>
      <c r="K45" s="86"/>
      <c r="L45" s="86"/>
      <c r="M45" s="86"/>
      <c r="N45" s="86"/>
      <c r="O45" s="86"/>
    </row>
    <row r="46" spans="1:15" s="50" customFormat="1" ht="14" x14ac:dyDescent="0.35">
      <c r="A46" s="40">
        <v>78</v>
      </c>
      <c r="B46" s="50" t="s">
        <v>35</v>
      </c>
      <c r="C46" s="75">
        <v>1</v>
      </c>
      <c r="D46" s="75">
        <v>0</v>
      </c>
      <c r="E46" s="75">
        <v>9</v>
      </c>
      <c r="F46" s="75">
        <v>5</v>
      </c>
      <c r="G46" s="75">
        <v>21</v>
      </c>
      <c r="H46" s="76">
        <v>36</v>
      </c>
      <c r="I46" s="45"/>
      <c r="J46" s="86"/>
      <c r="K46" s="86"/>
      <c r="L46" s="86"/>
      <c r="M46" s="86"/>
      <c r="N46" s="86"/>
      <c r="O46" s="86"/>
    </row>
    <row r="47" spans="1:15" s="50" customFormat="1" ht="14" x14ac:dyDescent="0.35">
      <c r="A47" s="40">
        <v>89</v>
      </c>
      <c r="B47" s="50" t="s">
        <v>44</v>
      </c>
      <c r="C47" s="75">
        <v>0</v>
      </c>
      <c r="D47" s="75">
        <v>1</v>
      </c>
      <c r="E47" s="75">
        <v>5</v>
      </c>
      <c r="F47" s="75">
        <v>12</v>
      </c>
      <c r="G47" s="75">
        <v>14</v>
      </c>
      <c r="H47" s="76">
        <v>32</v>
      </c>
      <c r="I47" s="45"/>
      <c r="J47" s="86"/>
      <c r="K47" s="86"/>
      <c r="L47" s="86"/>
      <c r="M47" s="86"/>
      <c r="N47" s="86"/>
      <c r="O47" s="86"/>
    </row>
    <row r="48" spans="1:15" s="50" customFormat="1" ht="14" x14ac:dyDescent="0.35">
      <c r="A48" s="40">
        <v>93</v>
      </c>
      <c r="B48" s="50" t="s">
        <v>60</v>
      </c>
      <c r="C48" s="75">
        <v>0</v>
      </c>
      <c r="D48" s="75">
        <v>1</v>
      </c>
      <c r="E48" s="75">
        <v>6</v>
      </c>
      <c r="F48" s="75">
        <v>6.5</v>
      </c>
      <c r="G48" s="75">
        <v>21</v>
      </c>
      <c r="H48" s="76">
        <v>34.5</v>
      </c>
      <c r="I48" s="45"/>
      <c r="J48" s="86"/>
      <c r="K48" s="86"/>
      <c r="L48" s="86"/>
      <c r="M48" s="86"/>
      <c r="N48" s="86"/>
      <c r="O48" s="86"/>
    </row>
    <row r="49" spans="1:15" s="50" customFormat="1" ht="14" x14ac:dyDescent="0.35">
      <c r="A49" s="40">
        <v>95</v>
      </c>
      <c r="B49" s="50" t="s">
        <v>50</v>
      </c>
      <c r="C49" s="75">
        <v>4</v>
      </c>
      <c r="D49" s="75">
        <v>0</v>
      </c>
      <c r="E49" s="75">
        <v>20.5</v>
      </c>
      <c r="F49" s="75">
        <v>13</v>
      </c>
      <c r="G49" s="75">
        <v>25</v>
      </c>
      <c r="H49" s="76">
        <v>62.5</v>
      </c>
      <c r="I49" s="45"/>
      <c r="J49" s="86"/>
      <c r="K49" s="86"/>
      <c r="L49" s="86"/>
      <c r="M49" s="86"/>
      <c r="N49" s="86"/>
      <c r="O49" s="86"/>
    </row>
    <row r="50" spans="1:15" s="50" customFormat="1" ht="14" x14ac:dyDescent="0.35">
      <c r="A50" s="40">
        <v>97</v>
      </c>
      <c r="B50" s="50" t="s">
        <v>52</v>
      </c>
      <c r="C50" s="75">
        <v>1</v>
      </c>
      <c r="D50" s="75">
        <v>0</v>
      </c>
      <c r="E50" s="75">
        <v>11.34</v>
      </c>
      <c r="F50" s="75">
        <v>11</v>
      </c>
      <c r="G50" s="75">
        <v>24.64</v>
      </c>
      <c r="H50" s="76">
        <v>47.98</v>
      </c>
      <c r="I50" s="45"/>
      <c r="J50" s="86"/>
      <c r="K50" s="86"/>
      <c r="L50" s="86"/>
      <c r="M50" s="86"/>
      <c r="N50" s="86"/>
      <c r="O50" s="86"/>
    </row>
    <row r="51" spans="1:15" s="50" customFormat="1" ht="14" x14ac:dyDescent="0.35">
      <c r="A51" s="40">
        <v>77</v>
      </c>
      <c r="B51" s="44" t="s">
        <v>23</v>
      </c>
      <c r="C51" s="78">
        <v>1</v>
      </c>
      <c r="D51" s="78">
        <v>4</v>
      </c>
      <c r="E51" s="78">
        <v>8</v>
      </c>
      <c r="F51" s="78">
        <v>34.5</v>
      </c>
      <c r="G51" s="78">
        <v>61.5</v>
      </c>
      <c r="H51" s="79">
        <v>109</v>
      </c>
      <c r="I51" s="45"/>
      <c r="J51" s="86"/>
      <c r="K51" s="86"/>
      <c r="L51" s="86"/>
      <c r="M51" s="86"/>
      <c r="N51" s="86"/>
      <c r="O51" s="86"/>
    </row>
    <row r="52" spans="1:15" s="81" customFormat="1" x14ac:dyDescent="0.35">
      <c r="A52" s="40"/>
      <c r="B52" s="69"/>
      <c r="C52" s="84"/>
      <c r="D52" s="84"/>
      <c r="E52" s="80"/>
      <c r="F52" s="80"/>
      <c r="G52" s="80"/>
      <c r="H52" s="80"/>
    </row>
    <row r="53" spans="1:15" s="81" customFormat="1" x14ac:dyDescent="0.35">
      <c r="A53" s="40"/>
      <c r="B53" s="50" t="s">
        <v>88</v>
      </c>
      <c r="C53" s="84"/>
      <c r="D53" s="84"/>
      <c r="E53" s="80"/>
      <c r="F53" s="80"/>
      <c r="G53" s="80"/>
      <c r="H53" s="80"/>
    </row>
    <row r="54" spans="1:15" s="81" customFormat="1" x14ac:dyDescent="0.35">
      <c r="A54" s="40"/>
      <c r="B54" s="50"/>
      <c r="C54" s="84"/>
      <c r="D54" s="84"/>
      <c r="E54" s="80"/>
      <c r="F54" s="80"/>
      <c r="G54" s="80"/>
      <c r="H54" s="80"/>
    </row>
    <row r="55" spans="1:15" s="81" customFormat="1" x14ac:dyDescent="0.35">
      <c r="A55" s="40"/>
      <c r="B55" s="50"/>
      <c r="C55" s="88"/>
      <c r="D55" s="48"/>
      <c r="E55" s="48"/>
      <c r="F55" s="80"/>
      <c r="G55" s="80"/>
      <c r="H55" s="80"/>
    </row>
    <row r="56" spans="1:15" s="81" customFormat="1" x14ac:dyDescent="0.35">
      <c r="A56" s="40"/>
      <c r="B56" s="69"/>
      <c r="C56" s="88"/>
      <c r="D56" s="48"/>
      <c r="E56" s="48"/>
      <c r="F56" s="80"/>
      <c r="G56" s="80"/>
      <c r="H56" s="80"/>
    </row>
    <row r="57" spans="1:15" s="50" customFormat="1" ht="12.5" x14ac:dyDescent="0.35">
      <c r="A57" s="40"/>
      <c r="B57" s="63" t="s">
        <v>71</v>
      </c>
      <c r="C57" s="45"/>
    </row>
    <row r="58" spans="1:15" x14ac:dyDescent="0.35">
      <c r="G58" s="82"/>
      <c r="H58" s="82"/>
    </row>
    <row r="59" spans="1:15" x14ac:dyDescent="0.35">
      <c r="F59" s="82"/>
    </row>
    <row r="64" spans="1:15" x14ac:dyDescent="0.35">
      <c r="B64" s="50" t="s">
        <v>18</v>
      </c>
      <c r="C64" s="75">
        <v>0</v>
      </c>
      <c r="D64" s="75">
        <v>4</v>
      </c>
      <c r="E64" s="75">
        <v>4.5</v>
      </c>
      <c r="F64" s="75">
        <v>5</v>
      </c>
      <c r="G64" s="75">
        <v>13</v>
      </c>
      <c r="H64" s="76">
        <v>26.5</v>
      </c>
    </row>
    <row r="65" spans="2:8" x14ac:dyDescent="0.35">
      <c r="B65" s="50" t="s">
        <v>53</v>
      </c>
      <c r="C65" s="75">
        <v>0</v>
      </c>
      <c r="D65" s="75">
        <v>3</v>
      </c>
      <c r="E65" s="75">
        <v>4</v>
      </c>
      <c r="F65" s="75">
        <v>4</v>
      </c>
      <c r="G65" s="75">
        <v>11.99</v>
      </c>
      <c r="H65" s="76">
        <v>22.99</v>
      </c>
    </row>
  </sheetData>
  <mergeCells count="1">
    <mergeCell ref="B1:H1"/>
  </mergeCells>
  <conditionalFormatting sqref="J3:O51">
    <cfRule type="cellIs" dxfId="15" priority="1" stopIfTrue="1" operator="lessThan">
      <formula>-0.5</formula>
    </cfRule>
    <cfRule type="cellIs" dxfId="14" priority="2" stopIfTrue="1" operator="greaterThan">
      <formula>0.5</formula>
    </cfRule>
  </conditionalFormatting>
  <pageMargins left="0.75" right="0.75" top="1" bottom="1" header="0.5" footer="0.5"/>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(2011a)</vt:lpstr>
      <vt:lpstr>(2011b)</vt:lpstr>
      <vt:lpstr>(2011c)</vt:lpstr>
      <vt:lpstr>(2012a)</vt:lpstr>
      <vt:lpstr>(2012b)</vt:lpstr>
      <vt:lpstr>(2012c)</vt:lpstr>
      <vt:lpstr>(2013a)</vt:lpstr>
      <vt:lpstr>(2013b)</vt:lpstr>
      <vt:lpstr>(2013c)</vt:lpstr>
      <vt:lpstr>(2014a)</vt:lpstr>
      <vt:lpstr>(2014b)</vt:lpstr>
      <vt:lpstr>(2014c)</vt:lpstr>
      <vt:lpstr>(2015a)</vt:lpstr>
      <vt:lpstr>(2015b)</vt:lpstr>
      <vt:lpstr>(2015c)</vt:lpstr>
      <vt:lpstr>(2016a)</vt:lpstr>
      <vt:lpstr>(2016b)</vt:lpstr>
      <vt:lpstr>(2016c)</vt:lpstr>
      <vt:lpstr>(2017a)</vt:lpstr>
      <vt:lpstr>(2017b)</vt:lpstr>
      <vt:lpstr>(2017c)</vt:lpstr>
      <vt:lpstr>(2018a)</vt:lpstr>
      <vt:lpstr>(2018b)</vt:lpstr>
      <vt:lpstr>(2018c)</vt:lpstr>
      <vt:lpstr>(2019a)</vt:lpstr>
      <vt:lpstr>(2019b)</vt:lpstr>
      <vt:lpstr>(2019c)</vt:lpstr>
      <vt:lpstr>2019a</vt:lpstr>
      <vt:lpstr>2019b</vt:lpstr>
      <vt:lpstr>2019c</vt:lpstr>
      <vt:lpstr>Macro</vt:lpstr>
      <vt:lpstr>FIRE1102a raw</vt:lpstr>
      <vt:lpstr>FIRE1102b raw</vt:lpstr>
      <vt:lpstr>FIRE1102c raw</vt:lpstr>
      <vt:lpstr>QA</vt:lpstr>
      <vt:lpstr>FIRE1102a</vt:lpstr>
      <vt:lpstr>FIRE1102b</vt:lpstr>
      <vt:lpstr>FIRE1102c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FIRE1102: Total staff numbers (full time equivalent) by role and fire and rescue authority</dc:title>
  <dc:creator/>
  <cp:keywords>data tables, staff numbers, role, 2019</cp:keywords>
  <cp:lastModifiedBy/>
  <dcterms:created xsi:type="dcterms:W3CDTF">2019-10-29T13:21:17Z</dcterms:created>
  <dcterms:modified xsi:type="dcterms:W3CDTF">2019-10-29T13:21:49Z</dcterms:modified>
</cp:coreProperties>
</file>